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threadedComments/threadedComment3.xml" ContentType="application/vnd.ms-excel.threaded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threadedComments/threadedComment4.xml" ContentType="application/vnd.ms-excel.threaded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threadedComments/threadedComment5.xml" ContentType="application/vnd.ms-excel.threaded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threadedComments/threadedComment6.xml" ContentType="application/vnd.ms-excel.threadedcomments+xml"/>
  <Override PartName="/xl/drawings/drawing11.xml" ContentType="application/vnd.openxmlformats-officedocument.drawing+xml"/>
  <Override PartName="/xl/comments8.xml" ContentType="application/vnd.openxmlformats-officedocument.spreadsheetml.comments+xml"/>
  <Override PartName="/xl/threadedComments/threadedComment7.xml" ContentType="application/vnd.ms-excel.threadedcomments+xml"/>
  <Override PartName="/xl/drawings/drawing12.xml" ContentType="application/vnd.openxmlformats-officedocument.drawing+xml"/>
  <Override PartName="/xl/comments9.xml" ContentType="application/vnd.openxmlformats-officedocument.spreadsheetml.comments+xml"/>
  <Override PartName="/xl/threadedComments/threadedComment8.xml" ContentType="application/vnd.ms-excel.threadedcomments+xml"/>
  <Override PartName="/xl/drawings/drawing13.xml" ContentType="application/vnd.openxmlformats-officedocument.drawing+xml"/>
  <Override PartName="/xl/comments10.xml" ContentType="application/vnd.openxmlformats-officedocument.spreadsheetml.comments+xml"/>
  <Override PartName="/xl/threadedComments/threadedComment9.xml" ContentType="application/vnd.ms-excel.threadedcomments+xml"/>
  <Override PartName="/xl/drawings/drawing14.xml" ContentType="application/vnd.openxmlformats-officedocument.drawing+xml"/>
  <Override PartName="/xl/comments11.xml" ContentType="application/vnd.openxmlformats-officedocument.spreadsheetml.comments+xml"/>
  <Override PartName="/xl/threadedComments/threadedComment10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24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4b361b49b6b40254/MIT/ULI-Hines/Finalist/Submitted/March 31st/"/>
    </mc:Choice>
  </mc:AlternateContent>
  <xr:revisionPtr revIDLastSave="1175" documentId="8_{4AD13B12-42C9-4047-8F7E-D0BF01B40FED}" xr6:coauthVersionLast="47" xr6:coauthVersionMax="47" xr10:uidLastSave="{B9311918-C39B-4E3E-B6BA-7C46AEAFE7CC}"/>
  <bookViews>
    <workbookView xWindow="-110" yWindow="-110" windowWidth="22780" windowHeight="14540" tabRatio="1000" xr2:uid="{00000000-000D-0000-FFFF-FFFF00000000}"/>
  </bookViews>
  <sheets>
    <sheet name="Summary" sheetId="270" r:id="rId1"/>
    <sheet name="Assumptions" sheetId="269" r:id="rId2"/>
    <sheet name="Development Program" sheetId="140" r:id="rId3"/>
    <sheet name="Building Configuration" sheetId="236" r:id="rId4"/>
    <sheet name="Research" sheetId="271" r:id="rId5"/>
    <sheet name="All Components DRAW" sheetId="159" r:id="rId6"/>
    <sheet name="1-A Financial" sheetId="248" r:id="rId7"/>
    <sheet name="1-A DRAW" sheetId="291" r:id="rId8"/>
    <sheet name="1-B Financial" sheetId="237" r:id="rId9"/>
    <sheet name="1-B DRAW" sheetId="290" r:id="rId10"/>
    <sheet name="1-B Amortization" sheetId="289" r:id="rId11"/>
    <sheet name="2-C Financial" sheetId="250" r:id="rId12"/>
    <sheet name="2-C DRAW" sheetId="288" r:id="rId13"/>
    <sheet name="2-C Amortization" sheetId="287" r:id="rId14"/>
    <sheet name="2-D Financial" sheetId="252" r:id="rId15"/>
    <sheet name="2-D DRAW" sheetId="286" r:id="rId16"/>
    <sheet name="2-D Amortization" sheetId="285" r:id="rId17"/>
    <sheet name="2-E Financial" sheetId="254" r:id="rId18"/>
    <sheet name="2-E DRAW" sheetId="284" r:id="rId19"/>
    <sheet name="2-E Amortization" sheetId="283" r:id="rId20"/>
    <sheet name="3-F Financial" sheetId="267" r:id="rId21"/>
    <sheet name="3-F DRAW" sheetId="281" r:id="rId22"/>
    <sheet name="3-F Amortization" sheetId="280" r:id="rId23"/>
    <sheet name="3-G Financial" sheetId="258" r:id="rId24"/>
    <sheet name="3-G DRAW" sheetId="279" r:id="rId25"/>
    <sheet name="3-G Amortization" sheetId="278" r:id="rId26"/>
    <sheet name="4-H Financial" sheetId="260" r:id="rId27"/>
    <sheet name="4-H DRAW" sheetId="276" r:id="rId28"/>
    <sheet name="4-H Amortization" sheetId="275" r:id="rId29"/>
    <sheet name="4-I Financial" sheetId="262" r:id="rId30"/>
    <sheet name="4-I DRAW" sheetId="274" r:id="rId31"/>
    <sheet name="4-I Amortization" sheetId="273" r:id="rId32"/>
    <sheet name="4-J Financial" sheetId="264" r:id="rId33"/>
    <sheet name="4-J DRAW" sheetId="265" r:id="rId34"/>
    <sheet name="4-J Amortization" sheetId="272" r:id="rId35"/>
    <sheet name="Building Configuration (Old)" sheetId="178" state="hidden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__a1" hidden="1">{"Assump",#N/A,TRUE,"Proforma";"first",#N/A,TRUE,"Proforma";"second",#N/A,TRUE,"Proforma";"lease1",#N/A,TRUE,"Proforma";"lease2",#N/A,TRUE,"Proforma"}</definedName>
    <definedName name="__a1" hidden="1">{"Assump",#N/A,TRUE,"Proforma";"first",#N/A,TRUE,"Proforma";"second",#N/A,TRUE,"Proforma";"lease1",#N/A,TRUE,"Proforma";"lease2",#N/A,TRUE,"Proforma"}</definedName>
    <definedName name="_Fill" localSheetId="6" hidden="1">[1]A!#REF!</definedName>
    <definedName name="_Fill" localSheetId="8" hidden="1">[1]A!#REF!</definedName>
    <definedName name="_Fill" localSheetId="11" hidden="1">[1]A!#REF!</definedName>
    <definedName name="_Fill" localSheetId="14" hidden="1">[1]A!#REF!</definedName>
    <definedName name="_Fill" localSheetId="17" hidden="1">[1]A!#REF!</definedName>
    <definedName name="_Fill" localSheetId="20" hidden="1">[1]A!#REF!</definedName>
    <definedName name="_Fill" localSheetId="23" hidden="1">[1]A!#REF!</definedName>
    <definedName name="_Fill" localSheetId="26" hidden="1">[1]A!#REF!</definedName>
    <definedName name="_Fill" localSheetId="29" hidden="1">[1]A!#REF!</definedName>
    <definedName name="_Fill" localSheetId="32" hidden="1">[1]A!#REF!</definedName>
    <definedName name="_Fill" localSheetId="2" hidden="1">[1]A!#REF!</definedName>
    <definedName name="_Fill" hidden="1">[1]A!#REF!</definedName>
    <definedName name="_Key1" localSheetId="6" hidden="1">'[2]H-INPUT'!#REF!</definedName>
    <definedName name="_Key1" localSheetId="8" hidden="1">'[2]H-INPUT'!#REF!</definedName>
    <definedName name="_Key1" localSheetId="11" hidden="1">'[2]H-INPUT'!#REF!</definedName>
    <definedName name="_Key1" localSheetId="14" hidden="1">'[2]H-INPUT'!#REF!</definedName>
    <definedName name="_Key1" localSheetId="17" hidden="1">'[2]H-INPUT'!#REF!</definedName>
    <definedName name="_Key1" localSheetId="20" hidden="1">'[2]H-INPUT'!#REF!</definedName>
    <definedName name="_Key1" localSheetId="23" hidden="1">'[2]H-INPUT'!#REF!</definedName>
    <definedName name="_Key1" localSheetId="26" hidden="1">'[2]H-INPUT'!#REF!</definedName>
    <definedName name="_Key1" localSheetId="29" hidden="1">'[2]H-INPUT'!#REF!</definedName>
    <definedName name="_Key1" localSheetId="32" hidden="1">'[2]H-INPUT'!#REF!</definedName>
    <definedName name="_Key1" localSheetId="2" hidden="1">'[2]H-INPUT'!#REF!</definedName>
    <definedName name="_Key1" hidden="1">'[2]H-INPUT'!#REF!</definedName>
    <definedName name="_Key2" localSheetId="6" hidden="1">#REF!</definedName>
    <definedName name="_Key2" localSheetId="8" hidden="1">#REF!</definedName>
    <definedName name="_Key2" localSheetId="11" hidden="1">#REF!</definedName>
    <definedName name="_Key2" localSheetId="14" hidden="1">#REF!</definedName>
    <definedName name="_Key2" localSheetId="17" hidden="1">#REF!</definedName>
    <definedName name="_Key2" localSheetId="20" hidden="1">#REF!</definedName>
    <definedName name="_Key2" localSheetId="23" hidden="1">#REF!</definedName>
    <definedName name="_Key2" localSheetId="26" hidden="1">#REF!</definedName>
    <definedName name="_Key2" localSheetId="29" hidden="1">#REF!</definedName>
    <definedName name="_Key2" localSheetId="32" hidden="1">#REF!</definedName>
    <definedName name="_Key2" localSheetId="2" hidden="1">#REF!</definedName>
    <definedName name="_Key2" hidden="1">#REF!</definedName>
    <definedName name="_Order1" hidden="1">255</definedName>
    <definedName name="_Order2" hidden="1">255</definedName>
    <definedName name="_Sort" localSheetId="6" hidden="1">#REF!</definedName>
    <definedName name="_Sort" localSheetId="8" hidden="1">#REF!</definedName>
    <definedName name="_Sort" localSheetId="11" hidden="1">#REF!</definedName>
    <definedName name="_Sort" localSheetId="14" hidden="1">#REF!</definedName>
    <definedName name="_Sort" localSheetId="17" hidden="1">#REF!</definedName>
    <definedName name="_Sort" localSheetId="20" hidden="1">#REF!</definedName>
    <definedName name="_Sort" localSheetId="23" hidden="1">#REF!</definedName>
    <definedName name="_Sort" localSheetId="26" hidden="1">#REF!</definedName>
    <definedName name="_Sort" localSheetId="29" hidden="1">#REF!</definedName>
    <definedName name="_Sort" localSheetId="32" hidden="1">#REF!</definedName>
    <definedName name="_Sort" localSheetId="2" hidden="1">#REF!</definedName>
    <definedName name="_Sort" hidden="1">#REF!</definedName>
    <definedName name="_Table1_In1" localSheetId="6" hidden="1">#REF!</definedName>
    <definedName name="_Table1_In1" localSheetId="8" hidden="1">#REF!</definedName>
    <definedName name="_Table1_In1" localSheetId="11" hidden="1">#REF!</definedName>
    <definedName name="_Table1_In1" localSheetId="14" hidden="1">#REF!</definedName>
    <definedName name="_Table1_In1" localSheetId="17" hidden="1">#REF!</definedName>
    <definedName name="_Table1_In1" localSheetId="20" hidden="1">#REF!</definedName>
    <definedName name="_Table1_In1" localSheetId="23" hidden="1">#REF!</definedName>
    <definedName name="_Table1_In1" localSheetId="26" hidden="1">#REF!</definedName>
    <definedName name="_Table1_In1" localSheetId="29" hidden="1">#REF!</definedName>
    <definedName name="_Table1_In1" localSheetId="32" hidden="1">#REF!</definedName>
    <definedName name="_Table1_In1" localSheetId="2" hidden="1">#REF!</definedName>
    <definedName name="_Table1_In1" hidden="1">#REF!</definedName>
    <definedName name="_Table1_Out" localSheetId="6" hidden="1">#REF!</definedName>
    <definedName name="_Table1_Out" localSheetId="8" hidden="1">#REF!</definedName>
    <definedName name="_Table1_Out" localSheetId="11" hidden="1">#REF!</definedName>
    <definedName name="_Table1_Out" localSheetId="14" hidden="1">#REF!</definedName>
    <definedName name="_Table1_Out" localSheetId="17" hidden="1">#REF!</definedName>
    <definedName name="_Table1_Out" localSheetId="20" hidden="1">#REF!</definedName>
    <definedName name="_Table1_Out" localSheetId="23" hidden="1">#REF!</definedName>
    <definedName name="_Table1_Out" localSheetId="26" hidden="1">#REF!</definedName>
    <definedName name="_Table1_Out" localSheetId="29" hidden="1">#REF!</definedName>
    <definedName name="_Table1_Out" localSheetId="32" hidden="1">#REF!</definedName>
    <definedName name="_Table1_Out" localSheetId="2" hidden="1">#REF!</definedName>
    <definedName name="_Table1_Out" hidden="1">#REF!</definedName>
    <definedName name="_Table2_Out" localSheetId="6" hidden="1">[3]General!#REF!</definedName>
    <definedName name="_Table2_Out" localSheetId="8" hidden="1">[3]General!#REF!</definedName>
    <definedName name="_Table2_Out" localSheetId="11" hidden="1">[3]General!#REF!</definedName>
    <definedName name="_Table2_Out" localSheetId="14" hidden="1">[3]General!#REF!</definedName>
    <definedName name="_Table2_Out" localSheetId="17" hidden="1">[3]General!#REF!</definedName>
    <definedName name="_Table2_Out" localSheetId="20" hidden="1">[3]General!#REF!</definedName>
    <definedName name="_Table2_Out" localSheetId="23" hidden="1">[3]General!#REF!</definedName>
    <definedName name="_Table2_Out" localSheetId="26" hidden="1">[3]General!#REF!</definedName>
    <definedName name="_Table2_Out" localSheetId="29" hidden="1">[3]General!#REF!</definedName>
    <definedName name="_Table2_Out" localSheetId="32" hidden="1">[3]General!#REF!</definedName>
    <definedName name="_Table2_Out" localSheetId="2" hidden="1">[3]General!#REF!</definedName>
    <definedName name="_Table2_Out" hidden="1">[3]General!#REF!</definedName>
    <definedName name="_x1" hidden="1">{#N/A,#N/A,FALSE,"WATCHDSC";#N/A,#N/A,FALSE,"2LOSSMOD";#N/A,#N/A,FALSE,"2LOSS";#N/A,#N/A,FALSE,"DSC";#N/A,#N/A,FALSE,"OPERAT";#N/A,#N/A,FALSE,"ADJUST";#N/A,#N/A,FALSE,"LEASE EXPIRE"}</definedName>
    <definedName name="_x2" hidden="1">{#N/A,#N/A,FALSE,"WATCHDSC";#N/A,#N/A,FALSE,"2LOSSMOD";#N/A,#N/A,FALSE,"2LOSS";#N/A,#N/A,FALSE,"DSC";#N/A,#N/A,FALSE,"OPERAT";#N/A,#N/A,FALSE,"ADJUST";#N/A,#N/A,FALSE,"LEASE EXPIRE"}</definedName>
    <definedName name="_x3" hidden="1">{#N/A,#N/A,FALSE,"WATCHDSC";#N/A,#N/A,FALSE,"2LOSSMOD";#N/A,#N/A,FALSE,"2LOSS";#N/A,#N/A,FALSE,"DSC";#N/A,#N/A,FALSE,"OPERAT";#N/A,#N/A,FALSE,"ADJUST";#N/A,#N/A,FALSE,"LEASE EXPIRE"}</definedName>
    <definedName name="a" hidden="1">{"Assump",#N/A,TRUE,"Proforma";"first",#N/A,TRUE,"Proforma";"second",#N/A,TRUE,"Proforma";"lease1",#N/A,TRUE,"Proforma";"lease2",#N/A,TRUE,"Proforma"}</definedName>
    <definedName name="aa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AADSFD" localSheetId="6">[4]Frontsheet!#REF!</definedName>
    <definedName name="AADSFD" localSheetId="8">[4]Frontsheet!#REF!</definedName>
    <definedName name="AADSFD" localSheetId="11">[4]Frontsheet!#REF!</definedName>
    <definedName name="AADSFD" localSheetId="14">[4]Frontsheet!#REF!</definedName>
    <definedName name="AADSFD" localSheetId="17">[4]Frontsheet!#REF!</definedName>
    <definedName name="AADSFD" localSheetId="20">[4]Frontsheet!#REF!</definedName>
    <definedName name="AADSFD" localSheetId="23">[4]Frontsheet!#REF!</definedName>
    <definedName name="AADSFD" localSheetId="26">[4]Frontsheet!#REF!</definedName>
    <definedName name="AADSFD" localSheetId="29">[4]Frontsheet!#REF!</definedName>
    <definedName name="AADSFD" localSheetId="32">[4]Frontsheet!#REF!</definedName>
    <definedName name="AADSFD" localSheetId="2">[4]Frontsheet!#REF!</definedName>
    <definedName name="AADSFD">[4]Frontsheet!#REF!</definedName>
    <definedName name="ac" localSheetId="6">[4]Frontsheet!#REF!</definedName>
    <definedName name="ac" localSheetId="8">[4]Frontsheet!#REF!</definedName>
    <definedName name="ac" localSheetId="11">[4]Frontsheet!#REF!</definedName>
    <definedName name="ac" localSheetId="14">[4]Frontsheet!#REF!</definedName>
    <definedName name="ac" localSheetId="17">[4]Frontsheet!#REF!</definedName>
    <definedName name="ac" localSheetId="20">[4]Frontsheet!#REF!</definedName>
    <definedName name="ac" localSheetId="23">[4]Frontsheet!#REF!</definedName>
    <definedName name="ac" localSheetId="26">[4]Frontsheet!#REF!</definedName>
    <definedName name="ac" localSheetId="29">[4]Frontsheet!#REF!</definedName>
    <definedName name="ac" localSheetId="32">[4]Frontsheet!#REF!</definedName>
    <definedName name="ac" localSheetId="2">[4]Frontsheet!#REF!</definedName>
    <definedName name="ac">[4]Frontsheet!#REF!</definedName>
    <definedName name="alt" localSheetId="6">[4]Frontsheet!#REF!</definedName>
    <definedName name="alt" localSheetId="8">[4]Frontsheet!#REF!</definedName>
    <definedName name="alt" localSheetId="11">[4]Frontsheet!#REF!</definedName>
    <definedName name="alt" localSheetId="14">[4]Frontsheet!#REF!</definedName>
    <definedName name="alt" localSheetId="17">[4]Frontsheet!#REF!</definedName>
    <definedName name="alt" localSheetId="20">[4]Frontsheet!#REF!</definedName>
    <definedName name="alt" localSheetId="23">[4]Frontsheet!#REF!</definedName>
    <definedName name="alt" localSheetId="26">[4]Frontsheet!#REF!</definedName>
    <definedName name="alt" localSheetId="29">[4]Frontsheet!#REF!</definedName>
    <definedName name="alt" localSheetId="32">[4]Frontsheet!#REF!</definedName>
    <definedName name="alt" localSheetId="2">[4]Frontsheet!#REF!</definedName>
    <definedName name="alt">[4]Frontsheet!#REF!</definedName>
    <definedName name="anscount" hidden="1">1</definedName>
    <definedName name="ASA" localSheetId="6">[4]Frontsheet!#REF!</definedName>
    <definedName name="ASA" localSheetId="8">[4]Frontsheet!#REF!</definedName>
    <definedName name="ASA" localSheetId="11">[4]Frontsheet!#REF!</definedName>
    <definedName name="ASA" localSheetId="14">[4]Frontsheet!#REF!</definedName>
    <definedName name="ASA" localSheetId="17">[4]Frontsheet!#REF!</definedName>
    <definedName name="ASA" localSheetId="20">[4]Frontsheet!#REF!</definedName>
    <definedName name="ASA" localSheetId="23">[4]Frontsheet!#REF!</definedName>
    <definedName name="ASA" localSheetId="26">[4]Frontsheet!#REF!</definedName>
    <definedName name="ASA" localSheetId="29">[4]Frontsheet!#REF!</definedName>
    <definedName name="ASA" localSheetId="32">[4]Frontsheet!#REF!</definedName>
    <definedName name="ASA" localSheetId="2">[4]Frontsheet!#REF!</definedName>
    <definedName name="ASA">[4]Frontsheet!#REF!</definedName>
    <definedName name="aw" localSheetId="6">[4]Frontsheet!#REF!</definedName>
    <definedName name="aw" localSheetId="8">[4]Frontsheet!#REF!</definedName>
    <definedName name="aw" localSheetId="11">[4]Frontsheet!#REF!</definedName>
    <definedName name="aw" localSheetId="14">[4]Frontsheet!#REF!</definedName>
    <definedName name="aw" localSheetId="17">[4]Frontsheet!#REF!</definedName>
    <definedName name="aw" localSheetId="20">[4]Frontsheet!#REF!</definedName>
    <definedName name="aw" localSheetId="23">[4]Frontsheet!#REF!</definedName>
    <definedName name="aw" localSheetId="26">[4]Frontsheet!#REF!</definedName>
    <definedName name="aw" localSheetId="29">[4]Frontsheet!#REF!</definedName>
    <definedName name="aw" localSheetId="32">[4]Frontsheet!#REF!</definedName>
    <definedName name="aw" localSheetId="2">[4]Frontsheet!#REF!</definedName>
    <definedName name="aw">[4]Frontsheet!#REF!</definedName>
    <definedName name="b" hidden="1">{"Assump",#N/A,TRUE,"Proforma";"first",#N/A,TRUE,"Proforma";"second",#N/A,TRUE,"Proforma";"lease1",#N/A,TRUE,"Proforma";"lease2",#N/A,TRUE,"Proforma"}</definedName>
    <definedName name="Body">'[5]Equity Investor Sheet 2538'!$A$7:$J$18</definedName>
    <definedName name="costcode">'[6]Pursuit_Expenses by cost code'!$A$5:$F$155</definedName>
    <definedName name="cs" localSheetId="6">[4]Frontsheet!#REF!</definedName>
    <definedName name="cs" localSheetId="8">[4]Frontsheet!#REF!</definedName>
    <definedName name="cs" localSheetId="11">[4]Frontsheet!#REF!</definedName>
    <definedName name="cs" localSheetId="14">[4]Frontsheet!#REF!</definedName>
    <definedName name="cs" localSheetId="17">[4]Frontsheet!#REF!</definedName>
    <definedName name="cs" localSheetId="20">[4]Frontsheet!#REF!</definedName>
    <definedName name="cs" localSheetId="23">[4]Frontsheet!#REF!</definedName>
    <definedName name="cs" localSheetId="26">[4]Frontsheet!#REF!</definedName>
    <definedName name="cs" localSheetId="29">[4]Frontsheet!#REF!</definedName>
    <definedName name="cs" localSheetId="32">[4]Frontsheet!#REF!</definedName>
    <definedName name="cs" localSheetId="2">[4]Frontsheet!#REF!</definedName>
    <definedName name="cs">[4]Frontsheet!#REF!</definedName>
    <definedName name="ct" localSheetId="6">[4]Frontsheet!#REF!</definedName>
    <definedName name="ct" localSheetId="8">[4]Frontsheet!#REF!</definedName>
    <definedName name="ct" localSheetId="11">[4]Frontsheet!#REF!</definedName>
    <definedName name="ct" localSheetId="14">[4]Frontsheet!#REF!</definedName>
    <definedName name="ct" localSheetId="17">[4]Frontsheet!#REF!</definedName>
    <definedName name="ct" localSheetId="20">[4]Frontsheet!#REF!</definedName>
    <definedName name="ct" localSheetId="23">[4]Frontsheet!#REF!</definedName>
    <definedName name="ct" localSheetId="26">[4]Frontsheet!#REF!</definedName>
    <definedName name="ct" localSheetId="29">[4]Frontsheet!#REF!</definedName>
    <definedName name="ct" localSheetId="32">[4]Frontsheet!#REF!</definedName>
    <definedName name="ct" localSheetId="2">[4]Frontsheet!#REF!</definedName>
    <definedName name="ct">[4]Frontsheet!#REF!</definedName>
    <definedName name="ddgfeerew" localSheetId="6">[4]Frontsheet!#REF!</definedName>
    <definedName name="ddgfeerew" localSheetId="8">[4]Frontsheet!#REF!</definedName>
    <definedName name="ddgfeerew" localSheetId="11">[4]Frontsheet!#REF!</definedName>
    <definedName name="ddgfeerew" localSheetId="14">[4]Frontsheet!#REF!</definedName>
    <definedName name="ddgfeerew" localSheetId="17">[4]Frontsheet!#REF!</definedName>
    <definedName name="ddgfeerew" localSheetId="20">[4]Frontsheet!#REF!</definedName>
    <definedName name="ddgfeerew" localSheetId="23">[4]Frontsheet!#REF!</definedName>
    <definedName name="ddgfeerew" localSheetId="26">[4]Frontsheet!#REF!</definedName>
    <definedName name="ddgfeerew" localSheetId="29">[4]Frontsheet!#REF!</definedName>
    <definedName name="ddgfeerew" localSheetId="32">[4]Frontsheet!#REF!</definedName>
    <definedName name="ddgfeerew" localSheetId="2">[4]Frontsheet!#REF!</definedName>
    <definedName name="ddgfeerew">[4]Frontsheet!#REF!</definedName>
    <definedName name="dflt1">'[7]Customize Your Invoice'!$E$22</definedName>
    <definedName name="dflt5">'[7]Customize Your Invoice'!$E$27</definedName>
    <definedName name="dflt6">'[7]Customize Your Invoice'!$D$28</definedName>
    <definedName name="dfsdf" localSheetId="6">[4]Frontsheet!#REF!</definedName>
    <definedName name="dfsdf" localSheetId="8">[4]Frontsheet!#REF!</definedName>
    <definedName name="dfsdf" localSheetId="11">[4]Frontsheet!#REF!</definedName>
    <definedName name="dfsdf" localSheetId="14">[4]Frontsheet!#REF!</definedName>
    <definedName name="dfsdf" localSheetId="17">[4]Frontsheet!#REF!</definedName>
    <definedName name="dfsdf" localSheetId="20">[4]Frontsheet!#REF!</definedName>
    <definedName name="dfsdf" localSheetId="23">[4]Frontsheet!#REF!</definedName>
    <definedName name="dfsdf" localSheetId="26">[4]Frontsheet!#REF!</definedName>
    <definedName name="dfsdf" localSheetId="29">[4]Frontsheet!#REF!</definedName>
    <definedName name="dfsdf" localSheetId="32">[4]Frontsheet!#REF!</definedName>
    <definedName name="dfsdf" localSheetId="2">[4]Frontsheet!#REF!</definedName>
    <definedName name="dfsdf">[4]Frontsheet!#REF!</definedName>
    <definedName name="dw" localSheetId="6">[4]Frontsheet!#REF!</definedName>
    <definedName name="dw" localSheetId="8">[4]Frontsheet!#REF!</definedName>
    <definedName name="dw" localSheetId="11">[4]Frontsheet!#REF!</definedName>
    <definedName name="dw" localSheetId="14">[4]Frontsheet!#REF!</definedName>
    <definedName name="dw" localSheetId="17">[4]Frontsheet!#REF!</definedName>
    <definedName name="dw" localSheetId="20">[4]Frontsheet!#REF!</definedName>
    <definedName name="dw" localSheetId="23">[4]Frontsheet!#REF!</definedName>
    <definedName name="dw" localSheetId="26">[4]Frontsheet!#REF!</definedName>
    <definedName name="dw" localSheetId="29">[4]Frontsheet!#REF!</definedName>
    <definedName name="dw" localSheetId="32">[4]Frontsheet!#REF!</definedName>
    <definedName name="dw" localSheetId="2">[4]Frontsheet!#REF!</definedName>
    <definedName name="dw">[4]Frontsheet!#REF!</definedName>
    <definedName name="ee" hidden="1">{"Assump",#N/A,TRUE,"Proforma";"first",#N/A,TRUE,"Proforma";"second",#N/A,TRUE,"Proforma";"lease1",#N/A,TRUE,"Proforma";"lease2",#N/A,TRUE,"Proforma"}</definedName>
    <definedName name="el" localSheetId="6">[4]Frontsheet!#REF!</definedName>
    <definedName name="el" localSheetId="8">[4]Frontsheet!#REF!</definedName>
    <definedName name="el" localSheetId="11">[4]Frontsheet!#REF!</definedName>
    <definedName name="el" localSheetId="14">[4]Frontsheet!#REF!</definedName>
    <definedName name="el" localSheetId="17">[4]Frontsheet!#REF!</definedName>
    <definedName name="el" localSheetId="20">[4]Frontsheet!#REF!</definedName>
    <definedName name="el" localSheetId="23">[4]Frontsheet!#REF!</definedName>
    <definedName name="el" localSheetId="26">[4]Frontsheet!#REF!</definedName>
    <definedName name="el" localSheetId="29">[4]Frontsheet!#REF!</definedName>
    <definedName name="el" localSheetId="32">[4]Frontsheet!#REF!</definedName>
    <definedName name="el" localSheetId="2">[4]Frontsheet!#REF!</definedName>
    <definedName name="el">[4]Frontsheet!#REF!</definedName>
    <definedName name="ellen" hidden="1">{#N/A,#N/A,FALSE,"WATCHDSC";#N/A,#N/A,FALSE,"2LOSSMOD";#N/A,#N/A,FALSE,"2LOSS";#N/A,#N/A,FALSE,"DSC";#N/A,#N/A,FALSE,"OPERAT";#N/A,#N/A,FALSE,"ADJUST";#N/A,#N/A,FALSE,"LEASE EXPIRE"}</definedName>
    <definedName name="erasdf" hidden="1">{"Assump",#N/A,TRUE,"Proforma";"first",#N/A,TRUE,"Proforma";"second",#N/A,TRUE,"Proforma";"lease1",#N/A,TRUE,"Proforma";"lease2",#N/A,TRUE,"Proforma"}</definedName>
    <definedName name="EW" localSheetId="6">[4]Frontsheet!#REF!</definedName>
    <definedName name="EW" localSheetId="8">[4]Frontsheet!#REF!</definedName>
    <definedName name="EW" localSheetId="11">[4]Frontsheet!#REF!</definedName>
    <definedName name="EW" localSheetId="14">[4]Frontsheet!#REF!</definedName>
    <definedName name="EW" localSheetId="17">[4]Frontsheet!#REF!</definedName>
    <definedName name="EW" localSheetId="20">[4]Frontsheet!#REF!</definedName>
    <definedName name="EW" localSheetId="23">[4]Frontsheet!#REF!</definedName>
    <definedName name="EW" localSheetId="26">[4]Frontsheet!#REF!</definedName>
    <definedName name="EW" localSheetId="29">[4]Frontsheet!#REF!</definedName>
    <definedName name="EW" localSheetId="32">[4]Frontsheet!#REF!</definedName>
    <definedName name="EW" localSheetId="2">[4]Frontsheet!#REF!</definedName>
    <definedName name="EW">[4]Frontsheet!#REF!</definedName>
    <definedName name="f" localSheetId="6">[4]Frontsheet!#REF!</definedName>
    <definedName name="f" localSheetId="8">[4]Frontsheet!#REF!</definedName>
    <definedName name="f" localSheetId="11">[4]Frontsheet!#REF!</definedName>
    <definedName name="f" localSheetId="14">[4]Frontsheet!#REF!</definedName>
    <definedName name="f" localSheetId="17">[4]Frontsheet!#REF!</definedName>
    <definedName name="f" localSheetId="20">[4]Frontsheet!#REF!</definedName>
    <definedName name="f" localSheetId="23">[4]Frontsheet!#REF!</definedName>
    <definedName name="f" localSheetId="26">[4]Frontsheet!#REF!</definedName>
    <definedName name="f" localSheetId="29">[4]Frontsheet!#REF!</definedName>
    <definedName name="f" localSheetId="32">[4]Frontsheet!#REF!</definedName>
    <definedName name="f" localSheetId="2">[4]Frontsheet!#REF!</definedName>
    <definedName name="f">[4]Frontsheet!#REF!</definedName>
    <definedName name="fe" localSheetId="6">[4]Frontsheet!#REF!</definedName>
    <definedName name="fe" localSheetId="8">[4]Frontsheet!#REF!</definedName>
    <definedName name="fe" localSheetId="11">[4]Frontsheet!#REF!</definedName>
    <definedName name="fe" localSheetId="14">[4]Frontsheet!#REF!</definedName>
    <definedName name="fe" localSheetId="17">[4]Frontsheet!#REF!</definedName>
    <definedName name="fe" localSheetId="20">[4]Frontsheet!#REF!</definedName>
    <definedName name="fe" localSheetId="23">[4]Frontsheet!#REF!</definedName>
    <definedName name="fe" localSheetId="26">[4]Frontsheet!#REF!</definedName>
    <definedName name="fe" localSheetId="29">[4]Frontsheet!#REF!</definedName>
    <definedName name="fe" localSheetId="32">[4]Frontsheet!#REF!</definedName>
    <definedName name="fe" localSheetId="2">[4]Frontsheet!#REF!</definedName>
    <definedName name="fe">[4]Frontsheet!#REF!</definedName>
    <definedName name="FFFFF" localSheetId="6">[4]Frontsheet!#REF!</definedName>
    <definedName name="FFFFF" localSheetId="8">[4]Frontsheet!#REF!</definedName>
    <definedName name="FFFFF" localSheetId="11">[4]Frontsheet!#REF!</definedName>
    <definedName name="FFFFF" localSheetId="14">[4]Frontsheet!#REF!</definedName>
    <definedName name="FFFFF" localSheetId="17">[4]Frontsheet!#REF!</definedName>
    <definedName name="FFFFF" localSheetId="20">[4]Frontsheet!#REF!</definedName>
    <definedName name="FFFFF" localSheetId="23">[4]Frontsheet!#REF!</definedName>
    <definedName name="FFFFF" localSheetId="26">[4]Frontsheet!#REF!</definedName>
    <definedName name="FFFFF" localSheetId="29">[4]Frontsheet!#REF!</definedName>
    <definedName name="FFFFF" localSheetId="32">[4]Frontsheet!#REF!</definedName>
    <definedName name="FFFFF" localSheetId="2">[4]Frontsheet!#REF!</definedName>
    <definedName name="FFFFF">[4]Frontsheet!#REF!</definedName>
    <definedName name="FJHJ" localSheetId="6">[4]Frontsheet!#REF!</definedName>
    <definedName name="FJHJ" localSheetId="8">[4]Frontsheet!#REF!</definedName>
    <definedName name="FJHJ" localSheetId="11">[4]Frontsheet!#REF!</definedName>
    <definedName name="FJHJ" localSheetId="14">[4]Frontsheet!#REF!</definedName>
    <definedName name="FJHJ" localSheetId="17">[4]Frontsheet!#REF!</definedName>
    <definedName name="FJHJ" localSheetId="20">[4]Frontsheet!#REF!</definedName>
    <definedName name="FJHJ" localSheetId="23">[4]Frontsheet!#REF!</definedName>
    <definedName name="FJHJ" localSheetId="26">[4]Frontsheet!#REF!</definedName>
    <definedName name="FJHJ" localSheetId="29">[4]Frontsheet!#REF!</definedName>
    <definedName name="FJHJ" localSheetId="32">[4]Frontsheet!#REF!</definedName>
    <definedName name="FJHJ" localSheetId="2">[4]Frontsheet!#REF!</definedName>
    <definedName name="FJHJ">[4]Frontsheet!#REF!</definedName>
    <definedName name="fo" localSheetId="6">#REF!</definedName>
    <definedName name="fo" localSheetId="8">#REF!</definedName>
    <definedName name="fo" localSheetId="11">#REF!</definedName>
    <definedName name="fo" localSheetId="14">#REF!</definedName>
    <definedName name="fo" localSheetId="17">#REF!</definedName>
    <definedName name="fo" localSheetId="20">#REF!</definedName>
    <definedName name="fo" localSheetId="23">#REF!</definedName>
    <definedName name="fo" localSheetId="26">#REF!</definedName>
    <definedName name="fo" localSheetId="29">#REF!</definedName>
    <definedName name="fo" localSheetId="32">#REF!</definedName>
    <definedName name="fo" localSheetId="2">#REF!</definedName>
    <definedName name="fo">#REF!</definedName>
    <definedName name="FORM" localSheetId="6">#REF!</definedName>
    <definedName name="FORM" localSheetId="8">#REF!</definedName>
    <definedName name="FORM" localSheetId="11">#REF!</definedName>
    <definedName name="FORM" localSheetId="14">#REF!</definedName>
    <definedName name="FORM" localSheetId="17">#REF!</definedName>
    <definedName name="FORM" localSheetId="20">#REF!</definedName>
    <definedName name="FORM" localSheetId="23">#REF!</definedName>
    <definedName name="FORM" localSheetId="26">#REF!</definedName>
    <definedName name="FORM" localSheetId="29">#REF!</definedName>
    <definedName name="FORM" localSheetId="32">#REF!</definedName>
    <definedName name="FORM" localSheetId="2">#REF!</definedName>
    <definedName name="FORM">#REF!</definedName>
    <definedName name="FURYUR" localSheetId="6">[4]Frontsheet!#REF!</definedName>
    <definedName name="FURYUR" localSheetId="8">[4]Frontsheet!#REF!</definedName>
    <definedName name="FURYUR" localSheetId="11">[4]Frontsheet!#REF!</definedName>
    <definedName name="FURYUR" localSheetId="14">[4]Frontsheet!#REF!</definedName>
    <definedName name="FURYUR" localSheetId="17">[4]Frontsheet!#REF!</definedName>
    <definedName name="FURYUR" localSheetId="20">[4]Frontsheet!#REF!</definedName>
    <definedName name="FURYUR" localSheetId="23">[4]Frontsheet!#REF!</definedName>
    <definedName name="FURYUR" localSheetId="26">[4]Frontsheet!#REF!</definedName>
    <definedName name="FURYUR" localSheetId="29">[4]Frontsheet!#REF!</definedName>
    <definedName name="FURYUR" localSheetId="32">[4]Frontsheet!#REF!</definedName>
    <definedName name="FURYUR" localSheetId="2">[4]Frontsheet!#REF!</definedName>
    <definedName name="FURYUR">[4]Frontsheet!#REF!</definedName>
    <definedName name="gl" localSheetId="6">[4]Frontsheet!#REF!</definedName>
    <definedName name="gl" localSheetId="8">[4]Frontsheet!#REF!</definedName>
    <definedName name="gl" localSheetId="11">[4]Frontsheet!#REF!</definedName>
    <definedName name="gl" localSheetId="14">[4]Frontsheet!#REF!</definedName>
    <definedName name="gl" localSheetId="17">[4]Frontsheet!#REF!</definedName>
    <definedName name="gl" localSheetId="20">[4]Frontsheet!#REF!</definedName>
    <definedName name="gl" localSheetId="23">[4]Frontsheet!#REF!</definedName>
    <definedName name="gl" localSheetId="26">[4]Frontsheet!#REF!</definedName>
    <definedName name="gl" localSheetId="29">[4]Frontsheet!#REF!</definedName>
    <definedName name="gl" localSheetId="32">[4]Frontsheet!#REF!</definedName>
    <definedName name="gl" localSheetId="2">[4]Frontsheet!#REF!</definedName>
    <definedName name="gl">[4]Frontsheet!#REF!</definedName>
    <definedName name="h" localSheetId="6">[4]Frontsheet!#REF!</definedName>
    <definedName name="h" localSheetId="8">[4]Frontsheet!#REF!</definedName>
    <definedName name="h" localSheetId="11">[4]Frontsheet!#REF!</definedName>
    <definedName name="h" localSheetId="14">[4]Frontsheet!#REF!</definedName>
    <definedName name="h" localSheetId="17">[4]Frontsheet!#REF!</definedName>
    <definedName name="h" localSheetId="20">[4]Frontsheet!#REF!</definedName>
    <definedName name="h" localSheetId="23">[4]Frontsheet!#REF!</definedName>
    <definedName name="h" localSheetId="26">[4]Frontsheet!#REF!</definedName>
    <definedName name="h" localSheetId="29">[4]Frontsheet!#REF!</definedName>
    <definedName name="h" localSheetId="32">[4]Frontsheet!#REF!</definedName>
    <definedName name="h" localSheetId="2">[4]Frontsheet!#REF!</definedName>
    <definedName name="h">[4]Frontsheet!#REF!</definedName>
    <definedName name="hjkhjlkgg" localSheetId="6">[4]Frontsheet!#REF!</definedName>
    <definedName name="hjkhjlkgg" localSheetId="8">[4]Frontsheet!#REF!</definedName>
    <definedName name="hjkhjlkgg" localSheetId="11">[4]Frontsheet!#REF!</definedName>
    <definedName name="hjkhjlkgg" localSheetId="14">[4]Frontsheet!#REF!</definedName>
    <definedName name="hjkhjlkgg" localSheetId="17">[4]Frontsheet!#REF!</definedName>
    <definedName name="hjkhjlkgg" localSheetId="20">[4]Frontsheet!#REF!</definedName>
    <definedName name="hjkhjlkgg" localSheetId="23">[4]Frontsheet!#REF!</definedName>
    <definedName name="hjkhjlkgg" localSheetId="26">[4]Frontsheet!#REF!</definedName>
    <definedName name="hjkhjlkgg" localSheetId="29">[4]Frontsheet!#REF!</definedName>
    <definedName name="hjkhjlkgg" localSheetId="32">[4]Frontsheet!#REF!</definedName>
    <definedName name="hjkhjlkgg" localSheetId="2">[4]Frontsheet!#REF!</definedName>
    <definedName name="hjkhjlkgg">[4]Frontsheet!#REF!</definedName>
    <definedName name="jkjkl" localSheetId="6">[4]Frontsheet!#REF!</definedName>
    <definedName name="jkjkl" localSheetId="8">[4]Frontsheet!#REF!</definedName>
    <definedName name="jkjkl" localSheetId="11">[4]Frontsheet!#REF!</definedName>
    <definedName name="jkjkl" localSheetId="14">[4]Frontsheet!#REF!</definedName>
    <definedName name="jkjkl" localSheetId="17">[4]Frontsheet!#REF!</definedName>
    <definedName name="jkjkl" localSheetId="20">[4]Frontsheet!#REF!</definedName>
    <definedName name="jkjkl" localSheetId="23">[4]Frontsheet!#REF!</definedName>
    <definedName name="jkjkl" localSheetId="26">[4]Frontsheet!#REF!</definedName>
    <definedName name="jkjkl" localSheetId="29">[4]Frontsheet!#REF!</definedName>
    <definedName name="jkjkl" localSheetId="32">[4]Frontsheet!#REF!</definedName>
    <definedName name="jkjkl" localSheetId="2">[4]Frontsheet!#REF!</definedName>
    <definedName name="jkjkl">[4]Frontsheet!#REF!</definedName>
    <definedName name="kb" localSheetId="6">[4]Frontsheet!#REF!</definedName>
    <definedName name="kb" localSheetId="8">[4]Frontsheet!#REF!</definedName>
    <definedName name="kb" localSheetId="11">[4]Frontsheet!#REF!</definedName>
    <definedName name="kb" localSheetId="14">[4]Frontsheet!#REF!</definedName>
    <definedName name="kb" localSheetId="17">[4]Frontsheet!#REF!</definedName>
    <definedName name="kb" localSheetId="20">[4]Frontsheet!#REF!</definedName>
    <definedName name="kb" localSheetId="23">[4]Frontsheet!#REF!</definedName>
    <definedName name="kb" localSheetId="26">[4]Frontsheet!#REF!</definedName>
    <definedName name="kb" localSheetId="29">[4]Frontsheet!#REF!</definedName>
    <definedName name="kb" localSheetId="32">[4]Frontsheet!#REF!</definedName>
    <definedName name="kb" localSheetId="2">[4]Frontsheet!#REF!</definedName>
    <definedName name="kb">[4]Frontsheet!#REF!</definedName>
    <definedName name="ke" localSheetId="6">[4]Frontsheet!#REF!</definedName>
    <definedName name="ke" localSheetId="8">[4]Frontsheet!#REF!</definedName>
    <definedName name="ke" localSheetId="11">[4]Frontsheet!#REF!</definedName>
    <definedName name="ke" localSheetId="14">[4]Frontsheet!#REF!</definedName>
    <definedName name="ke" localSheetId="17">[4]Frontsheet!#REF!</definedName>
    <definedName name="ke" localSheetId="20">[4]Frontsheet!#REF!</definedName>
    <definedName name="ke" localSheetId="23">[4]Frontsheet!#REF!</definedName>
    <definedName name="ke" localSheetId="26">[4]Frontsheet!#REF!</definedName>
    <definedName name="ke" localSheetId="29">[4]Frontsheet!#REF!</definedName>
    <definedName name="ke" localSheetId="32">[4]Frontsheet!#REF!</definedName>
    <definedName name="ke" localSheetId="2">[4]Frontsheet!#REF!</definedName>
    <definedName name="ke">[4]Frontsheet!#REF!</definedName>
    <definedName name="lk" localSheetId="6">[4]Frontsheet!#REF!</definedName>
    <definedName name="lk" localSheetId="8">[4]Frontsheet!#REF!</definedName>
    <definedName name="lk" localSheetId="11">[4]Frontsheet!#REF!</definedName>
    <definedName name="lk" localSheetId="14">[4]Frontsheet!#REF!</definedName>
    <definedName name="lk" localSheetId="17">[4]Frontsheet!#REF!</definedName>
    <definedName name="lk" localSheetId="20">[4]Frontsheet!#REF!</definedName>
    <definedName name="lk" localSheetId="23">[4]Frontsheet!#REF!</definedName>
    <definedName name="lk" localSheetId="26">[4]Frontsheet!#REF!</definedName>
    <definedName name="lk" localSheetId="29">[4]Frontsheet!#REF!</definedName>
    <definedName name="lk" localSheetId="32">[4]Frontsheet!#REF!</definedName>
    <definedName name="lk" localSheetId="2">[4]Frontsheet!#REF!</definedName>
    <definedName name="lk">[4]Frontsheet!#REF!</definedName>
    <definedName name="memo_description">[6]Lists!$D$4:$D$10</definedName>
    <definedName name="ml" localSheetId="6">[4]Frontsheet!#REF!</definedName>
    <definedName name="ml" localSheetId="8">[4]Frontsheet!#REF!</definedName>
    <definedName name="ml" localSheetId="11">[4]Frontsheet!#REF!</definedName>
    <definedName name="ml" localSheetId="14">[4]Frontsheet!#REF!</definedName>
    <definedName name="ml" localSheetId="17">[4]Frontsheet!#REF!</definedName>
    <definedName name="ml" localSheetId="20">[4]Frontsheet!#REF!</definedName>
    <definedName name="ml" localSheetId="23">[4]Frontsheet!#REF!</definedName>
    <definedName name="ml" localSheetId="26">[4]Frontsheet!#REF!</definedName>
    <definedName name="ml" localSheetId="29">[4]Frontsheet!#REF!</definedName>
    <definedName name="ml" localSheetId="32">[4]Frontsheet!#REF!</definedName>
    <definedName name="ml" localSheetId="2">[4]Frontsheet!#REF!</definedName>
    <definedName name="ml">[4]Frontsheet!#REF!</definedName>
    <definedName name="mw" localSheetId="6">[4]Frontsheet!#REF!</definedName>
    <definedName name="mw" localSheetId="8">[4]Frontsheet!#REF!</definedName>
    <definedName name="mw" localSheetId="11">[4]Frontsheet!#REF!</definedName>
    <definedName name="mw" localSheetId="14">[4]Frontsheet!#REF!</definedName>
    <definedName name="mw" localSheetId="17">[4]Frontsheet!#REF!</definedName>
    <definedName name="mw" localSheetId="20">[4]Frontsheet!#REF!</definedName>
    <definedName name="mw" localSheetId="23">[4]Frontsheet!#REF!</definedName>
    <definedName name="mw" localSheetId="26">[4]Frontsheet!#REF!</definedName>
    <definedName name="mw" localSheetId="29">[4]Frontsheet!#REF!</definedName>
    <definedName name="mw" localSheetId="32">[4]Frontsheet!#REF!</definedName>
    <definedName name="mw" localSheetId="2">[4]Frontsheet!#REF!</definedName>
    <definedName name="mw">[4]Frontsheet!#REF!</definedName>
    <definedName name="NEWDRAW" localSheetId="6">#REF!</definedName>
    <definedName name="NEWDRAW" localSheetId="8">#REF!</definedName>
    <definedName name="NEWDRAW" localSheetId="11">#REF!</definedName>
    <definedName name="NEWDRAW" localSheetId="14">#REF!</definedName>
    <definedName name="NEWDRAW" localSheetId="17">#REF!</definedName>
    <definedName name="NEWDRAW" localSheetId="20">#REF!</definedName>
    <definedName name="NEWDRAW" localSheetId="23">#REF!</definedName>
    <definedName name="NEWDRAW" localSheetId="26">#REF!</definedName>
    <definedName name="NEWDRAW" localSheetId="29">#REF!</definedName>
    <definedName name="NEWDRAW" localSheetId="32">#REF!</definedName>
    <definedName name="NEWDRAW" localSheetId="2">#REF!</definedName>
    <definedName name="NEWDRAW">#REF!</definedName>
    <definedName name="NvsEndTime">36465.4707604167</definedName>
    <definedName name="os" localSheetId="6">[4]Frontsheet!#REF!</definedName>
    <definedName name="os" localSheetId="8">[4]Frontsheet!#REF!</definedName>
    <definedName name="os" localSheetId="11">[4]Frontsheet!#REF!</definedName>
    <definedName name="os" localSheetId="14">[4]Frontsheet!#REF!</definedName>
    <definedName name="os" localSheetId="17">[4]Frontsheet!#REF!</definedName>
    <definedName name="os" localSheetId="20">[4]Frontsheet!#REF!</definedName>
    <definedName name="os" localSheetId="23">[4]Frontsheet!#REF!</definedName>
    <definedName name="os" localSheetId="26">[4]Frontsheet!#REF!</definedName>
    <definedName name="os" localSheetId="29">[4]Frontsheet!#REF!</definedName>
    <definedName name="os" localSheetId="32">[4]Frontsheet!#REF!</definedName>
    <definedName name="os" localSheetId="2">[4]Frontsheet!#REF!</definedName>
    <definedName name="os">[4]Frontsheet!#REF!</definedName>
    <definedName name="p" localSheetId="6">[4]Frontsheet!#REF!</definedName>
    <definedName name="p" localSheetId="8">[4]Frontsheet!#REF!</definedName>
    <definedName name="p" localSheetId="11">[4]Frontsheet!#REF!</definedName>
    <definedName name="p" localSheetId="14">[4]Frontsheet!#REF!</definedName>
    <definedName name="p" localSheetId="17">[4]Frontsheet!#REF!</definedName>
    <definedName name="p" localSheetId="20">[4]Frontsheet!#REF!</definedName>
    <definedName name="p" localSheetId="23">[4]Frontsheet!#REF!</definedName>
    <definedName name="p" localSheetId="26">[4]Frontsheet!#REF!</definedName>
    <definedName name="p" localSheetId="29">[4]Frontsheet!#REF!</definedName>
    <definedName name="p" localSheetId="32">[4]Frontsheet!#REF!</definedName>
    <definedName name="p" localSheetId="2">[4]Frontsheet!#REF!</definedName>
    <definedName name="p">[4]Frontsheet!#REF!</definedName>
    <definedName name="pa" localSheetId="6">[4]Frontsheet!#REF!</definedName>
    <definedName name="pa" localSheetId="8">[4]Frontsheet!#REF!</definedName>
    <definedName name="pa" localSheetId="11">[4]Frontsheet!#REF!</definedName>
    <definedName name="pa" localSheetId="14">[4]Frontsheet!#REF!</definedName>
    <definedName name="pa" localSheetId="17">[4]Frontsheet!#REF!</definedName>
    <definedName name="pa" localSheetId="20">[4]Frontsheet!#REF!</definedName>
    <definedName name="pa" localSheetId="23">[4]Frontsheet!#REF!</definedName>
    <definedName name="pa" localSheetId="26">[4]Frontsheet!#REF!</definedName>
    <definedName name="pa" localSheetId="29">[4]Frontsheet!#REF!</definedName>
    <definedName name="pa" localSheetId="32">[4]Frontsheet!#REF!</definedName>
    <definedName name="pa" localSheetId="2">[4]Frontsheet!#REF!</definedName>
    <definedName name="pa">[4]Frontsheet!#REF!</definedName>
    <definedName name="PD" localSheetId="6">#REF!</definedName>
    <definedName name="PD" localSheetId="8">#REF!</definedName>
    <definedName name="PD" localSheetId="11">#REF!</definedName>
    <definedName name="PD" localSheetId="14">#REF!</definedName>
    <definedName name="PD" localSheetId="17">#REF!</definedName>
    <definedName name="PD" localSheetId="20">#REF!</definedName>
    <definedName name="PD" localSheetId="23">#REF!</definedName>
    <definedName name="PD" localSheetId="26">#REF!</definedName>
    <definedName name="PD" localSheetId="29">#REF!</definedName>
    <definedName name="PD" localSheetId="32">#REF!</definedName>
    <definedName name="PD" localSheetId="2">#REF!</definedName>
    <definedName name="PD">#REF!</definedName>
    <definedName name="pipeline_status">[6]Lists!$F$4:$F$8</definedName>
    <definedName name="pp" localSheetId="6">[4]Frontsheet!#REF!</definedName>
    <definedName name="pp" localSheetId="8">[4]Frontsheet!#REF!</definedName>
    <definedName name="pp" localSheetId="11">[4]Frontsheet!#REF!</definedName>
    <definedName name="pp" localSheetId="14">[4]Frontsheet!#REF!</definedName>
    <definedName name="pp" localSheetId="17">[4]Frontsheet!#REF!</definedName>
    <definedName name="pp" localSheetId="20">[4]Frontsheet!#REF!</definedName>
    <definedName name="pp" localSheetId="23">[4]Frontsheet!#REF!</definedName>
    <definedName name="pp" localSheetId="26">[4]Frontsheet!#REF!</definedName>
    <definedName name="pp" localSheetId="29">[4]Frontsheet!#REF!</definedName>
    <definedName name="pp" localSheetId="32">[4]Frontsheet!#REF!</definedName>
    <definedName name="pp" localSheetId="2">[4]Frontsheet!#REF!</definedName>
    <definedName name="pp">[4]Frontsheet!#REF!</definedName>
    <definedName name="_xlnm.Print_Area" localSheetId="7">'1-A DRAW'!$A$3:$CK$62</definedName>
    <definedName name="_xlnm.Print_Area" localSheetId="6">'1-A Financial'!$A$1:$E$179</definedName>
    <definedName name="_xlnm.Print_Area" localSheetId="9">'1-B DRAW'!$A$3:$CK$63</definedName>
    <definedName name="_xlnm.Print_Area" localSheetId="8">'1-B Financial'!$A$1:$E$179</definedName>
    <definedName name="_xlnm.Print_Area" localSheetId="12">'2-C DRAW'!$A$3:$CK$63</definedName>
    <definedName name="_xlnm.Print_Area" localSheetId="11">'2-C Financial'!$A$1:$E$179</definedName>
    <definedName name="_xlnm.Print_Area" localSheetId="15">'2-D DRAW'!$A$3:$CK$63</definedName>
    <definedName name="_xlnm.Print_Area" localSheetId="14">'2-D Financial'!$A$1:$E$179</definedName>
    <definedName name="_xlnm.Print_Area" localSheetId="18">'2-E DRAW'!$A$3:$CK$63</definedName>
    <definedName name="_xlnm.Print_Area" localSheetId="17">'2-E Financial'!$A$1:$E$179</definedName>
    <definedName name="_xlnm.Print_Area" localSheetId="21">'3-F DRAW'!$A$3:$CK$63</definedName>
    <definedName name="_xlnm.Print_Area" localSheetId="20">'3-F Financial'!$A$1:$E$179</definedName>
    <definedName name="_xlnm.Print_Area" localSheetId="24">'3-G DRAW'!$A$3:$CK$63</definedName>
    <definedName name="_xlnm.Print_Area" localSheetId="23">'3-G Financial'!$A$1:$E$179</definedName>
    <definedName name="_xlnm.Print_Area" localSheetId="27">'4-H DRAW'!$A$3:$CK$63</definedName>
    <definedName name="_xlnm.Print_Area" localSheetId="26">'4-H Financial'!$A$1:$E$179</definedName>
    <definedName name="_xlnm.Print_Area" localSheetId="30">'4-I DRAW'!$A$3:$CK$63</definedName>
    <definedName name="_xlnm.Print_Area" localSheetId="29">'4-I Financial'!$A$1:$E$179</definedName>
    <definedName name="_xlnm.Print_Area" localSheetId="33">'4-J DRAW'!$A$3:$CK$63</definedName>
    <definedName name="_xlnm.Print_Area" localSheetId="32">'4-J Financial'!$A$1:$E$179</definedName>
    <definedName name="_xlnm.Print_Area" localSheetId="2">'Development Program'!$A$28:$P$76</definedName>
    <definedName name="_xlnm.Print_Area">#REF!</definedName>
    <definedName name="print_area2" localSheetId="6">#REF!</definedName>
    <definedName name="print_area2" localSheetId="8">#REF!</definedName>
    <definedName name="print_area2" localSheetId="11">#REF!</definedName>
    <definedName name="print_area2" localSheetId="14">#REF!</definedName>
    <definedName name="print_area2" localSheetId="17">#REF!</definedName>
    <definedName name="print_area2" localSheetId="20">#REF!</definedName>
    <definedName name="print_area2" localSheetId="23">#REF!</definedName>
    <definedName name="print_area2" localSheetId="26">#REF!</definedName>
    <definedName name="print_area2" localSheetId="29">#REF!</definedName>
    <definedName name="print_area2" localSheetId="32">#REF!</definedName>
    <definedName name="print_area2" localSheetId="2">#REF!</definedName>
    <definedName name="print_area2">#REF!</definedName>
    <definedName name="print_area3" localSheetId="6">#REF!</definedName>
    <definedName name="print_area3" localSheetId="8">#REF!</definedName>
    <definedName name="print_area3" localSheetId="11">#REF!</definedName>
    <definedName name="print_area3" localSheetId="14">#REF!</definedName>
    <definedName name="print_area3" localSheetId="17">#REF!</definedName>
    <definedName name="print_area3" localSheetId="20">#REF!</definedName>
    <definedName name="print_area3" localSheetId="23">#REF!</definedName>
    <definedName name="print_area3" localSheetId="26">#REF!</definedName>
    <definedName name="print_area3" localSheetId="29">#REF!</definedName>
    <definedName name="print_area3" localSheetId="32">#REF!</definedName>
    <definedName name="print_area3" localSheetId="2">#REF!</definedName>
    <definedName name="print_area3">#REF!</definedName>
    <definedName name="print_area4" localSheetId="6">#REF!</definedName>
    <definedName name="print_area4" localSheetId="8">#REF!</definedName>
    <definedName name="print_area4" localSheetId="11">#REF!</definedName>
    <definedName name="print_area4" localSheetId="14">#REF!</definedName>
    <definedName name="print_area4" localSheetId="17">#REF!</definedName>
    <definedName name="print_area4" localSheetId="20">#REF!</definedName>
    <definedName name="print_area4" localSheetId="23">#REF!</definedName>
    <definedName name="print_area4" localSheetId="26">#REF!</definedName>
    <definedName name="print_area4" localSheetId="29">#REF!</definedName>
    <definedName name="print_area4" localSheetId="32">#REF!</definedName>
    <definedName name="print_area4" localSheetId="2">#REF!</definedName>
    <definedName name="print_area4">#REF!</definedName>
    <definedName name="_xlnm.Print_Titles">#N/A</definedName>
    <definedName name="PROFORMA" localSheetId="6">#REF!</definedName>
    <definedName name="PROFORMA" localSheetId="8">#REF!</definedName>
    <definedName name="PROFORMA" localSheetId="11">#REF!</definedName>
    <definedName name="PROFORMA" localSheetId="14">#REF!</definedName>
    <definedName name="PROFORMA" localSheetId="17">#REF!</definedName>
    <definedName name="PROFORMA" localSheetId="20">#REF!</definedName>
    <definedName name="PROFORMA" localSheetId="23">#REF!</definedName>
    <definedName name="PROFORMA" localSheetId="26">#REF!</definedName>
    <definedName name="PROFORMA" localSheetId="29">#REF!</definedName>
    <definedName name="PROFORMA" localSheetId="32">#REF!</definedName>
    <definedName name="PROFORMA" localSheetId="2">#REF!</definedName>
    <definedName name="PROFORMA">#REF!</definedName>
    <definedName name="Promote_dev_1">[6]Input!$E$330</definedName>
    <definedName name="Property_Types">'[8]Deal Assumptions'!$G$345:$Z$345</definedName>
    <definedName name="pt" localSheetId="6">[4]Frontsheet!#REF!</definedName>
    <definedName name="pt" localSheetId="8">[4]Frontsheet!#REF!</definedName>
    <definedName name="pt" localSheetId="11">[4]Frontsheet!#REF!</definedName>
    <definedName name="pt" localSheetId="14">[4]Frontsheet!#REF!</definedName>
    <definedName name="pt" localSheetId="17">[4]Frontsheet!#REF!</definedName>
    <definedName name="pt" localSheetId="20">[4]Frontsheet!#REF!</definedName>
    <definedName name="pt" localSheetId="23">[4]Frontsheet!#REF!</definedName>
    <definedName name="pt" localSheetId="26">[4]Frontsheet!#REF!</definedName>
    <definedName name="pt" localSheetId="29">[4]Frontsheet!#REF!</definedName>
    <definedName name="pt" localSheetId="32">[4]Frontsheet!#REF!</definedName>
    <definedName name="pt" localSheetId="2">[4]Frontsheet!#REF!</definedName>
    <definedName name="pt">[4]Frontsheet!#REF!</definedName>
    <definedName name="qq" localSheetId="6">#REF!</definedName>
    <definedName name="qq" localSheetId="8">#REF!</definedName>
    <definedName name="qq" localSheetId="11">#REF!</definedName>
    <definedName name="qq" localSheetId="14">#REF!</definedName>
    <definedName name="qq" localSheetId="17">#REF!</definedName>
    <definedName name="qq" localSheetId="20">#REF!</definedName>
    <definedName name="qq" localSheetId="23">#REF!</definedName>
    <definedName name="qq" localSheetId="26">#REF!</definedName>
    <definedName name="qq" localSheetId="29">#REF!</definedName>
    <definedName name="qq" localSheetId="32">#REF!</definedName>
    <definedName name="qq" localSheetId="2">#REF!</definedName>
    <definedName name="qq">#REF!</definedName>
    <definedName name="report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f" localSheetId="6">[4]Frontsheet!#REF!</definedName>
    <definedName name="rf" localSheetId="8">[4]Frontsheet!#REF!</definedName>
    <definedName name="rf" localSheetId="11">[4]Frontsheet!#REF!</definedName>
    <definedName name="rf" localSheetId="14">[4]Frontsheet!#REF!</definedName>
    <definedName name="rf" localSheetId="17">[4]Frontsheet!#REF!</definedName>
    <definedName name="rf" localSheetId="20">[4]Frontsheet!#REF!</definedName>
    <definedName name="rf" localSheetId="23">[4]Frontsheet!#REF!</definedName>
    <definedName name="rf" localSheetId="26">[4]Frontsheet!#REF!</definedName>
    <definedName name="rf" localSheetId="29">[4]Frontsheet!#REF!</definedName>
    <definedName name="rf" localSheetId="32">[4]Frontsheet!#REF!</definedName>
    <definedName name="rf" localSheetId="2">[4]Frontsheet!#REF!</definedName>
    <definedName name="rf">[4]Frontsheet!#REF!</definedName>
    <definedName name="S_U" localSheetId="6">#REF!</definedName>
    <definedName name="S_U" localSheetId="8">#REF!</definedName>
    <definedName name="S_U" localSheetId="11">#REF!</definedName>
    <definedName name="S_U" localSheetId="14">#REF!</definedName>
    <definedName name="S_U" localSheetId="17">#REF!</definedName>
    <definedName name="S_U" localSheetId="20">#REF!</definedName>
    <definedName name="S_U" localSheetId="23">#REF!</definedName>
    <definedName name="S_U" localSheetId="26">#REF!</definedName>
    <definedName name="S_U" localSheetId="29">#REF!</definedName>
    <definedName name="S_U" localSheetId="32">#REF!</definedName>
    <definedName name="S_U" localSheetId="2">#REF!</definedName>
    <definedName name="S_U">#REF!</definedName>
    <definedName name="Sample1" localSheetId="6">[9]Template!#REF!</definedName>
    <definedName name="Sample1" localSheetId="8">[9]Template!#REF!</definedName>
    <definedName name="Sample1" localSheetId="11">[9]Template!#REF!</definedName>
    <definedName name="Sample1" localSheetId="14">[9]Template!#REF!</definedName>
    <definedName name="Sample1" localSheetId="17">[9]Template!#REF!</definedName>
    <definedName name="Sample1" localSheetId="20">[9]Template!#REF!</definedName>
    <definedName name="Sample1" localSheetId="23">[9]Template!#REF!</definedName>
    <definedName name="Sample1" localSheetId="26">[9]Template!#REF!</definedName>
    <definedName name="Sample1" localSheetId="29">[9]Template!#REF!</definedName>
    <definedName name="Sample1" localSheetId="32">[9]Template!#REF!</definedName>
    <definedName name="Sample1" localSheetId="2">[9]Template!#REF!</definedName>
    <definedName name="Sample1">[9]Template!#REF!</definedName>
    <definedName name="sample2" localSheetId="6">[10]Template!#REF!</definedName>
    <definedName name="sample2" localSheetId="8">[10]Template!#REF!</definedName>
    <definedName name="sample2" localSheetId="11">[10]Template!#REF!</definedName>
    <definedName name="sample2" localSheetId="14">[10]Template!#REF!</definedName>
    <definedName name="sample2" localSheetId="17">[10]Template!#REF!</definedName>
    <definedName name="sample2" localSheetId="20">[10]Template!#REF!</definedName>
    <definedName name="sample2" localSheetId="23">[10]Template!#REF!</definedName>
    <definedName name="sample2" localSheetId="26">[10]Template!#REF!</definedName>
    <definedName name="sample2" localSheetId="29">[10]Template!#REF!</definedName>
    <definedName name="sample2" localSheetId="32">[10]Template!#REF!</definedName>
    <definedName name="sample2" localSheetId="2">[10]Template!#REF!</definedName>
    <definedName name="sample2">[10]Template!#REF!</definedName>
    <definedName name="sample3" localSheetId="6">[10]Template!#REF!</definedName>
    <definedName name="sample3" localSheetId="8">[10]Template!#REF!</definedName>
    <definedName name="sample3" localSheetId="11">[10]Template!#REF!</definedName>
    <definedName name="sample3" localSheetId="14">[10]Template!#REF!</definedName>
    <definedName name="sample3" localSheetId="17">[10]Template!#REF!</definedName>
    <definedName name="sample3" localSheetId="20">[10]Template!#REF!</definedName>
    <definedName name="sample3" localSheetId="23">[10]Template!#REF!</definedName>
    <definedName name="sample3" localSheetId="26">[10]Template!#REF!</definedName>
    <definedName name="sample3" localSheetId="29">[10]Template!#REF!</definedName>
    <definedName name="sample3" localSheetId="32">[10]Template!#REF!</definedName>
    <definedName name="sample3" localSheetId="2">[10]Template!#REF!</definedName>
    <definedName name="sample3">[10]Template!#REF!</definedName>
    <definedName name="sdf" hidden="1">{"Assump",#N/A,TRUE,"Proforma";"first",#N/A,TRUE,"Proforma";"second",#N/A,TRUE,"Proforma";"lease1",#N/A,TRUE,"Proforma";"lease2",#N/A,TRUE,"Proforma"}</definedName>
    <definedName name="sdfgsfgdsfg" localSheetId="6">[4]Frontsheet!#REF!</definedName>
    <definedName name="sdfgsfgdsfg" localSheetId="8">[4]Frontsheet!#REF!</definedName>
    <definedName name="sdfgsfgdsfg" localSheetId="11">[4]Frontsheet!#REF!</definedName>
    <definedName name="sdfgsfgdsfg" localSheetId="14">[4]Frontsheet!#REF!</definedName>
    <definedName name="sdfgsfgdsfg" localSheetId="17">[4]Frontsheet!#REF!</definedName>
    <definedName name="sdfgsfgdsfg" localSheetId="20">[4]Frontsheet!#REF!</definedName>
    <definedName name="sdfgsfgdsfg" localSheetId="23">[4]Frontsheet!#REF!</definedName>
    <definedName name="sdfgsfgdsfg" localSheetId="26">[4]Frontsheet!#REF!</definedName>
    <definedName name="sdfgsfgdsfg" localSheetId="29">[4]Frontsheet!#REF!</definedName>
    <definedName name="sdfgsfgdsfg" localSheetId="32">[4]Frontsheet!#REF!</definedName>
    <definedName name="sdfgsfgdsfg" localSheetId="2">[4]Frontsheet!#REF!</definedName>
    <definedName name="sdfgsfgdsfg">[4]Frontsheet!#REF!</definedName>
    <definedName name="SF">'[11]One Pager - Assumptions'!$H$31</definedName>
    <definedName name="sg" localSheetId="6">[4]Frontsheet!#REF!</definedName>
    <definedName name="sg" localSheetId="8">[4]Frontsheet!#REF!</definedName>
    <definedName name="sg" localSheetId="11">[4]Frontsheet!#REF!</definedName>
    <definedName name="sg" localSheetId="14">[4]Frontsheet!#REF!</definedName>
    <definedName name="sg" localSheetId="17">[4]Frontsheet!#REF!</definedName>
    <definedName name="sg" localSheetId="20">[4]Frontsheet!#REF!</definedName>
    <definedName name="sg" localSheetId="23">[4]Frontsheet!#REF!</definedName>
    <definedName name="sg" localSheetId="26">[4]Frontsheet!#REF!</definedName>
    <definedName name="sg" localSheetId="29">[4]Frontsheet!#REF!</definedName>
    <definedName name="sg" localSheetId="32">[4]Frontsheet!#REF!</definedName>
    <definedName name="sg" localSheetId="2">[4]Frontsheet!#REF!</definedName>
    <definedName name="sg">[4]Frontsheet!#REF!</definedName>
    <definedName name="si" localSheetId="6">[4]Frontsheet!#REF!</definedName>
    <definedName name="si" localSheetId="8">[4]Frontsheet!#REF!</definedName>
    <definedName name="si" localSheetId="11">[4]Frontsheet!#REF!</definedName>
    <definedName name="si" localSheetId="14">[4]Frontsheet!#REF!</definedName>
    <definedName name="si" localSheetId="17">[4]Frontsheet!#REF!</definedName>
    <definedName name="si" localSheetId="20">[4]Frontsheet!#REF!</definedName>
    <definedName name="si" localSheetId="23">[4]Frontsheet!#REF!</definedName>
    <definedName name="si" localSheetId="26">[4]Frontsheet!#REF!</definedName>
    <definedName name="si" localSheetId="29">[4]Frontsheet!#REF!</definedName>
    <definedName name="si" localSheetId="32">[4]Frontsheet!#REF!</definedName>
    <definedName name="si" localSheetId="2">[4]Frontsheet!#REF!</definedName>
    <definedName name="si">[4]Frontsheet!#REF!</definedName>
    <definedName name="tp" localSheetId="6">[4]Frontsheet!#REF!</definedName>
    <definedName name="tp" localSheetId="8">[4]Frontsheet!#REF!</definedName>
    <definedName name="tp" localSheetId="11">[4]Frontsheet!#REF!</definedName>
    <definedName name="tp" localSheetId="14">[4]Frontsheet!#REF!</definedName>
    <definedName name="tp" localSheetId="17">[4]Frontsheet!#REF!</definedName>
    <definedName name="tp" localSheetId="20">[4]Frontsheet!#REF!</definedName>
    <definedName name="tp" localSheetId="23">[4]Frontsheet!#REF!</definedName>
    <definedName name="tp" localSheetId="26">[4]Frontsheet!#REF!</definedName>
    <definedName name="tp" localSheetId="29">[4]Frontsheet!#REF!</definedName>
    <definedName name="tp" localSheetId="32">[4]Frontsheet!#REF!</definedName>
    <definedName name="tp" localSheetId="2">[4]Frontsheet!#REF!</definedName>
    <definedName name="tp">[4]Frontsheet!#REF!</definedName>
    <definedName name="Trended_hard_cost">[6]Input!$K$47</definedName>
    <definedName name="trended_partner_contributions" localSheetId="6">'[6]Trended Cash Flow'!#REF!</definedName>
    <definedName name="trended_partner_contributions" localSheetId="8">'[6]Trended Cash Flow'!#REF!</definedName>
    <definedName name="trended_partner_contributions" localSheetId="11">'[6]Trended Cash Flow'!#REF!</definedName>
    <definedName name="trended_partner_contributions" localSheetId="14">'[6]Trended Cash Flow'!#REF!</definedName>
    <definedName name="trended_partner_contributions" localSheetId="17">'[6]Trended Cash Flow'!#REF!</definedName>
    <definedName name="trended_partner_contributions" localSheetId="20">'[6]Trended Cash Flow'!#REF!</definedName>
    <definedName name="trended_partner_contributions" localSheetId="23">'[6]Trended Cash Flow'!#REF!</definedName>
    <definedName name="trended_partner_contributions" localSheetId="26">'[6]Trended Cash Flow'!#REF!</definedName>
    <definedName name="trended_partner_contributions" localSheetId="29">'[6]Trended Cash Flow'!#REF!</definedName>
    <definedName name="trended_partner_contributions" localSheetId="32">'[6]Trended Cash Flow'!#REF!</definedName>
    <definedName name="trended_partner_contributions" localSheetId="2">'[6]Trended Cash Flow'!#REF!</definedName>
    <definedName name="trended_partner_contributions">'[6]Trended Cash Flow'!#REF!</definedName>
    <definedName name="TT" localSheetId="6">[4]Frontsheet!#REF!</definedName>
    <definedName name="TT" localSheetId="8">[4]Frontsheet!#REF!</definedName>
    <definedName name="TT" localSheetId="11">[4]Frontsheet!#REF!</definedName>
    <definedName name="TT" localSheetId="14">[4]Frontsheet!#REF!</definedName>
    <definedName name="TT" localSheetId="17">[4]Frontsheet!#REF!</definedName>
    <definedName name="TT" localSheetId="20">[4]Frontsheet!#REF!</definedName>
    <definedName name="TT" localSheetId="23">[4]Frontsheet!#REF!</definedName>
    <definedName name="TT" localSheetId="26">[4]Frontsheet!#REF!</definedName>
    <definedName name="TT" localSheetId="29">[4]Frontsheet!#REF!</definedName>
    <definedName name="TT" localSheetId="32">[4]Frontsheet!#REF!</definedName>
    <definedName name="TT" localSheetId="2">[4]Frontsheet!#REF!</definedName>
    <definedName name="TT">[4]Frontsheet!#REF!</definedName>
    <definedName name="units">'[12]Equity Investor Sheet 2538'!$G$132</definedName>
    <definedName name="untrended_dates">'[6]Untrended Cash Flow'!$E$12:$BL$12</definedName>
    <definedName name="untrended_partner_contributions">'[6]Untrended Cash Flow'!$E$154:$BL$154</definedName>
    <definedName name="vital5">'[7]Customize Your Invoice'!$E$15</definedName>
    <definedName name="wetadf" hidden="1">{"Assump",#N/A,TRUE,"Proforma";"first",#N/A,TRUE,"Proforma";"second",#N/A,TRUE,"Proforma";"lease1",#N/A,TRUE,"Proforma";"lease2",#N/A,TRUE,"Proforma"}</definedName>
    <definedName name="wrn.BlackWhite." hidden="1">{#N/A,#N/A,FALSE,"NNN sum";#N/A,#N/A,FALSE,"10-yr Opt. A Sum";#N/A,#N/A,FALSE,"10-yr Opt A Other Costs";#N/A,#N/A,FALSE,"Purchase Sum";#N/A,#N/A,FALSE,"Purchase Other Costs"}</definedName>
    <definedName name="wrn.Complete._.Review." hidden="1">{#N/A,#N/A,FALSE,"Occ and Rate";#N/A,#N/A,FALSE,"PF Input";#N/A,#N/A,FALSE,"Capital Input";#N/A,#N/A,FALSE,"Proforma Five Yr";#N/A,#N/A,FALSE,"Calculations";#N/A,#N/A,FALSE,"Transaction Summary-DTW"}</definedName>
    <definedName name="wrn.cssa." hidden="1">{#N/A,#N/A,FALSE,"WATCHDSC";#N/A,#N/A,FALSE,"2LOSSMOD";#N/A,#N/A,FALSE,"2LOSS";#N/A,#N/A,FALSE,"DSC";#N/A,#N/A,FALSE,"OPERAT";#N/A,#N/A,FALSE,"ADJUST";#N/A,#N/A,FALSE,"LEASE EXPIRE"}</definedName>
    <definedName name="wrn.data." hidden="1">{"data",#N/A,FALSE,"INPUT"}</definedName>
    <definedName name="wrn.GSA._.PRINT." hidden="1">{#N/A,#N/A,FALSE,"DEV COSTS";#N/A,#N/A,FALSE,"10-YR C. F."}</definedName>
    <definedName name="wrn.Investment._.Review." hidden="1">{#N/A,#N/A,FALSE,"Proforma Five Yr";#N/A,#N/A,FALSE,"Capital Input";#N/A,#N/A,FALSE,"Calculations";#N/A,#N/A,FALSE,"Transaction Summary-DTW"}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Operations._.Review." hidden="1">{#N/A,#N/A,FALSE,"Proforma Five Yr";#N/A,#N/A,FALSE,"Occ and Rate";#N/A,#N/A,FALSE,"PF Input";#N/A,#N/A,FALSE,"Hotcomps"}</definedName>
    <definedName name="wrn.Phase._.I." hidden="1">{#N/A,#N/A,FALSE,"Transaction Summary-DTW";#N/A,#N/A,FALSE,"Proforma Five Yr";#N/A,#N/A,FALSE,"Occ and Rate"}</definedName>
    <definedName name="wrn.print." hidden="1">{"Assump",#N/A,TRUE,"Proforma";"first",#N/A,TRUE,"Proforma";"second",#N/A,TRUE,"Proforma";"lease1",#N/A,TRUE,"Proforma";"lease2",#N/A,TRUE,"Proforma"}</definedName>
    <definedName name="wrn.Proforma._.Review." hidden="1">{#N/A,#N/A,FALSE,"Occ and Rate";#N/A,#N/A,FALSE,"PF Input";#N/A,#N/A,FALSE,"Proforma Five Yr";#N/A,#N/A,FALSE,"Hotcomps"}</definedName>
    <definedName name="wrn.Report.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wrn.Total.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_.SHEETS." hidden="1">{#N/A,#N/A,FALSE,"DEV COSTS";#N/A,#N/A,FALSE,"10-YR C. F."}</definedName>
    <definedName name="wrn.WeeklyStatus." hidden="1">{#N/A,#N/A,FALSE,"StatusReport"}</definedName>
    <definedName name="wrn.YTD.Clsngs.Subdiv.Dte." hidden="1">{"Smry.sbtl.subdiv.clsdte",#N/A,FALSE,"97clsngs.612"}</definedName>
    <definedName name="x" hidden="1">{#N/A,#N/A,FALSE,"WATCHDSC";#N/A,#N/A,FALSE,"2LOSSMOD";#N/A,#N/A,FALSE,"2LOSS";#N/A,#N/A,FALSE,"DSC";#N/A,#N/A,FALSE,"OPERAT";#N/A,#N/A,FALSE,"ADJUST";#N/A,#N/A,FALSE,"LEASE EXPIRE"}</definedName>
  </definedNames>
  <calcPr calcId="191028" iterate="1" calcCompleted="0"/>
  <fileRecoveryPr autoRecover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64" l="1"/>
  <c r="D8" i="262"/>
  <c r="D8" i="260"/>
  <c r="D8" i="258"/>
  <c r="D8" i="267"/>
  <c r="D8" i="254"/>
  <c r="D8" i="252"/>
  <c r="D8" i="250"/>
  <c r="D8" i="237"/>
  <c r="D8" i="248"/>
  <c r="C16" i="159"/>
  <c r="E3" i="272"/>
  <c r="E3" i="273"/>
  <c r="E3" i="275"/>
  <c r="E3" i="278"/>
  <c r="E3" i="280"/>
  <c r="E3" i="283"/>
  <c r="E3" i="285"/>
  <c r="E3" i="287"/>
  <c r="E3" i="289"/>
  <c r="E6" i="272"/>
  <c r="E6" i="273"/>
  <c r="E6" i="275"/>
  <c r="E6" i="278"/>
  <c r="E6" i="280"/>
  <c r="E6" i="283"/>
  <c r="E6" i="285"/>
  <c r="E6" i="287"/>
  <c r="E6" i="289"/>
  <c r="N170" i="264"/>
  <c r="H170" i="264"/>
  <c r="B170" i="264"/>
  <c r="N170" i="262"/>
  <c r="H170" i="262"/>
  <c r="B170" i="262"/>
  <c r="N170" i="260"/>
  <c r="H170" i="260"/>
  <c r="B170" i="260"/>
  <c r="N170" i="258"/>
  <c r="H170" i="258"/>
  <c r="B170" i="258"/>
  <c r="N170" i="267"/>
  <c r="H170" i="267"/>
  <c r="B170" i="267"/>
  <c r="N170" i="254"/>
  <c r="H170" i="254"/>
  <c r="B170" i="254"/>
  <c r="N170" i="252"/>
  <c r="H170" i="252"/>
  <c r="B170" i="252"/>
  <c r="N170" i="250"/>
  <c r="H170" i="250"/>
  <c r="B170" i="250"/>
  <c r="N170" i="237"/>
  <c r="H170" i="237"/>
  <c r="B170" i="237"/>
  <c r="N170" i="248"/>
  <c r="H170" i="248"/>
  <c r="B170" i="248"/>
  <c r="N166" i="264" l="1"/>
  <c r="H166" i="264"/>
  <c r="B166" i="264"/>
  <c r="B166" i="262"/>
  <c r="N166" i="262"/>
  <c r="H166" i="262"/>
  <c r="B166" i="260"/>
  <c r="N166" i="260"/>
  <c r="H166" i="260"/>
  <c r="N166" i="258"/>
  <c r="H166" i="258"/>
  <c r="B166" i="258"/>
  <c r="N166" i="267"/>
  <c r="H166" i="267"/>
  <c r="B166" i="267"/>
  <c r="B166" i="254"/>
  <c r="N166" i="254"/>
  <c r="H166" i="254"/>
  <c r="B166" i="252"/>
  <c r="N166" i="252"/>
  <c r="H166" i="252"/>
  <c r="B166" i="250"/>
  <c r="N166" i="250"/>
  <c r="H166" i="250"/>
  <c r="B166" i="237"/>
  <c r="N166" i="237"/>
  <c r="H166" i="237"/>
  <c r="N166" i="248"/>
  <c r="H166" i="248"/>
  <c r="B166" i="248"/>
  <c r="B169" i="248"/>
  <c r="E11" i="272"/>
  <c r="E10" i="272"/>
  <c r="E11" i="273"/>
  <c r="E10" i="273"/>
  <c r="E11" i="275"/>
  <c r="E10" i="275"/>
  <c r="E11" i="278"/>
  <c r="E10" i="278"/>
  <c r="E11" i="280"/>
  <c r="E10" i="280"/>
  <c r="E11" i="283"/>
  <c r="E10" i="283"/>
  <c r="E11" i="285"/>
  <c r="E10" i="285"/>
  <c r="E11" i="287"/>
  <c r="E10" i="287"/>
  <c r="E11" i="289"/>
  <c r="E10" i="289"/>
  <c r="L38" i="140"/>
  <c r="I38" i="140"/>
  <c r="G38" i="140"/>
  <c r="D38" i="140"/>
  <c r="R57" i="236"/>
  <c r="Q57" i="236"/>
  <c r="R55" i="236"/>
  <c r="Q55" i="236"/>
  <c r="R53" i="236"/>
  <c r="Q53" i="236"/>
  <c r="R51" i="236"/>
  <c r="Q51" i="236"/>
  <c r="R49" i="236"/>
  <c r="Q49" i="236"/>
  <c r="N169" i="248"/>
  <c r="H169" i="248"/>
  <c r="B169" i="237"/>
  <c r="N169" i="237"/>
  <c r="H169" i="237"/>
  <c r="N169" i="250"/>
  <c r="H169" i="250"/>
  <c r="B169" i="250"/>
  <c r="N169" i="252"/>
  <c r="H169" i="252"/>
  <c r="B169" i="252"/>
  <c r="N169" i="260"/>
  <c r="H169" i="260"/>
  <c r="B169" i="260"/>
  <c r="N169" i="254"/>
  <c r="H169" i="254"/>
  <c r="B169" i="254"/>
  <c r="N169" i="267"/>
  <c r="H169" i="267"/>
  <c r="B169" i="267"/>
  <c r="N169" i="258"/>
  <c r="H169" i="258"/>
  <c r="B169" i="258"/>
  <c r="N169" i="262"/>
  <c r="H169" i="262"/>
  <c r="B169" i="262"/>
  <c r="N169" i="264"/>
  <c r="H169" i="264"/>
  <c r="B169" i="264"/>
  <c r="A157" i="264"/>
  <c r="M157" i="264"/>
  <c r="M158" i="264" s="1"/>
  <c r="G157" i="264"/>
  <c r="G158" i="264" s="1"/>
  <c r="M157" i="262"/>
  <c r="M158" i="262" s="1"/>
  <c r="G157" i="262"/>
  <c r="G158" i="262" s="1"/>
  <c r="A157" i="262"/>
  <c r="A158" i="262" s="1"/>
  <c r="M157" i="258"/>
  <c r="M158" i="258" s="1"/>
  <c r="G157" i="258"/>
  <c r="G158" i="258" s="1"/>
  <c r="A157" i="258"/>
  <c r="A158" i="258" s="1"/>
  <c r="M157" i="267"/>
  <c r="M158" i="267" s="1"/>
  <c r="G157" i="267"/>
  <c r="G158" i="267" s="1"/>
  <c r="A157" i="267"/>
  <c r="A158" i="267" s="1"/>
  <c r="M157" i="254"/>
  <c r="M158" i="254" s="1"/>
  <c r="G157" i="254"/>
  <c r="G158" i="254" s="1"/>
  <c r="A157" i="254"/>
  <c r="A158" i="254" s="1"/>
  <c r="M157" i="260"/>
  <c r="M158" i="260" s="1"/>
  <c r="G157" i="260"/>
  <c r="G158" i="260" s="1"/>
  <c r="A157" i="260"/>
  <c r="A158" i="260" s="1"/>
  <c r="M157" i="252"/>
  <c r="M158" i="252" s="1"/>
  <c r="G157" i="252"/>
  <c r="G158" i="252" s="1"/>
  <c r="A157" i="252"/>
  <c r="A158" i="252" s="1"/>
  <c r="M157" i="250"/>
  <c r="M158" i="250" s="1"/>
  <c r="G157" i="250"/>
  <c r="G158" i="250" s="1"/>
  <c r="A157" i="250"/>
  <c r="A158" i="250" s="1"/>
  <c r="M157" i="237"/>
  <c r="M158" i="237" s="1"/>
  <c r="G157" i="237"/>
  <c r="G158" i="237" s="1"/>
  <c r="A157" i="237"/>
  <c r="A158" i="237" s="1"/>
  <c r="M157" i="248"/>
  <c r="M158" i="248" s="1"/>
  <c r="G157" i="248"/>
  <c r="G158" i="248" s="1"/>
  <c r="A157" i="248"/>
  <c r="A158" i="248" s="1"/>
  <c r="B133" i="248"/>
  <c r="B27" i="264"/>
  <c r="B26" i="264"/>
  <c r="B20" i="264"/>
  <c r="B9" i="264"/>
  <c r="B27" i="262"/>
  <c r="B26" i="262"/>
  <c r="B20" i="262"/>
  <c r="B9" i="262"/>
  <c r="B27" i="260"/>
  <c r="B26" i="260"/>
  <c r="B20" i="260"/>
  <c r="B9" i="260"/>
  <c r="B27" i="258"/>
  <c r="B26" i="258"/>
  <c r="B20" i="258"/>
  <c r="B9" i="258"/>
  <c r="B27" i="267"/>
  <c r="B26" i="267"/>
  <c r="B20" i="267"/>
  <c r="B9" i="267"/>
  <c r="B27" i="254"/>
  <c r="B26" i="254"/>
  <c r="B20" i="254"/>
  <c r="B9" i="254"/>
  <c r="B27" i="252"/>
  <c r="B26" i="252"/>
  <c r="B20" i="252"/>
  <c r="B9" i="252"/>
  <c r="B27" i="250"/>
  <c r="B26" i="250"/>
  <c r="B20" i="250"/>
  <c r="B9" i="250"/>
  <c r="B27" i="237"/>
  <c r="B26" i="237"/>
  <c r="B20" i="237"/>
  <c r="B9" i="237"/>
  <c r="C16" i="291"/>
  <c r="C27" i="291"/>
  <c r="A2" i="291"/>
  <c r="G183" i="291"/>
  <c r="F183" i="291" s="1"/>
  <c r="G182" i="291"/>
  <c r="G184" i="291" s="1"/>
  <c r="E180" i="291"/>
  <c r="AP52" i="291"/>
  <c r="AO52" i="291"/>
  <c r="AM52" i="291"/>
  <c r="AK52" i="291"/>
  <c r="AD52" i="291"/>
  <c r="AC52" i="291"/>
  <c r="AA52" i="291"/>
  <c r="AP49" i="291"/>
  <c r="AP56" i="291" s="1"/>
  <c r="AD49" i="291"/>
  <c r="AD56" i="291" s="1"/>
  <c r="AR47" i="291"/>
  <c r="AD47" i="291"/>
  <c r="AP47" i="291"/>
  <c r="AQ52" i="291"/>
  <c r="AO49" i="291"/>
  <c r="AO56" i="291" s="1"/>
  <c r="AL52" i="291"/>
  <c r="AI52" i="291"/>
  <c r="AF52" i="291"/>
  <c r="AE52" i="291"/>
  <c r="AC49" i="291"/>
  <c r="AC56" i="291" s="1"/>
  <c r="Y52" i="291"/>
  <c r="E36" i="291"/>
  <c r="E52" i="291" s="1"/>
  <c r="E10" i="291"/>
  <c r="E11" i="291" s="1"/>
  <c r="D5" i="291"/>
  <c r="C5" i="291"/>
  <c r="M3" i="291"/>
  <c r="L3" i="291"/>
  <c r="K3" i="291"/>
  <c r="J3" i="291"/>
  <c r="I3" i="291"/>
  <c r="H3" i="291"/>
  <c r="G3" i="291"/>
  <c r="F3" i="291"/>
  <c r="E3" i="291"/>
  <c r="K2" i="291"/>
  <c r="H2" i="291"/>
  <c r="E2" i="291"/>
  <c r="C16" i="290"/>
  <c r="A2" i="290"/>
  <c r="G184" i="290"/>
  <c r="G183" i="290"/>
  <c r="E183" i="290" s="1"/>
  <c r="E181" i="290"/>
  <c r="E36" i="290"/>
  <c r="E10" i="290"/>
  <c r="E11" i="290" s="1"/>
  <c r="D5" i="290"/>
  <c r="C5" i="290"/>
  <c r="M3" i="290"/>
  <c r="L3" i="290"/>
  <c r="K3" i="290"/>
  <c r="J3" i="290"/>
  <c r="I3" i="290"/>
  <c r="H3" i="290"/>
  <c r="G3" i="290"/>
  <c r="F3" i="290"/>
  <c r="E3" i="290"/>
  <c r="K2" i="290"/>
  <c r="H2" i="290"/>
  <c r="E2" i="290"/>
  <c r="C27" i="289"/>
  <c r="K26" i="289"/>
  <c r="E26" i="289"/>
  <c r="L5" i="289"/>
  <c r="L6" i="289" s="1"/>
  <c r="C16" i="288"/>
  <c r="A2" i="288"/>
  <c r="G184" i="288"/>
  <c r="F184" i="288"/>
  <c r="G183" i="288"/>
  <c r="E183" i="288" s="1"/>
  <c r="E181" i="288"/>
  <c r="E36" i="288"/>
  <c r="E37" i="288" s="1"/>
  <c r="E10" i="288"/>
  <c r="E11" i="288" s="1"/>
  <c r="D5" i="288"/>
  <c r="C5" i="288"/>
  <c r="M3" i="288"/>
  <c r="M4" i="288" s="1"/>
  <c r="L3" i="288"/>
  <c r="K3" i="288"/>
  <c r="J3" i="288"/>
  <c r="I3" i="288"/>
  <c r="H3" i="288"/>
  <c r="G3" i="288"/>
  <c r="F3" i="288"/>
  <c r="E3" i="288"/>
  <c r="K2" i="288"/>
  <c r="H2" i="288"/>
  <c r="E2" i="288"/>
  <c r="C27" i="287"/>
  <c r="K26" i="287"/>
  <c r="E26" i="287"/>
  <c r="E14" i="287"/>
  <c r="L5" i="287"/>
  <c r="C16" i="286"/>
  <c r="A2" i="286"/>
  <c r="G184" i="286"/>
  <c r="F184" i="286" s="1"/>
  <c r="G183" i="286"/>
  <c r="E181" i="286"/>
  <c r="E36" i="286"/>
  <c r="E37" i="286" s="1"/>
  <c r="E10" i="286"/>
  <c r="E11" i="286" s="1"/>
  <c r="D5" i="286"/>
  <c r="C5" i="286"/>
  <c r="M3" i="286"/>
  <c r="L3" i="286"/>
  <c r="K3" i="286"/>
  <c r="J3" i="286"/>
  <c r="I3" i="286"/>
  <c r="H3" i="286"/>
  <c r="G3" i="286"/>
  <c r="F3" i="286"/>
  <c r="E3" i="286"/>
  <c r="K2" i="286"/>
  <c r="H2" i="286"/>
  <c r="E2" i="286"/>
  <c r="C27" i="285"/>
  <c r="K26" i="285"/>
  <c r="E26" i="285"/>
  <c r="E14" i="285"/>
  <c r="L5" i="285"/>
  <c r="C16" i="284"/>
  <c r="C27" i="284"/>
  <c r="A2" i="284"/>
  <c r="G184" i="284"/>
  <c r="F184" i="284"/>
  <c r="G183" i="284"/>
  <c r="G185" i="284" s="1"/>
  <c r="B183" i="284"/>
  <c r="E181" i="284"/>
  <c r="E36" i="284"/>
  <c r="E10" i="284"/>
  <c r="E11" i="284" s="1"/>
  <c r="D5" i="284"/>
  <c r="C5" i="284"/>
  <c r="M3" i="284"/>
  <c r="L3" i="284"/>
  <c r="K3" i="284"/>
  <c r="J3" i="284"/>
  <c r="I3" i="284"/>
  <c r="H3" i="284"/>
  <c r="G3" i="284"/>
  <c r="F3" i="284"/>
  <c r="E3" i="284"/>
  <c r="K2" i="284"/>
  <c r="H2" i="284"/>
  <c r="E2" i="284"/>
  <c r="C27" i="283"/>
  <c r="K26" i="283"/>
  <c r="E26" i="283"/>
  <c r="E14" i="283"/>
  <c r="L5" i="283"/>
  <c r="L6" i="283" s="1"/>
  <c r="C16" i="281"/>
  <c r="A2" i="281"/>
  <c r="G184" i="281"/>
  <c r="F184" i="281" s="1"/>
  <c r="G183" i="281"/>
  <c r="E181" i="281"/>
  <c r="E36" i="281"/>
  <c r="E10" i="281"/>
  <c r="E11" i="281" s="1"/>
  <c r="D5" i="281"/>
  <c r="C5" i="281"/>
  <c r="M3" i="281"/>
  <c r="L3" i="281"/>
  <c r="K3" i="281"/>
  <c r="J3" i="281"/>
  <c r="I3" i="281"/>
  <c r="H3" i="281"/>
  <c r="G3" i="281"/>
  <c r="F3" i="281"/>
  <c r="E3" i="281"/>
  <c r="K2" i="281"/>
  <c r="H2" i="281"/>
  <c r="E2" i="281"/>
  <c r="E27" i="280"/>
  <c r="C27" i="280"/>
  <c r="K26" i="280"/>
  <c r="E26" i="280"/>
  <c r="L5" i="280"/>
  <c r="L6" i="280" s="1"/>
  <c r="C16" i="279"/>
  <c r="A2" i="279"/>
  <c r="G184" i="279"/>
  <c r="F184" i="279"/>
  <c r="G183" i="279"/>
  <c r="G185" i="279" s="1"/>
  <c r="E183" i="279"/>
  <c r="E181" i="279"/>
  <c r="E36" i="279"/>
  <c r="E53" i="279" s="1"/>
  <c r="E10" i="279"/>
  <c r="E11" i="279" s="1"/>
  <c r="D5" i="279"/>
  <c r="C5" i="279"/>
  <c r="M3" i="279"/>
  <c r="L3" i="279"/>
  <c r="K3" i="279"/>
  <c r="J3" i="279"/>
  <c r="I3" i="279"/>
  <c r="H3" i="279"/>
  <c r="G3" i="279"/>
  <c r="F3" i="279"/>
  <c r="E3" i="279"/>
  <c r="K2" i="279"/>
  <c r="H2" i="279"/>
  <c r="E2" i="279"/>
  <c r="C27" i="278"/>
  <c r="K26" i="278"/>
  <c r="E26" i="278"/>
  <c r="L5" i="278"/>
  <c r="L6" i="278" s="1"/>
  <c r="L7" i="278" s="1"/>
  <c r="A2" i="276"/>
  <c r="G184" i="276"/>
  <c r="F184" i="276"/>
  <c r="G183" i="276"/>
  <c r="E183" i="276" s="1"/>
  <c r="E181" i="276"/>
  <c r="E36" i="276"/>
  <c r="E10" i="276"/>
  <c r="E11" i="276" s="1"/>
  <c r="D5" i="276"/>
  <c r="C5" i="276"/>
  <c r="M3" i="276"/>
  <c r="L3" i="276"/>
  <c r="K3" i="276"/>
  <c r="J3" i="276"/>
  <c r="I3" i="276"/>
  <c r="H3" i="276"/>
  <c r="G3" i="276"/>
  <c r="F3" i="276"/>
  <c r="E3" i="276"/>
  <c r="K2" i="276"/>
  <c r="H2" i="276"/>
  <c r="E2" i="276"/>
  <c r="C27" i="275"/>
  <c r="K26" i="275"/>
  <c r="E26" i="275"/>
  <c r="E14" i="275"/>
  <c r="L5" i="275"/>
  <c r="C16" i="274"/>
  <c r="A2" i="274"/>
  <c r="G184" i="274"/>
  <c r="F184" i="274" s="1"/>
  <c r="G183" i="274"/>
  <c r="B183" i="274" s="1"/>
  <c r="E181" i="274"/>
  <c r="E36" i="274"/>
  <c r="E37" i="274" s="1"/>
  <c r="E57" i="274" s="1"/>
  <c r="E10" i="274"/>
  <c r="E11" i="274" s="1"/>
  <c r="D5" i="274"/>
  <c r="C5" i="274"/>
  <c r="M3" i="274"/>
  <c r="L3" i="274"/>
  <c r="K3" i="274"/>
  <c r="J3" i="274"/>
  <c r="I3" i="274"/>
  <c r="H3" i="274"/>
  <c r="G3" i="274"/>
  <c r="F3" i="274"/>
  <c r="E3" i="274"/>
  <c r="K2" i="274"/>
  <c r="H2" i="274"/>
  <c r="E2" i="274"/>
  <c r="E36" i="265"/>
  <c r="C27" i="273"/>
  <c r="K26" i="273"/>
  <c r="E26" i="273"/>
  <c r="L5" i="273"/>
  <c r="E14" i="273"/>
  <c r="L5" i="272"/>
  <c r="L6" i="272" s="1"/>
  <c r="L7" i="272" s="1"/>
  <c r="E14" i="272"/>
  <c r="C27" i="272"/>
  <c r="K26" i="272"/>
  <c r="E26" i="272"/>
  <c r="G185" i="276" l="1"/>
  <c r="M4" i="284"/>
  <c r="M4" i="286"/>
  <c r="G185" i="286"/>
  <c r="E39" i="286"/>
  <c r="E53" i="286"/>
  <c r="G185" i="288"/>
  <c r="M4" i="290"/>
  <c r="B183" i="290"/>
  <c r="B183" i="288"/>
  <c r="E37" i="276"/>
  <c r="E57" i="276" s="1"/>
  <c r="B183" i="276"/>
  <c r="E39" i="274"/>
  <c r="E53" i="274"/>
  <c r="G185" i="274"/>
  <c r="M4" i="276"/>
  <c r="G4" i="286"/>
  <c r="B183" i="279"/>
  <c r="E183" i="286"/>
  <c r="E183" i="284"/>
  <c r="G185" i="281"/>
  <c r="G185" i="290"/>
  <c r="AE47" i="291"/>
  <c r="B45" i="291"/>
  <c r="AE49" i="291"/>
  <c r="AE56" i="291" s="1"/>
  <c r="AF47" i="291"/>
  <c r="AF49" i="291"/>
  <c r="AF56" i="291" s="1"/>
  <c r="Z49" i="291"/>
  <c r="Z56" i="291" s="1"/>
  <c r="Z47" i="291"/>
  <c r="Z52" i="291"/>
  <c r="AQ47" i="291"/>
  <c r="AQ49" i="291"/>
  <c r="AQ56" i="291" s="1"/>
  <c r="J4" i="291"/>
  <c r="G4" i="291"/>
  <c r="E4" i="291"/>
  <c r="E9" i="291" s="1"/>
  <c r="M4" i="291"/>
  <c r="AG52" i="291"/>
  <c r="AG49" i="291"/>
  <c r="AG56" i="291" s="1"/>
  <c r="AG47" i="291"/>
  <c r="AH52" i="291"/>
  <c r="AH47" i="291"/>
  <c r="AH49" i="291"/>
  <c r="AH56" i="291" s="1"/>
  <c r="B44" i="291"/>
  <c r="AJ52" i="291"/>
  <c r="AJ49" i="291"/>
  <c r="AJ56" i="291" s="1"/>
  <c r="AJ47" i="291"/>
  <c r="E37" i="291"/>
  <c r="E39" i="291" s="1"/>
  <c r="Y49" i="291"/>
  <c r="Y56" i="291" s="1"/>
  <c r="Y47" i="291"/>
  <c r="AK49" i="291"/>
  <c r="AK56" i="291" s="1"/>
  <c r="AK47" i="291"/>
  <c r="AI49" i="291"/>
  <c r="AI56" i="291" s="1"/>
  <c r="AI47" i="291"/>
  <c r="AA49" i="291"/>
  <c r="AA56" i="291" s="1"/>
  <c r="AM49" i="291"/>
  <c r="AM56" i="291" s="1"/>
  <c r="AL49" i="291"/>
  <c r="AL56" i="291" s="1"/>
  <c r="AL47" i="291"/>
  <c r="AB49" i="291"/>
  <c r="AB56" i="291" s="1"/>
  <c r="AN49" i="291"/>
  <c r="AN56" i="291" s="1"/>
  <c r="AB52" i="291"/>
  <c r="AN52" i="291"/>
  <c r="B182" i="291"/>
  <c r="E182" i="291"/>
  <c r="AA47" i="291"/>
  <c r="AM47" i="291"/>
  <c r="AB47" i="291"/>
  <c r="AN47" i="291"/>
  <c r="AC47" i="291"/>
  <c r="AO47" i="291"/>
  <c r="E37" i="290"/>
  <c r="E53" i="290"/>
  <c r="C20" i="159" s="1"/>
  <c r="E4" i="290"/>
  <c r="E9" i="290" s="1"/>
  <c r="G4" i="290"/>
  <c r="F184" i="290"/>
  <c r="J4" i="290"/>
  <c r="L7" i="289"/>
  <c r="C28" i="289"/>
  <c r="E14" i="289"/>
  <c r="E27" i="289"/>
  <c r="E39" i="288"/>
  <c r="E57" i="288"/>
  <c r="E53" i="288"/>
  <c r="J4" i="288"/>
  <c r="G4" i="288"/>
  <c r="E4" i="288"/>
  <c r="E9" i="288" s="1"/>
  <c r="E27" i="287"/>
  <c r="C28" i="287"/>
  <c r="L6" i="287"/>
  <c r="E57" i="286"/>
  <c r="E4" i="286"/>
  <c r="E9" i="286" s="1"/>
  <c r="J4" i="286"/>
  <c r="B183" i="286"/>
  <c r="C28" i="285"/>
  <c r="E27" i="285"/>
  <c r="L6" i="285"/>
  <c r="E37" i="284"/>
  <c r="E53" i="284"/>
  <c r="K32" i="159" s="1"/>
  <c r="J4" i="284"/>
  <c r="G4" i="284"/>
  <c r="E4" i="284"/>
  <c r="E9" i="284" s="1"/>
  <c r="L7" i="283"/>
  <c r="C28" i="283"/>
  <c r="E27" i="283"/>
  <c r="M4" i="281"/>
  <c r="G4" i="281"/>
  <c r="E53" i="281"/>
  <c r="S44" i="159" s="1"/>
  <c r="E37" i="281"/>
  <c r="J4" i="281"/>
  <c r="E4" i="281"/>
  <c r="E9" i="281" s="1"/>
  <c r="B183" i="281"/>
  <c r="E183" i="281"/>
  <c r="C28" i="280"/>
  <c r="L7" i="280"/>
  <c r="E14" i="280"/>
  <c r="J4" i="279"/>
  <c r="M4" i="279"/>
  <c r="E4" i="279"/>
  <c r="E9" i="279" s="1"/>
  <c r="G4" i="279"/>
  <c r="E37" i="279"/>
  <c r="L8" i="278"/>
  <c r="E14" i="278"/>
  <c r="C28" i="278"/>
  <c r="E27" i="278"/>
  <c r="E4" i="276"/>
  <c r="E9" i="276" s="1"/>
  <c r="G4" i="276"/>
  <c r="J4" i="276"/>
  <c r="E53" i="276"/>
  <c r="L6" i="275"/>
  <c r="C28" i="275"/>
  <c r="E27" i="275"/>
  <c r="M4" i="274"/>
  <c r="J4" i="274"/>
  <c r="G4" i="274"/>
  <c r="E4" i="274"/>
  <c r="E9" i="274" s="1"/>
  <c r="E183" i="274"/>
  <c r="C28" i="273"/>
  <c r="L6" i="273"/>
  <c r="E27" i="273"/>
  <c r="L8" i="272"/>
  <c r="E27" i="272"/>
  <c r="C28" i="272"/>
  <c r="E39" i="276" l="1"/>
  <c r="F9" i="291"/>
  <c r="F5" i="291"/>
  <c r="E56" i="291"/>
  <c r="F9" i="290"/>
  <c r="F5" i="290"/>
  <c r="E57" i="290"/>
  <c r="E39" i="290"/>
  <c r="J27" i="289"/>
  <c r="C29" i="289"/>
  <c r="E28" i="289"/>
  <c r="L8" i="289"/>
  <c r="F5" i="288"/>
  <c r="F9" i="288"/>
  <c r="L7" i="287"/>
  <c r="C29" i="287"/>
  <c r="E28" i="287"/>
  <c r="J27" i="287"/>
  <c r="F9" i="286"/>
  <c r="F5" i="286"/>
  <c r="L7" i="285"/>
  <c r="J27" i="285"/>
  <c r="C29" i="285"/>
  <c r="E28" i="285"/>
  <c r="F9" i="284"/>
  <c r="F5" i="284"/>
  <c r="E57" i="284"/>
  <c r="K28" i="159" s="1"/>
  <c r="E39" i="284"/>
  <c r="L8" i="283"/>
  <c r="C29" i="283"/>
  <c r="E28" i="283"/>
  <c r="J27" i="283"/>
  <c r="E57" i="281"/>
  <c r="E39" i="281"/>
  <c r="F5" i="281"/>
  <c r="F9" i="281"/>
  <c r="J27" i="280"/>
  <c r="L8" i="280"/>
  <c r="C29" i="280"/>
  <c r="E28" i="280"/>
  <c r="E57" i="279"/>
  <c r="E39" i="279"/>
  <c r="F9" i="279"/>
  <c r="F5" i="279"/>
  <c r="C29" i="278"/>
  <c r="E28" i="278"/>
  <c r="L9" i="278"/>
  <c r="F5" i="276"/>
  <c r="F9" i="276"/>
  <c r="L7" i="275"/>
  <c r="J27" i="275"/>
  <c r="C29" i="275"/>
  <c r="E28" i="275"/>
  <c r="F9" i="274"/>
  <c r="F5" i="274"/>
  <c r="L7" i="273"/>
  <c r="C29" i="273"/>
  <c r="E28" i="273"/>
  <c r="L9" i="272"/>
  <c r="C29" i="272"/>
  <c r="E28" i="272"/>
  <c r="S40" i="159" l="1"/>
  <c r="G9" i="291"/>
  <c r="G9" i="290"/>
  <c r="L9" i="289"/>
  <c r="J28" i="289"/>
  <c r="E29" i="289"/>
  <c r="C30" i="289"/>
  <c r="G9" i="288"/>
  <c r="L8" i="287"/>
  <c r="J28" i="287"/>
  <c r="E29" i="287"/>
  <c r="C30" i="287"/>
  <c r="G9" i="286"/>
  <c r="J28" i="285"/>
  <c r="L8" i="285"/>
  <c r="E29" i="285"/>
  <c r="C30" i="285"/>
  <c r="G9" i="284"/>
  <c r="E29" i="283"/>
  <c r="C30" i="283"/>
  <c r="J28" i="283"/>
  <c r="L9" i="283"/>
  <c r="G9" i="281"/>
  <c r="J28" i="280"/>
  <c r="E29" i="280"/>
  <c r="C30" i="280"/>
  <c r="L9" i="280"/>
  <c r="G9" i="279"/>
  <c r="L10" i="278"/>
  <c r="E29" i="278"/>
  <c r="C30" i="278"/>
  <c r="G9" i="276"/>
  <c r="J28" i="275"/>
  <c r="L8" i="275"/>
  <c r="C30" i="275"/>
  <c r="E29" i="275"/>
  <c r="G9" i="274"/>
  <c r="E29" i="273"/>
  <c r="C30" i="273"/>
  <c r="L8" i="273"/>
  <c r="L10" i="272"/>
  <c r="E29" i="272"/>
  <c r="C30" i="272"/>
  <c r="H9" i="291" l="1"/>
  <c r="H9" i="290"/>
  <c r="L10" i="289"/>
  <c r="E30" i="289"/>
  <c r="C31" i="289"/>
  <c r="J29" i="289"/>
  <c r="H9" i="288"/>
  <c r="L9" i="287"/>
  <c r="E30" i="287"/>
  <c r="C31" i="287"/>
  <c r="J29" i="287"/>
  <c r="H9" i="286"/>
  <c r="L9" i="285"/>
  <c r="J29" i="285"/>
  <c r="E30" i="285"/>
  <c r="C31" i="285"/>
  <c r="H9" i="284"/>
  <c r="E30" i="283"/>
  <c r="C31" i="283"/>
  <c r="J29" i="283"/>
  <c r="L10" i="283"/>
  <c r="H9" i="281"/>
  <c r="E30" i="280"/>
  <c r="C31" i="280"/>
  <c r="L10" i="280"/>
  <c r="J29" i="280"/>
  <c r="H9" i="279"/>
  <c r="C31" i="278"/>
  <c r="E30" i="278"/>
  <c r="L11" i="278"/>
  <c r="H9" i="276"/>
  <c r="J29" i="275"/>
  <c r="E30" i="275"/>
  <c r="C31" i="275"/>
  <c r="L9" i="275"/>
  <c r="H9" i="274"/>
  <c r="E30" i="273"/>
  <c r="C31" i="273"/>
  <c r="L9" i="273"/>
  <c r="L11" i="272"/>
  <c r="C31" i="272"/>
  <c r="E30" i="272"/>
  <c r="I9" i="291" l="1"/>
  <c r="I9" i="290"/>
  <c r="J30" i="289"/>
  <c r="E31" i="289"/>
  <c r="C32" i="289"/>
  <c r="L11" i="289"/>
  <c r="I9" i="288"/>
  <c r="J30" i="287"/>
  <c r="E31" i="287"/>
  <c r="C32" i="287"/>
  <c r="L10" i="287"/>
  <c r="I9" i="286"/>
  <c r="J30" i="285"/>
  <c r="L10" i="285"/>
  <c r="E31" i="285"/>
  <c r="C32" i="285"/>
  <c r="I9" i="284"/>
  <c r="E31" i="283"/>
  <c r="C32" i="283"/>
  <c r="J30" i="283"/>
  <c r="L11" i="283"/>
  <c r="I9" i="281"/>
  <c r="L11" i="280"/>
  <c r="E31" i="280"/>
  <c r="C32" i="280"/>
  <c r="J30" i="280"/>
  <c r="I9" i="279"/>
  <c r="E31" i="278"/>
  <c r="C32" i="278"/>
  <c r="L12" i="278"/>
  <c r="I9" i="276"/>
  <c r="L10" i="275"/>
  <c r="C32" i="275"/>
  <c r="E31" i="275"/>
  <c r="J30" i="275"/>
  <c r="I9" i="274"/>
  <c r="C32" i="273"/>
  <c r="E31" i="273"/>
  <c r="L10" i="273"/>
  <c r="L12" i="272"/>
  <c r="E31" i="272"/>
  <c r="C32" i="272"/>
  <c r="J9" i="291" l="1"/>
  <c r="J9" i="290"/>
  <c r="J31" i="289"/>
  <c r="L12" i="289"/>
  <c r="E32" i="289"/>
  <c r="C33" i="289"/>
  <c r="J9" i="288"/>
  <c r="J31" i="287"/>
  <c r="E32" i="287"/>
  <c r="C33" i="287"/>
  <c r="L11" i="287"/>
  <c r="J9" i="286"/>
  <c r="L11" i="285"/>
  <c r="J31" i="285"/>
  <c r="C33" i="285"/>
  <c r="E32" i="285"/>
  <c r="J9" i="284"/>
  <c r="J31" i="283"/>
  <c r="C33" i="283"/>
  <c r="E32" i="283"/>
  <c r="L12" i="283"/>
  <c r="J9" i="281"/>
  <c r="C33" i="280"/>
  <c r="E32" i="280"/>
  <c r="L12" i="280"/>
  <c r="J31" i="280"/>
  <c r="J9" i="279"/>
  <c r="E32" i="278"/>
  <c r="C33" i="278"/>
  <c r="L13" i="278"/>
  <c r="J9" i="276"/>
  <c r="J31" i="275"/>
  <c r="E32" i="275"/>
  <c r="C33" i="275"/>
  <c r="L11" i="275"/>
  <c r="J9" i="274"/>
  <c r="E32" i="273"/>
  <c r="C33" i="273"/>
  <c r="L11" i="273"/>
  <c r="L13" i="272"/>
  <c r="C33" i="272"/>
  <c r="E32" i="272"/>
  <c r="K9" i="291" l="1"/>
  <c r="K9" i="290"/>
  <c r="L13" i="289"/>
  <c r="C34" i="289"/>
  <c r="E33" i="289"/>
  <c r="J32" i="289"/>
  <c r="K9" i="288"/>
  <c r="J32" i="287"/>
  <c r="C34" i="287"/>
  <c r="E33" i="287"/>
  <c r="L12" i="287"/>
  <c r="K9" i="286"/>
  <c r="J32" i="285"/>
  <c r="C34" i="285"/>
  <c r="E33" i="285"/>
  <c r="L12" i="285"/>
  <c r="K9" i="284"/>
  <c r="J32" i="283"/>
  <c r="C34" i="283"/>
  <c r="E33" i="283"/>
  <c r="L13" i="283"/>
  <c r="K9" i="281"/>
  <c r="J32" i="280"/>
  <c r="C34" i="280"/>
  <c r="E33" i="280"/>
  <c r="L13" i="280"/>
  <c r="K9" i="279"/>
  <c r="C34" i="278"/>
  <c r="E33" i="278"/>
  <c r="J32" i="278"/>
  <c r="K9" i="276"/>
  <c r="C34" i="275"/>
  <c r="E33" i="275"/>
  <c r="J32" i="275"/>
  <c r="L12" i="275"/>
  <c r="K9" i="274"/>
  <c r="C34" i="273"/>
  <c r="E33" i="273"/>
  <c r="J32" i="273"/>
  <c r="L12" i="273"/>
  <c r="J32" i="272"/>
  <c r="C34" i="272"/>
  <c r="E33" i="272"/>
  <c r="L9" i="291" l="1"/>
  <c r="L9" i="290"/>
  <c r="C35" i="289"/>
  <c r="E34" i="289"/>
  <c r="J33" i="289"/>
  <c r="L9" i="288"/>
  <c r="J33" i="287"/>
  <c r="L13" i="287"/>
  <c r="C35" i="287"/>
  <c r="E34" i="287"/>
  <c r="L9" i="286"/>
  <c r="C35" i="285"/>
  <c r="E34" i="285"/>
  <c r="L13" i="285"/>
  <c r="J33" i="285"/>
  <c r="L9" i="284"/>
  <c r="J33" i="283"/>
  <c r="C35" i="283"/>
  <c r="E34" i="283"/>
  <c r="L9" i="281"/>
  <c r="J33" i="280"/>
  <c r="C35" i="280"/>
  <c r="E34" i="280"/>
  <c r="L9" i="279"/>
  <c r="J33" i="278"/>
  <c r="C35" i="278"/>
  <c r="E34" i="278"/>
  <c r="L9" i="276"/>
  <c r="J33" i="275"/>
  <c r="L13" i="275"/>
  <c r="C35" i="275"/>
  <c r="E34" i="275"/>
  <c r="L9" i="274"/>
  <c r="C35" i="273"/>
  <c r="E34" i="273"/>
  <c r="L13" i="273"/>
  <c r="E34" i="272"/>
  <c r="C35" i="272"/>
  <c r="M9" i="291" l="1"/>
  <c r="M9" i="290"/>
  <c r="J34" i="289"/>
  <c r="E35" i="289"/>
  <c r="C36" i="289"/>
  <c r="M9" i="288"/>
  <c r="J34" i="287"/>
  <c r="E35" i="287"/>
  <c r="C36" i="287"/>
  <c r="M9" i="286"/>
  <c r="J34" i="285"/>
  <c r="E35" i="285"/>
  <c r="C36" i="285"/>
  <c r="M9" i="284"/>
  <c r="C36" i="283"/>
  <c r="E35" i="283"/>
  <c r="J34" i="283"/>
  <c r="M9" i="281"/>
  <c r="J34" i="280"/>
  <c r="E35" i="280"/>
  <c r="C36" i="280"/>
  <c r="M9" i="279"/>
  <c r="E35" i="278"/>
  <c r="C36" i="278"/>
  <c r="J34" i="278"/>
  <c r="M9" i="276"/>
  <c r="J34" i="275"/>
  <c r="E35" i="275"/>
  <c r="C36" i="275"/>
  <c r="M9" i="274"/>
  <c r="E35" i="273"/>
  <c r="C36" i="273"/>
  <c r="C36" i="272"/>
  <c r="E35" i="272"/>
  <c r="N9" i="291" l="1"/>
  <c r="N9" i="290"/>
  <c r="E36" i="289"/>
  <c r="C37" i="289"/>
  <c r="J35" i="289"/>
  <c r="N9" i="288"/>
  <c r="J35" i="287"/>
  <c r="E36" i="287"/>
  <c r="C37" i="287"/>
  <c r="N9" i="286"/>
  <c r="E36" i="285"/>
  <c r="C37" i="285"/>
  <c r="J35" i="285"/>
  <c r="N9" i="284"/>
  <c r="J35" i="283"/>
  <c r="E36" i="283"/>
  <c r="C37" i="283"/>
  <c r="N9" i="281"/>
  <c r="E36" i="280"/>
  <c r="C37" i="280"/>
  <c r="J35" i="280"/>
  <c r="N9" i="279"/>
  <c r="C37" i="278"/>
  <c r="E36" i="278"/>
  <c r="J35" i="278"/>
  <c r="N9" i="276"/>
  <c r="E36" i="275"/>
  <c r="C37" i="275"/>
  <c r="J35" i="275"/>
  <c r="N9" i="274"/>
  <c r="E36" i="273"/>
  <c r="C37" i="273"/>
  <c r="E36" i="272"/>
  <c r="C37" i="272"/>
  <c r="O9" i="291" l="1"/>
  <c r="O9" i="290"/>
  <c r="E37" i="289"/>
  <c r="C38" i="289"/>
  <c r="J36" i="289"/>
  <c r="O9" i="288"/>
  <c r="E37" i="287"/>
  <c r="C38" i="287"/>
  <c r="J36" i="287"/>
  <c r="O9" i="286"/>
  <c r="E37" i="285"/>
  <c r="C38" i="285"/>
  <c r="J36" i="285"/>
  <c r="O9" i="284"/>
  <c r="J36" i="283"/>
  <c r="E37" i="283"/>
  <c r="C38" i="283"/>
  <c r="O9" i="281"/>
  <c r="E37" i="280"/>
  <c r="C38" i="280"/>
  <c r="J36" i="280"/>
  <c r="O9" i="279"/>
  <c r="J36" i="278"/>
  <c r="E37" i="278"/>
  <c r="C38" i="278"/>
  <c r="O9" i="276"/>
  <c r="E37" i="275"/>
  <c r="C38" i="275"/>
  <c r="J36" i="275"/>
  <c r="O9" i="274"/>
  <c r="E37" i="273"/>
  <c r="C38" i="273"/>
  <c r="C38" i="272"/>
  <c r="E37" i="272"/>
  <c r="P9" i="291" l="1"/>
  <c r="P9" i="290"/>
  <c r="J37" i="289"/>
  <c r="C39" i="289"/>
  <c r="E38" i="289"/>
  <c r="P9" i="288"/>
  <c r="E38" i="287"/>
  <c r="C39" i="287"/>
  <c r="J37" i="287"/>
  <c r="P9" i="286"/>
  <c r="C39" i="285"/>
  <c r="E38" i="285"/>
  <c r="J37" i="285"/>
  <c r="P9" i="284"/>
  <c r="C39" i="283"/>
  <c r="E38" i="283"/>
  <c r="J37" i="283"/>
  <c r="P9" i="281"/>
  <c r="C39" i="280"/>
  <c r="E38" i="280"/>
  <c r="J37" i="280"/>
  <c r="P9" i="279"/>
  <c r="J37" i="278"/>
  <c r="E38" i="278"/>
  <c r="C39" i="278"/>
  <c r="P9" i="276"/>
  <c r="E38" i="275"/>
  <c r="C39" i="275"/>
  <c r="J37" i="275"/>
  <c r="P9" i="274"/>
  <c r="E38" i="273"/>
  <c r="C39" i="273"/>
  <c r="E38" i="272"/>
  <c r="C39" i="272"/>
  <c r="Q9" i="291" l="1"/>
  <c r="Q9" i="290"/>
  <c r="J38" i="289"/>
  <c r="C40" i="289"/>
  <c r="E39" i="289"/>
  <c r="Q9" i="288"/>
  <c r="E39" i="287"/>
  <c r="C40" i="287"/>
  <c r="J38" i="287"/>
  <c r="Q9" i="286"/>
  <c r="C40" i="285"/>
  <c r="E39" i="285"/>
  <c r="J38" i="285"/>
  <c r="Q9" i="284"/>
  <c r="J38" i="283"/>
  <c r="C40" i="283"/>
  <c r="E39" i="283"/>
  <c r="Q9" i="281"/>
  <c r="J38" i="280"/>
  <c r="C40" i="280"/>
  <c r="E39" i="280"/>
  <c r="Q9" i="279"/>
  <c r="J38" i="278"/>
  <c r="C40" i="278"/>
  <c r="E39" i="278"/>
  <c r="Q9" i="276"/>
  <c r="J38" i="275"/>
  <c r="C40" i="275"/>
  <c r="E39" i="275"/>
  <c r="Q9" i="274"/>
  <c r="C40" i="273"/>
  <c r="E39" i="273"/>
  <c r="C40" i="272"/>
  <c r="E39" i="272"/>
  <c r="R9" i="291" l="1"/>
  <c r="R9" i="290"/>
  <c r="C41" i="289"/>
  <c r="E40" i="289"/>
  <c r="R9" i="288"/>
  <c r="C41" i="287"/>
  <c r="E40" i="287"/>
  <c r="R9" i="286"/>
  <c r="C41" i="285"/>
  <c r="E40" i="285"/>
  <c r="R9" i="284"/>
  <c r="C41" i="283"/>
  <c r="E40" i="283"/>
  <c r="R9" i="281"/>
  <c r="C41" i="280"/>
  <c r="E40" i="280"/>
  <c r="R9" i="279"/>
  <c r="E40" i="278"/>
  <c r="C41" i="278"/>
  <c r="R9" i="276"/>
  <c r="C41" i="275"/>
  <c r="E40" i="275"/>
  <c r="R9" i="274"/>
  <c r="C41" i="273"/>
  <c r="E40" i="273"/>
  <c r="C41" i="272"/>
  <c r="E40" i="272"/>
  <c r="S9" i="291" l="1"/>
  <c r="S9" i="290"/>
  <c r="E41" i="289"/>
  <c r="C42" i="289"/>
  <c r="S9" i="288"/>
  <c r="E41" i="287"/>
  <c r="C42" i="287"/>
  <c r="S9" i="286"/>
  <c r="E41" i="285"/>
  <c r="C42" i="285"/>
  <c r="S9" i="284"/>
  <c r="C42" i="283"/>
  <c r="E41" i="283"/>
  <c r="S9" i="281"/>
  <c r="E41" i="280"/>
  <c r="C42" i="280"/>
  <c r="S9" i="279"/>
  <c r="E41" i="278"/>
  <c r="C42" i="278"/>
  <c r="S9" i="276"/>
  <c r="E41" i="275"/>
  <c r="C42" i="275"/>
  <c r="S9" i="274"/>
  <c r="E41" i="273"/>
  <c r="C42" i="273"/>
  <c r="E41" i="272"/>
  <c r="C42" i="272"/>
  <c r="T9" i="291" l="1"/>
  <c r="T9" i="290"/>
  <c r="E42" i="289"/>
  <c r="C43" i="289"/>
  <c r="T9" i="288"/>
  <c r="E42" i="287"/>
  <c r="C43" i="287"/>
  <c r="T9" i="286"/>
  <c r="E42" i="285"/>
  <c r="C43" i="285"/>
  <c r="T9" i="284"/>
  <c r="E42" i="283"/>
  <c r="C43" i="283"/>
  <c r="T9" i="281"/>
  <c r="E42" i="280"/>
  <c r="C43" i="280"/>
  <c r="T9" i="279"/>
  <c r="C43" i="278"/>
  <c r="E42" i="278"/>
  <c r="T9" i="276"/>
  <c r="E42" i="275"/>
  <c r="C43" i="275"/>
  <c r="T9" i="274"/>
  <c r="E42" i="273"/>
  <c r="C43" i="273"/>
  <c r="C43" i="272"/>
  <c r="E42" i="272"/>
  <c r="U9" i="291" l="1"/>
  <c r="U9" i="290"/>
  <c r="E43" i="289"/>
  <c r="C44" i="289"/>
  <c r="U9" i="288"/>
  <c r="E5" i="287" s="1"/>
  <c r="E43" i="287"/>
  <c r="C44" i="287"/>
  <c r="U9" i="286"/>
  <c r="E5" i="285" s="1"/>
  <c r="D43" i="285" s="1"/>
  <c r="E43" i="285"/>
  <c r="C44" i="285"/>
  <c r="U9" i="284"/>
  <c r="E5" i="283" s="1"/>
  <c r="D43" i="283" s="1"/>
  <c r="F43" i="283" s="1"/>
  <c r="E43" i="283"/>
  <c r="C44" i="283"/>
  <c r="U9" i="281"/>
  <c r="E43" i="280"/>
  <c r="C44" i="280"/>
  <c r="U9" i="279"/>
  <c r="E5" i="278" s="1"/>
  <c r="E43" i="278"/>
  <c r="C44" i="278"/>
  <c r="U9" i="276"/>
  <c r="E43" i="275"/>
  <c r="C44" i="275"/>
  <c r="U9" i="274"/>
  <c r="E43" i="273"/>
  <c r="C44" i="273"/>
  <c r="E43" i="272"/>
  <c r="C44" i="272"/>
  <c r="D26" i="287" l="1"/>
  <c r="D27" i="287"/>
  <c r="D28" i="287"/>
  <c r="F28" i="287" s="1"/>
  <c r="D29" i="287"/>
  <c r="F29" i="287" s="1"/>
  <c r="D30" i="287"/>
  <c r="F30" i="287" s="1"/>
  <c r="D31" i="287"/>
  <c r="F31" i="287" s="1"/>
  <c r="D32" i="287"/>
  <c r="F32" i="287" s="1"/>
  <c r="D33" i="287"/>
  <c r="F33" i="287" s="1"/>
  <c r="D34" i="287"/>
  <c r="F34" i="287" s="1"/>
  <c r="D35" i="287"/>
  <c r="F35" i="287" s="1"/>
  <c r="D36" i="287"/>
  <c r="F36" i="287" s="1"/>
  <c r="D37" i="287"/>
  <c r="F37" i="287" s="1"/>
  <c r="D38" i="287"/>
  <c r="F38" i="287" s="1"/>
  <c r="D39" i="287"/>
  <c r="F39" i="287" s="1"/>
  <c r="D40" i="287"/>
  <c r="F40" i="287" s="1"/>
  <c r="D41" i="287"/>
  <c r="F41" i="287" s="1"/>
  <c r="D42" i="287"/>
  <c r="F42" i="287" s="1"/>
  <c r="D43" i="287"/>
  <c r="F43" i="287" s="1"/>
  <c r="D26" i="278"/>
  <c r="D27" i="278"/>
  <c r="D28" i="278"/>
  <c r="F28" i="278" s="1"/>
  <c r="D29" i="278"/>
  <c r="F29" i="278" s="1"/>
  <c r="D30" i="278"/>
  <c r="F30" i="278" s="1"/>
  <c r="D31" i="278"/>
  <c r="F31" i="278" s="1"/>
  <c r="D32" i="278"/>
  <c r="F32" i="278" s="1"/>
  <c r="D33" i="278"/>
  <c r="F33" i="278" s="1"/>
  <c r="D34" i="278"/>
  <c r="F34" i="278" s="1"/>
  <c r="D35" i="278"/>
  <c r="F35" i="278" s="1"/>
  <c r="D36" i="278"/>
  <c r="F36" i="278" s="1"/>
  <c r="D37" i="278"/>
  <c r="F37" i="278" s="1"/>
  <c r="D38" i="278"/>
  <c r="F38" i="278" s="1"/>
  <c r="D39" i="278"/>
  <c r="F39" i="278" s="1"/>
  <c r="D40" i="278"/>
  <c r="F40" i="278" s="1"/>
  <c r="D41" i="278"/>
  <c r="F41" i="278" s="1"/>
  <c r="D42" i="278"/>
  <c r="F42" i="278" s="1"/>
  <c r="D43" i="278"/>
  <c r="F43" i="278" s="1"/>
  <c r="D26" i="285"/>
  <c r="D27" i="285"/>
  <c r="D28" i="285"/>
  <c r="F28" i="285" s="1"/>
  <c r="D29" i="285"/>
  <c r="F29" i="285" s="1"/>
  <c r="D30" i="285"/>
  <c r="F30" i="285" s="1"/>
  <c r="D31" i="285"/>
  <c r="F31" i="285" s="1"/>
  <c r="D32" i="285"/>
  <c r="F32" i="285" s="1"/>
  <c r="D33" i="285"/>
  <c r="F33" i="285" s="1"/>
  <c r="D34" i="285"/>
  <c r="F34" i="285" s="1"/>
  <c r="D35" i="285"/>
  <c r="F35" i="285" s="1"/>
  <c r="D36" i="285"/>
  <c r="F36" i="285" s="1"/>
  <c r="D37" i="285"/>
  <c r="F37" i="285" s="1"/>
  <c r="D38" i="285"/>
  <c r="F38" i="285" s="1"/>
  <c r="D39" i="285"/>
  <c r="F39" i="285" s="1"/>
  <c r="D40" i="285"/>
  <c r="F40" i="285" s="1"/>
  <c r="D41" i="285"/>
  <c r="F41" i="285" s="1"/>
  <c r="D42" i="285"/>
  <c r="F42" i="285" s="1"/>
  <c r="D26" i="283"/>
  <c r="D27" i="283"/>
  <c r="D28" i="283"/>
  <c r="F28" i="283" s="1"/>
  <c r="D29" i="283"/>
  <c r="F29" i="283" s="1"/>
  <c r="D30" i="283"/>
  <c r="F30" i="283" s="1"/>
  <c r="D31" i="283"/>
  <c r="F31" i="283" s="1"/>
  <c r="D32" i="283"/>
  <c r="F32" i="283" s="1"/>
  <c r="D33" i="283"/>
  <c r="F33" i="283" s="1"/>
  <c r="D34" i="283"/>
  <c r="F34" i="283" s="1"/>
  <c r="D35" i="283"/>
  <c r="F35" i="283" s="1"/>
  <c r="D36" i="283"/>
  <c r="F36" i="283" s="1"/>
  <c r="D37" i="283"/>
  <c r="F37" i="283" s="1"/>
  <c r="D38" i="283"/>
  <c r="F38" i="283" s="1"/>
  <c r="D39" i="283"/>
  <c r="F39" i="283" s="1"/>
  <c r="D40" i="283"/>
  <c r="F40" i="283" s="1"/>
  <c r="D41" i="283"/>
  <c r="F41" i="283" s="1"/>
  <c r="D42" i="283"/>
  <c r="F42" i="283" s="1"/>
  <c r="V9" i="291"/>
  <c r="V9" i="290"/>
  <c r="C45" i="289"/>
  <c r="E44" i="289"/>
  <c r="V9" i="288"/>
  <c r="E44" i="287"/>
  <c r="D44" i="287"/>
  <c r="C45" i="287"/>
  <c r="V9" i="286"/>
  <c r="F43" i="285"/>
  <c r="C45" i="285"/>
  <c r="E44" i="285"/>
  <c r="D44" i="285"/>
  <c r="V9" i="284"/>
  <c r="D44" i="283"/>
  <c r="F44" i="283" s="1"/>
  <c r="E44" i="283"/>
  <c r="C45" i="283"/>
  <c r="V9" i="281"/>
  <c r="C45" i="280"/>
  <c r="E44" i="280"/>
  <c r="V9" i="279"/>
  <c r="E44" i="278"/>
  <c r="D44" i="278"/>
  <c r="F44" i="278" s="1"/>
  <c r="C45" i="278"/>
  <c r="V9" i="276"/>
  <c r="E44" i="275"/>
  <c r="C45" i="275"/>
  <c r="V9" i="274"/>
  <c r="E44" i="273"/>
  <c r="C45" i="273"/>
  <c r="C45" i="272"/>
  <c r="E44" i="272"/>
  <c r="F27" i="287" l="1"/>
  <c r="F8" i="287"/>
  <c r="F27" i="278"/>
  <c r="F8" i="278"/>
  <c r="F8" i="285"/>
  <c r="F27" i="285"/>
  <c r="F27" i="283"/>
  <c r="F8" i="283"/>
  <c r="W9" i="291"/>
  <c r="W9" i="290"/>
  <c r="C46" i="289"/>
  <c r="E45" i="289"/>
  <c r="W9" i="288"/>
  <c r="C46" i="287"/>
  <c r="E45" i="287"/>
  <c r="D45" i="287"/>
  <c r="F44" i="287"/>
  <c r="W9" i="286"/>
  <c r="C46" i="285"/>
  <c r="E45" i="285"/>
  <c r="D45" i="285"/>
  <c r="F44" i="285"/>
  <c r="W9" i="284"/>
  <c r="C46" i="283"/>
  <c r="D45" i="283"/>
  <c r="F45" i="283" s="1"/>
  <c r="E45" i="283"/>
  <c r="W9" i="281"/>
  <c r="C46" i="280"/>
  <c r="E45" i="280"/>
  <c r="W9" i="279"/>
  <c r="C46" i="278"/>
  <c r="E45" i="278"/>
  <c r="D45" i="278"/>
  <c r="F45" i="278" s="1"/>
  <c r="W9" i="276"/>
  <c r="C46" i="275"/>
  <c r="E45" i="275"/>
  <c r="W9" i="274"/>
  <c r="C46" i="273"/>
  <c r="E45" i="273"/>
  <c r="E45" i="272"/>
  <c r="C46" i="272"/>
  <c r="X9" i="291" l="1"/>
  <c r="X9" i="290"/>
  <c r="E5" i="289" s="1"/>
  <c r="D46" i="289" s="1"/>
  <c r="C47" i="289"/>
  <c r="E46" i="289"/>
  <c r="X9" i="288"/>
  <c r="F45" i="287"/>
  <c r="D46" i="287"/>
  <c r="C47" i="287"/>
  <c r="E46" i="287"/>
  <c r="X9" i="286"/>
  <c r="F45" i="285"/>
  <c r="D46" i="285"/>
  <c r="C47" i="285"/>
  <c r="E46" i="285"/>
  <c r="X9" i="284"/>
  <c r="D46" i="283"/>
  <c r="F46" i="283" s="1"/>
  <c r="C47" i="283"/>
  <c r="E46" i="283"/>
  <c r="X9" i="281"/>
  <c r="E5" i="280" s="1"/>
  <c r="D46" i="280" s="1"/>
  <c r="C47" i="280"/>
  <c r="E46" i="280"/>
  <c r="X9" i="279"/>
  <c r="D46" i="278"/>
  <c r="F46" i="278" s="1"/>
  <c r="E46" i="278"/>
  <c r="C47" i="278"/>
  <c r="X9" i="276"/>
  <c r="E5" i="275" s="1"/>
  <c r="C47" i="275"/>
  <c r="E46" i="275"/>
  <c r="X9" i="274"/>
  <c r="E5" i="273" s="1"/>
  <c r="C47" i="273"/>
  <c r="E46" i="273"/>
  <c r="C47" i="272"/>
  <c r="E46" i="272"/>
  <c r="D26" i="273" l="1"/>
  <c r="D27" i="273"/>
  <c r="D28" i="273"/>
  <c r="F28" i="273" s="1"/>
  <c r="D29" i="273"/>
  <c r="F29" i="273" s="1"/>
  <c r="D30" i="273"/>
  <c r="F30" i="273" s="1"/>
  <c r="D31" i="273"/>
  <c r="F31" i="273" s="1"/>
  <c r="D32" i="273"/>
  <c r="F32" i="273" s="1"/>
  <c r="D33" i="273"/>
  <c r="F33" i="273" s="1"/>
  <c r="D34" i="273"/>
  <c r="F34" i="273" s="1"/>
  <c r="D35" i="273"/>
  <c r="F35" i="273" s="1"/>
  <c r="D36" i="273"/>
  <c r="F36" i="273" s="1"/>
  <c r="D37" i="273"/>
  <c r="F37" i="273" s="1"/>
  <c r="D38" i="273"/>
  <c r="F38" i="273" s="1"/>
  <c r="D39" i="273"/>
  <c r="F39" i="273" s="1"/>
  <c r="D40" i="273"/>
  <c r="F40" i="273" s="1"/>
  <c r="D41" i="273"/>
  <c r="F41" i="273" s="1"/>
  <c r="D42" i="273"/>
  <c r="F42" i="273" s="1"/>
  <c r="D43" i="273"/>
  <c r="F43" i="273" s="1"/>
  <c r="D44" i="273"/>
  <c r="F44" i="273" s="1"/>
  <c r="D45" i="273"/>
  <c r="F45" i="273" s="1"/>
  <c r="D46" i="273"/>
  <c r="F46" i="273" s="1"/>
  <c r="D27" i="280"/>
  <c r="D26" i="280"/>
  <c r="D28" i="280"/>
  <c r="F28" i="280" s="1"/>
  <c r="D29" i="280"/>
  <c r="F29" i="280" s="1"/>
  <c r="D30" i="280"/>
  <c r="F30" i="280" s="1"/>
  <c r="D31" i="280"/>
  <c r="F31" i="280" s="1"/>
  <c r="D32" i="280"/>
  <c r="F32" i="280" s="1"/>
  <c r="D33" i="280"/>
  <c r="F33" i="280" s="1"/>
  <c r="D34" i="280"/>
  <c r="F34" i="280" s="1"/>
  <c r="D35" i="280"/>
  <c r="F35" i="280" s="1"/>
  <c r="D36" i="280"/>
  <c r="F36" i="280" s="1"/>
  <c r="D37" i="280"/>
  <c r="F37" i="280" s="1"/>
  <c r="D38" i="280"/>
  <c r="F38" i="280" s="1"/>
  <c r="D39" i="280"/>
  <c r="F39" i="280" s="1"/>
  <c r="D40" i="280"/>
  <c r="F40" i="280" s="1"/>
  <c r="D41" i="280"/>
  <c r="F41" i="280" s="1"/>
  <c r="D42" i="280"/>
  <c r="F42" i="280" s="1"/>
  <c r="D43" i="280"/>
  <c r="F43" i="280" s="1"/>
  <c r="D44" i="280"/>
  <c r="F44" i="280" s="1"/>
  <c r="D45" i="280"/>
  <c r="F45" i="280" s="1"/>
  <c r="D26" i="289"/>
  <c r="D27" i="289"/>
  <c r="D28" i="289"/>
  <c r="F28" i="289" s="1"/>
  <c r="D29" i="289"/>
  <c r="F29" i="289" s="1"/>
  <c r="D30" i="289"/>
  <c r="F30" i="289" s="1"/>
  <c r="D31" i="289"/>
  <c r="F31" i="289" s="1"/>
  <c r="D32" i="289"/>
  <c r="F32" i="289" s="1"/>
  <c r="D33" i="289"/>
  <c r="F33" i="289" s="1"/>
  <c r="D34" i="289"/>
  <c r="F34" i="289" s="1"/>
  <c r="D35" i="289"/>
  <c r="F35" i="289" s="1"/>
  <c r="D36" i="289"/>
  <c r="F36" i="289" s="1"/>
  <c r="D37" i="289"/>
  <c r="F37" i="289" s="1"/>
  <c r="D38" i="289"/>
  <c r="F38" i="289" s="1"/>
  <c r="D39" i="289"/>
  <c r="F39" i="289" s="1"/>
  <c r="D40" i="289"/>
  <c r="F40" i="289" s="1"/>
  <c r="D41" i="289"/>
  <c r="F41" i="289" s="1"/>
  <c r="D42" i="289"/>
  <c r="F42" i="289" s="1"/>
  <c r="D43" i="289"/>
  <c r="F43" i="289" s="1"/>
  <c r="D44" i="289"/>
  <c r="F44" i="289" s="1"/>
  <c r="D45" i="289"/>
  <c r="F45" i="289" s="1"/>
  <c r="Y9" i="291"/>
  <c r="Z9" i="291" s="1"/>
  <c r="AA9" i="291" s="1"/>
  <c r="AB9" i="291" s="1"/>
  <c r="AC9" i="291" s="1"/>
  <c r="AD9" i="291" s="1"/>
  <c r="AE9" i="291" s="1"/>
  <c r="AF9" i="291" s="1"/>
  <c r="AG9" i="291" s="1"/>
  <c r="AH9" i="291" s="1"/>
  <c r="AI9" i="291" s="1"/>
  <c r="AJ9" i="291" s="1"/>
  <c r="AK9" i="291" s="1"/>
  <c r="AL9" i="291" s="1"/>
  <c r="AM9" i="291" s="1"/>
  <c r="AN9" i="291" s="1"/>
  <c r="AO9" i="291" s="1"/>
  <c r="AP9" i="291" s="1"/>
  <c r="AQ9" i="291" s="1"/>
  <c r="AR9" i="291" s="1"/>
  <c r="Y9" i="290"/>
  <c r="Z9" i="290" s="1"/>
  <c r="AA9" i="290" s="1"/>
  <c r="AB9" i="290" s="1"/>
  <c r="AC9" i="290" s="1"/>
  <c r="AD9" i="290" s="1"/>
  <c r="AE9" i="290" s="1"/>
  <c r="AF9" i="290" s="1"/>
  <c r="AG9" i="290" s="1"/>
  <c r="AH9" i="290" s="1"/>
  <c r="AI9" i="290" s="1"/>
  <c r="AJ9" i="290" s="1"/>
  <c r="AK9" i="290" s="1"/>
  <c r="AL9" i="290" s="1"/>
  <c r="AM9" i="290" s="1"/>
  <c r="AN9" i="290" s="1"/>
  <c r="AO9" i="290" s="1"/>
  <c r="AP9" i="290" s="1"/>
  <c r="AQ9" i="290" s="1"/>
  <c r="AR9" i="290" s="1"/>
  <c r="E47" i="289"/>
  <c r="D47" i="289"/>
  <c r="C48" i="289"/>
  <c r="F46" i="289"/>
  <c r="Y9" i="288"/>
  <c r="Z9" i="288" s="1"/>
  <c r="AA9" i="288" s="1"/>
  <c r="AB9" i="288" s="1"/>
  <c r="AC9" i="288" s="1"/>
  <c r="AD9" i="288" s="1"/>
  <c r="AE9" i="288" s="1"/>
  <c r="AF9" i="288" s="1"/>
  <c r="AG9" i="288" s="1"/>
  <c r="AH9" i="288" s="1"/>
  <c r="AI9" i="288" s="1"/>
  <c r="AJ9" i="288" s="1"/>
  <c r="AK9" i="288" s="1"/>
  <c r="AL9" i="288" s="1"/>
  <c r="AM9" i="288" s="1"/>
  <c r="AN9" i="288" s="1"/>
  <c r="AO9" i="288" s="1"/>
  <c r="AP9" i="288" s="1"/>
  <c r="AQ9" i="288" s="1"/>
  <c r="AR9" i="288" s="1"/>
  <c r="F46" i="287"/>
  <c r="E47" i="287"/>
  <c r="D47" i="287"/>
  <c r="C48" i="287"/>
  <c r="Y9" i="286"/>
  <c r="Z9" i="286" s="1"/>
  <c r="AA9" i="286" s="1"/>
  <c r="AB9" i="286" s="1"/>
  <c r="AC9" i="286" s="1"/>
  <c r="AD9" i="286" s="1"/>
  <c r="AE9" i="286" s="1"/>
  <c r="AF9" i="286" s="1"/>
  <c r="AG9" i="286" s="1"/>
  <c r="AH9" i="286" s="1"/>
  <c r="AI9" i="286" s="1"/>
  <c r="AJ9" i="286" s="1"/>
  <c r="AK9" i="286" s="1"/>
  <c r="AL9" i="286" s="1"/>
  <c r="AM9" i="286" s="1"/>
  <c r="AN9" i="286" s="1"/>
  <c r="AO9" i="286" s="1"/>
  <c r="AP9" i="286" s="1"/>
  <c r="AQ9" i="286" s="1"/>
  <c r="AR9" i="286" s="1"/>
  <c r="E47" i="285"/>
  <c r="D47" i="285"/>
  <c r="C48" i="285"/>
  <c r="F46" i="285"/>
  <c r="Y9" i="284"/>
  <c r="Z9" i="284" s="1"/>
  <c r="AA9" i="284" s="1"/>
  <c r="AB9" i="284" s="1"/>
  <c r="AC9" i="284" s="1"/>
  <c r="AD9" i="284" s="1"/>
  <c r="AE9" i="284" s="1"/>
  <c r="AF9" i="284" s="1"/>
  <c r="AG9" i="284" s="1"/>
  <c r="AH9" i="284" s="1"/>
  <c r="AI9" i="284" s="1"/>
  <c r="AJ9" i="284" s="1"/>
  <c r="AK9" i="284" s="1"/>
  <c r="AL9" i="284" s="1"/>
  <c r="AM9" i="284" s="1"/>
  <c r="AN9" i="284" s="1"/>
  <c r="AO9" i="284" s="1"/>
  <c r="AP9" i="284" s="1"/>
  <c r="AQ9" i="284" s="1"/>
  <c r="AR9" i="284" s="1"/>
  <c r="E47" i="283"/>
  <c r="C48" i="283"/>
  <c r="D47" i="283"/>
  <c r="F47" i="283" s="1"/>
  <c r="Y9" i="281"/>
  <c r="Z9" i="281" s="1"/>
  <c r="AA9" i="281" s="1"/>
  <c r="AB9" i="281" s="1"/>
  <c r="AC9" i="281" s="1"/>
  <c r="AD9" i="281" s="1"/>
  <c r="AE9" i="281" s="1"/>
  <c r="AF9" i="281" s="1"/>
  <c r="AG9" i="281" s="1"/>
  <c r="AH9" i="281" s="1"/>
  <c r="AI9" i="281" s="1"/>
  <c r="AJ9" i="281" s="1"/>
  <c r="AK9" i="281" s="1"/>
  <c r="AL9" i="281" s="1"/>
  <c r="AM9" i="281" s="1"/>
  <c r="AN9" i="281" s="1"/>
  <c r="AO9" i="281" s="1"/>
  <c r="AP9" i="281" s="1"/>
  <c r="AQ9" i="281" s="1"/>
  <c r="AR9" i="281" s="1"/>
  <c r="E47" i="280"/>
  <c r="D47" i="280"/>
  <c r="C48" i="280"/>
  <c r="F46" i="280"/>
  <c r="Y9" i="279"/>
  <c r="Z9" i="279" s="1"/>
  <c r="AA9" i="279" s="1"/>
  <c r="AB9" i="279" s="1"/>
  <c r="AC9" i="279" s="1"/>
  <c r="AD9" i="279" s="1"/>
  <c r="AE9" i="279" s="1"/>
  <c r="AF9" i="279" s="1"/>
  <c r="AG9" i="279" s="1"/>
  <c r="AH9" i="279" s="1"/>
  <c r="AI9" i="279" s="1"/>
  <c r="AJ9" i="279" s="1"/>
  <c r="AK9" i="279" s="1"/>
  <c r="AL9" i="279" s="1"/>
  <c r="AM9" i="279" s="1"/>
  <c r="AN9" i="279" s="1"/>
  <c r="AO9" i="279" s="1"/>
  <c r="AP9" i="279" s="1"/>
  <c r="AQ9" i="279" s="1"/>
  <c r="AR9" i="279" s="1"/>
  <c r="E47" i="278"/>
  <c r="D47" i="278"/>
  <c r="F47" i="278" s="1"/>
  <c r="C48" i="278"/>
  <c r="Y9" i="276"/>
  <c r="Z9" i="276" s="1"/>
  <c r="AA9" i="276" s="1"/>
  <c r="AB9" i="276" s="1"/>
  <c r="AC9" i="276" s="1"/>
  <c r="AD9" i="276" s="1"/>
  <c r="AE9" i="276" s="1"/>
  <c r="AF9" i="276" s="1"/>
  <c r="AG9" i="276" s="1"/>
  <c r="AH9" i="276" s="1"/>
  <c r="AI9" i="276" s="1"/>
  <c r="AJ9" i="276" s="1"/>
  <c r="AK9" i="276" s="1"/>
  <c r="AL9" i="276" s="1"/>
  <c r="AM9" i="276" s="1"/>
  <c r="AN9" i="276" s="1"/>
  <c r="AO9" i="276" s="1"/>
  <c r="AP9" i="276" s="1"/>
  <c r="AQ9" i="276" s="1"/>
  <c r="AR9" i="276" s="1"/>
  <c r="E47" i="275"/>
  <c r="C48" i="275"/>
  <c r="Y9" i="274"/>
  <c r="Z9" i="274" s="1"/>
  <c r="AA9" i="274" s="1"/>
  <c r="AB9" i="274" s="1"/>
  <c r="AC9" i="274" s="1"/>
  <c r="AD9" i="274" s="1"/>
  <c r="AE9" i="274" s="1"/>
  <c r="AF9" i="274" s="1"/>
  <c r="AG9" i="274" s="1"/>
  <c r="AH9" i="274" s="1"/>
  <c r="AI9" i="274" s="1"/>
  <c r="AJ9" i="274" s="1"/>
  <c r="AK9" i="274" s="1"/>
  <c r="AL9" i="274" s="1"/>
  <c r="AM9" i="274" s="1"/>
  <c r="AN9" i="274" s="1"/>
  <c r="AO9" i="274" s="1"/>
  <c r="AP9" i="274" s="1"/>
  <c r="AQ9" i="274" s="1"/>
  <c r="AR9" i="274" s="1"/>
  <c r="E47" i="273"/>
  <c r="D47" i="273"/>
  <c r="C48" i="273"/>
  <c r="E47" i="272"/>
  <c r="C48" i="272"/>
  <c r="F8" i="273" l="1"/>
  <c r="F27" i="273"/>
  <c r="F27" i="280"/>
  <c r="F8" i="280"/>
  <c r="F27" i="289"/>
  <c r="F8" i="289"/>
  <c r="E48" i="289"/>
  <c r="D48" i="289"/>
  <c r="C49" i="289"/>
  <c r="F47" i="289"/>
  <c r="E48" i="287"/>
  <c r="D48" i="287"/>
  <c r="C49" i="287"/>
  <c r="F47" i="287"/>
  <c r="F47" i="285"/>
  <c r="D48" i="285"/>
  <c r="E48" i="285"/>
  <c r="C49" i="285"/>
  <c r="E48" i="283"/>
  <c r="D48" i="283"/>
  <c r="F48" i="283" s="1"/>
  <c r="C49" i="283"/>
  <c r="F47" i="280"/>
  <c r="E48" i="280"/>
  <c r="D48" i="280"/>
  <c r="C49" i="280"/>
  <c r="D48" i="278"/>
  <c r="F48" i="278" s="1"/>
  <c r="C49" i="278"/>
  <c r="E48" i="278"/>
  <c r="E48" i="275"/>
  <c r="C49" i="275"/>
  <c r="E48" i="273"/>
  <c r="C49" i="273"/>
  <c r="D48" i="273"/>
  <c r="F47" i="273"/>
  <c r="C49" i="272"/>
  <c r="E48" i="272"/>
  <c r="D49" i="289" l="1"/>
  <c r="E49" i="289"/>
  <c r="C50" i="289"/>
  <c r="F48" i="289"/>
  <c r="E49" i="287"/>
  <c r="C50" i="287"/>
  <c r="D49" i="287"/>
  <c r="F48" i="287"/>
  <c r="E49" i="285"/>
  <c r="C50" i="285"/>
  <c r="D49" i="285"/>
  <c r="F48" i="285"/>
  <c r="E49" i="283"/>
  <c r="C50" i="283"/>
  <c r="D49" i="283"/>
  <c r="F49" i="283" s="1"/>
  <c r="F48" i="280"/>
  <c r="E49" i="280"/>
  <c r="D49" i="280"/>
  <c r="C50" i="280"/>
  <c r="E49" i="278"/>
  <c r="D49" i="278"/>
  <c r="F49" i="278" s="1"/>
  <c r="C50" i="278"/>
  <c r="E49" i="275"/>
  <c r="C50" i="275"/>
  <c r="F48" i="273"/>
  <c r="E49" i="273"/>
  <c r="D49" i="273"/>
  <c r="C50" i="273"/>
  <c r="E49" i="272"/>
  <c r="C50" i="272"/>
  <c r="D50" i="289" l="1"/>
  <c r="C51" i="289"/>
  <c r="E50" i="289"/>
  <c r="F49" i="289"/>
  <c r="F49" i="287"/>
  <c r="E50" i="287"/>
  <c r="D50" i="287"/>
  <c r="C51" i="287"/>
  <c r="F49" i="285"/>
  <c r="E50" i="285"/>
  <c r="C51" i="285"/>
  <c r="D50" i="285"/>
  <c r="D50" i="283"/>
  <c r="F50" i="283" s="1"/>
  <c r="E50" i="283"/>
  <c r="C51" i="283"/>
  <c r="F49" i="280"/>
  <c r="D50" i="280"/>
  <c r="E50" i="280"/>
  <c r="C51" i="280"/>
  <c r="E50" i="278"/>
  <c r="C51" i="278"/>
  <c r="D50" i="278"/>
  <c r="F50" i="278" s="1"/>
  <c r="E50" i="275"/>
  <c r="C51" i="275"/>
  <c r="E50" i="273"/>
  <c r="D50" i="273"/>
  <c r="C51" i="273"/>
  <c r="F49" i="273"/>
  <c r="C51" i="272"/>
  <c r="E50" i="272"/>
  <c r="C52" i="289" l="1"/>
  <c r="E51" i="289"/>
  <c r="D51" i="289"/>
  <c r="F50" i="289"/>
  <c r="C52" i="287"/>
  <c r="E51" i="287"/>
  <c r="D51" i="287"/>
  <c r="F50" i="287"/>
  <c r="F50" i="285"/>
  <c r="C52" i="285"/>
  <c r="E51" i="285"/>
  <c r="D51" i="285"/>
  <c r="C52" i="283"/>
  <c r="E51" i="283"/>
  <c r="D51" i="283"/>
  <c r="F51" i="283" s="1"/>
  <c r="C52" i="280"/>
  <c r="E51" i="280"/>
  <c r="D51" i="280"/>
  <c r="F50" i="280"/>
  <c r="C52" i="278"/>
  <c r="E51" i="278"/>
  <c r="D51" i="278"/>
  <c r="F51" i="278" s="1"/>
  <c r="C52" i="275"/>
  <c r="E51" i="275"/>
  <c r="C52" i="273"/>
  <c r="D51" i="273"/>
  <c r="E51" i="273"/>
  <c r="F50" i="273"/>
  <c r="E51" i="272"/>
  <c r="C52" i="272"/>
  <c r="F51" i="289" l="1"/>
  <c r="D52" i="289"/>
  <c r="C53" i="289"/>
  <c r="E52" i="289"/>
  <c r="F51" i="287"/>
  <c r="D52" i="287"/>
  <c r="C53" i="287"/>
  <c r="E52" i="287"/>
  <c r="D52" i="285"/>
  <c r="C53" i="285"/>
  <c r="E52" i="285"/>
  <c r="F51" i="285"/>
  <c r="D52" i="283"/>
  <c r="F52" i="283" s="1"/>
  <c r="C53" i="283"/>
  <c r="E52" i="283"/>
  <c r="F51" i="280"/>
  <c r="D52" i="280"/>
  <c r="C53" i="280"/>
  <c r="E52" i="280"/>
  <c r="D52" i="278"/>
  <c r="F52" i="278" s="1"/>
  <c r="C53" i="278"/>
  <c r="E52" i="278"/>
  <c r="C53" i="275"/>
  <c r="E52" i="275"/>
  <c r="F51" i="273"/>
  <c r="D52" i="273"/>
  <c r="C53" i="273"/>
  <c r="E52" i="273"/>
  <c r="C53" i="272"/>
  <c r="E52" i="272"/>
  <c r="E53" i="289" l="1"/>
  <c r="D53" i="289"/>
  <c r="C54" i="289"/>
  <c r="F52" i="289"/>
  <c r="E53" i="287"/>
  <c r="D53" i="287"/>
  <c r="C54" i="287"/>
  <c r="F52" i="287"/>
  <c r="F52" i="285"/>
  <c r="E53" i="285"/>
  <c r="D53" i="285"/>
  <c r="C54" i="285"/>
  <c r="E53" i="283"/>
  <c r="D53" i="283"/>
  <c r="F53" i="283" s="1"/>
  <c r="C54" i="283"/>
  <c r="E53" i="280"/>
  <c r="D53" i="280"/>
  <c r="C54" i="280"/>
  <c r="F52" i="280"/>
  <c r="E53" i="278"/>
  <c r="D53" i="278"/>
  <c r="F53" i="278" s="1"/>
  <c r="C54" i="278"/>
  <c r="C54" i="275"/>
  <c r="E53" i="275"/>
  <c r="F52" i="273"/>
  <c r="E53" i="273"/>
  <c r="D53" i="273"/>
  <c r="C54" i="273"/>
  <c r="E53" i="272"/>
  <c r="C54" i="272"/>
  <c r="E54" i="289" l="1"/>
  <c r="D54" i="289"/>
  <c r="C55" i="289"/>
  <c r="F53" i="289"/>
  <c r="E54" i="287"/>
  <c r="D54" i="287"/>
  <c r="C55" i="287"/>
  <c r="F53" i="287"/>
  <c r="D54" i="285"/>
  <c r="E54" i="285"/>
  <c r="C55" i="285"/>
  <c r="F53" i="285"/>
  <c r="E54" i="283"/>
  <c r="D54" i="283"/>
  <c r="F54" i="283" s="1"/>
  <c r="C55" i="283"/>
  <c r="E54" i="280"/>
  <c r="D54" i="280"/>
  <c r="C55" i="280"/>
  <c r="F53" i="280"/>
  <c r="E54" i="278"/>
  <c r="D54" i="278"/>
  <c r="F54" i="278" s="1"/>
  <c r="C55" i="278"/>
  <c r="E54" i="275"/>
  <c r="C55" i="275"/>
  <c r="F53" i="273"/>
  <c r="E54" i="273"/>
  <c r="D54" i="273"/>
  <c r="C55" i="273"/>
  <c r="C55" i="272"/>
  <c r="E54" i="272"/>
  <c r="D55" i="289" l="1"/>
  <c r="E55" i="289"/>
  <c r="C56" i="289"/>
  <c r="F54" i="289"/>
  <c r="C56" i="287"/>
  <c r="E55" i="287"/>
  <c r="D55" i="287"/>
  <c r="F54" i="287"/>
  <c r="E55" i="285"/>
  <c r="C56" i="285"/>
  <c r="D55" i="285"/>
  <c r="F54" i="285"/>
  <c r="E55" i="283"/>
  <c r="C56" i="283"/>
  <c r="D55" i="283"/>
  <c r="F55" i="283" s="1"/>
  <c r="D55" i="280"/>
  <c r="E55" i="280"/>
  <c r="C56" i="280"/>
  <c r="F54" i="280"/>
  <c r="E55" i="278"/>
  <c r="D55" i="278"/>
  <c r="F55" i="278" s="1"/>
  <c r="C56" i="278"/>
  <c r="E55" i="275"/>
  <c r="C56" i="275"/>
  <c r="F54" i="273"/>
  <c r="E55" i="273"/>
  <c r="C56" i="273"/>
  <c r="D55" i="273"/>
  <c r="E55" i="272"/>
  <c r="C56" i="272"/>
  <c r="D56" i="289" l="1"/>
  <c r="E56" i="289"/>
  <c r="C57" i="289"/>
  <c r="F55" i="289"/>
  <c r="F55" i="287"/>
  <c r="E56" i="287"/>
  <c r="D56" i="287"/>
  <c r="C57" i="287"/>
  <c r="F55" i="285"/>
  <c r="E56" i="285"/>
  <c r="D56" i="285"/>
  <c r="C57" i="285"/>
  <c r="D56" i="283"/>
  <c r="F56" i="283" s="1"/>
  <c r="C57" i="283"/>
  <c r="E56" i="283"/>
  <c r="E56" i="280"/>
  <c r="D56" i="280"/>
  <c r="C57" i="280"/>
  <c r="F55" i="280"/>
  <c r="E56" i="278"/>
  <c r="C57" i="278"/>
  <c r="D56" i="278"/>
  <c r="F56" i="278" s="1"/>
  <c r="E56" i="275"/>
  <c r="C57" i="275"/>
  <c r="E56" i="273"/>
  <c r="C57" i="273"/>
  <c r="D56" i="273"/>
  <c r="F55" i="273"/>
  <c r="C57" i="272"/>
  <c r="E56" i="272"/>
  <c r="C58" i="289" l="1"/>
  <c r="E57" i="289"/>
  <c r="D57" i="289"/>
  <c r="F56" i="289"/>
  <c r="D57" i="287"/>
  <c r="C58" i="287"/>
  <c r="E57" i="287"/>
  <c r="F56" i="287"/>
  <c r="F56" i="285"/>
  <c r="C58" i="285"/>
  <c r="E57" i="285"/>
  <c r="D57" i="285"/>
  <c r="C58" i="283"/>
  <c r="E57" i="283"/>
  <c r="D57" i="283"/>
  <c r="F57" i="283" s="1"/>
  <c r="C58" i="280"/>
  <c r="E57" i="280"/>
  <c r="D57" i="280"/>
  <c r="F56" i="280"/>
  <c r="C58" i="278"/>
  <c r="E57" i="278"/>
  <c r="D57" i="278"/>
  <c r="F57" i="278" s="1"/>
  <c r="C58" i="275"/>
  <c r="E57" i="275"/>
  <c r="F56" i="273"/>
  <c r="C58" i="273"/>
  <c r="D57" i="273"/>
  <c r="E57" i="273"/>
  <c r="E57" i="272"/>
  <c r="C58" i="272"/>
  <c r="F57" i="289" l="1"/>
  <c r="D58" i="289"/>
  <c r="C59" i="289"/>
  <c r="E58" i="289"/>
  <c r="D58" i="287"/>
  <c r="C59" i="287"/>
  <c r="E58" i="287"/>
  <c r="F57" i="287"/>
  <c r="F57" i="285"/>
  <c r="D58" i="285"/>
  <c r="C59" i="285"/>
  <c r="E58" i="285"/>
  <c r="D58" i="283"/>
  <c r="F58" i="283" s="1"/>
  <c r="C59" i="283"/>
  <c r="E58" i="283"/>
  <c r="F57" i="280"/>
  <c r="D58" i="280"/>
  <c r="C59" i="280"/>
  <c r="E58" i="280"/>
  <c r="D58" i="278"/>
  <c r="F58" i="278" s="1"/>
  <c r="C59" i="278"/>
  <c r="E58" i="278"/>
  <c r="C59" i="275"/>
  <c r="E58" i="275"/>
  <c r="F57" i="273"/>
  <c r="D58" i="273"/>
  <c r="C59" i="273"/>
  <c r="E58" i="273"/>
  <c r="C59" i="272"/>
  <c r="E58" i="272"/>
  <c r="E59" i="289" l="1"/>
  <c r="D59" i="289"/>
  <c r="C60" i="289"/>
  <c r="F58" i="289"/>
  <c r="E59" i="287"/>
  <c r="D59" i="287"/>
  <c r="C60" i="287"/>
  <c r="F58" i="287"/>
  <c r="F58" i="285"/>
  <c r="E59" i="285"/>
  <c r="D59" i="285"/>
  <c r="C60" i="285"/>
  <c r="E59" i="283"/>
  <c r="D59" i="283"/>
  <c r="F59" i="283" s="1"/>
  <c r="C60" i="283"/>
  <c r="F58" i="280"/>
  <c r="E59" i="280"/>
  <c r="D59" i="280"/>
  <c r="C60" i="280"/>
  <c r="E59" i="278"/>
  <c r="D59" i="278"/>
  <c r="F59" i="278" s="1"/>
  <c r="C60" i="278"/>
  <c r="E59" i="275"/>
  <c r="C60" i="275"/>
  <c r="F58" i="273"/>
  <c r="E59" i="273"/>
  <c r="D59" i="273"/>
  <c r="C60" i="273"/>
  <c r="E59" i="272"/>
  <c r="C60" i="272"/>
  <c r="E60" i="289" l="1"/>
  <c r="D60" i="289"/>
  <c r="C61" i="289"/>
  <c r="F59" i="289"/>
  <c r="F59" i="287"/>
  <c r="E60" i="287"/>
  <c r="D60" i="287"/>
  <c r="C61" i="287"/>
  <c r="F59" i="285"/>
  <c r="D60" i="285"/>
  <c r="E60" i="285"/>
  <c r="C61" i="285"/>
  <c r="E60" i="283"/>
  <c r="D60" i="283"/>
  <c r="F60" i="283" s="1"/>
  <c r="C61" i="283"/>
  <c r="F59" i="280"/>
  <c r="E60" i="280"/>
  <c r="D60" i="280"/>
  <c r="C61" i="280"/>
  <c r="E60" i="278"/>
  <c r="D60" i="278"/>
  <c r="F60" i="278" s="1"/>
  <c r="C61" i="278"/>
  <c r="E60" i="275"/>
  <c r="C61" i="275"/>
  <c r="E60" i="273"/>
  <c r="D60" i="273"/>
  <c r="C61" i="273"/>
  <c r="F59" i="273"/>
  <c r="C61" i="272"/>
  <c r="E60" i="272"/>
  <c r="D61" i="289" l="1"/>
  <c r="E61" i="289"/>
  <c r="C62" i="289"/>
  <c r="F60" i="289"/>
  <c r="F60" i="287"/>
  <c r="C62" i="287"/>
  <c r="E61" i="287"/>
  <c r="D61" i="287"/>
  <c r="E61" i="285"/>
  <c r="C62" i="285"/>
  <c r="D61" i="285"/>
  <c r="F60" i="285"/>
  <c r="E61" i="283"/>
  <c r="C62" i="283"/>
  <c r="D61" i="283"/>
  <c r="F61" i="283" s="1"/>
  <c r="F60" i="280"/>
  <c r="E61" i="280"/>
  <c r="D61" i="280"/>
  <c r="C62" i="280"/>
  <c r="E61" i="278"/>
  <c r="D61" i="278"/>
  <c r="F61" i="278" s="1"/>
  <c r="C62" i="278"/>
  <c r="E61" i="275"/>
  <c r="C62" i="275"/>
  <c r="C62" i="273"/>
  <c r="E61" i="273"/>
  <c r="D61" i="273"/>
  <c r="F60" i="273"/>
  <c r="E61" i="272"/>
  <c r="C62" i="272"/>
  <c r="D62" i="289" l="1"/>
  <c r="C63" i="289"/>
  <c r="E62" i="289"/>
  <c r="F61" i="289"/>
  <c r="F61" i="287"/>
  <c r="E62" i="287"/>
  <c r="D62" i="287"/>
  <c r="C63" i="287"/>
  <c r="F61" i="285"/>
  <c r="D62" i="285"/>
  <c r="C63" i="285"/>
  <c r="E62" i="285"/>
  <c r="D62" i="283"/>
  <c r="F62" i="283" s="1"/>
  <c r="E62" i="283"/>
  <c r="C63" i="283"/>
  <c r="F61" i="280"/>
  <c r="E62" i="280"/>
  <c r="D62" i="280"/>
  <c r="C63" i="280"/>
  <c r="E62" i="278"/>
  <c r="C63" i="278"/>
  <c r="D62" i="278"/>
  <c r="F62" i="278" s="1"/>
  <c r="E62" i="275"/>
  <c r="C63" i="275"/>
  <c r="F61" i="273"/>
  <c r="E62" i="273"/>
  <c r="D62" i="273"/>
  <c r="C63" i="273"/>
  <c r="C63" i="272"/>
  <c r="E62" i="272"/>
  <c r="F62" i="289" l="1"/>
  <c r="C64" i="289"/>
  <c r="E63" i="289"/>
  <c r="D63" i="289"/>
  <c r="C64" i="287"/>
  <c r="E63" i="287"/>
  <c r="D63" i="287"/>
  <c r="F62" i="287"/>
  <c r="C64" i="285"/>
  <c r="E63" i="285"/>
  <c r="D63" i="285"/>
  <c r="F62" i="285"/>
  <c r="C64" i="283"/>
  <c r="E63" i="283"/>
  <c r="D63" i="283"/>
  <c r="F63" i="283" s="1"/>
  <c r="C64" i="280"/>
  <c r="E63" i="280"/>
  <c r="D63" i="280"/>
  <c r="F62" i="280"/>
  <c r="C64" i="278"/>
  <c r="E63" i="278"/>
  <c r="D63" i="278"/>
  <c r="F63" i="278" s="1"/>
  <c r="C64" i="275"/>
  <c r="E63" i="275"/>
  <c r="C64" i="273"/>
  <c r="D63" i="273"/>
  <c r="E63" i="273"/>
  <c r="F62" i="273"/>
  <c r="C64" i="272"/>
  <c r="E63" i="272"/>
  <c r="D64" i="289" l="1"/>
  <c r="C65" i="289"/>
  <c r="E64" i="289"/>
  <c r="F63" i="289"/>
  <c r="F63" i="287"/>
  <c r="D64" i="287"/>
  <c r="C65" i="287"/>
  <c r="E64" i="287"/>
  <c r="F63" i="285"/>
  <c r="D64" i="285"/>
  <c r="C65" i="285"/>
  <c r="E64" i="285"/>
  <c r="D64" i="283"/>
  <c r="F64" i="283" s="1"/>
  <c r="C65" i="283"/>
  <c r="E64" i="283"/>
  <c r="F63" i="280"/>
  <c r="D64" i="280"/>
  <c r="C65" i="280"/>
  <c r="E64" i="280"/>
  <c r="D64" i="278"/>
  <c r="F64" i="278" s="1"/>
  <c r="C65" i="278"/>
  <c r="E64" i="278"/>
  <c r="C65" i="275"/>
  <c r="E64" i="275"/>
  <c r="F63" i="273"/>
  <c r="D64" i="273"/>
  <c r="C65" i="273"/>
  <c r="E64" i="273"/>
  <c r="C65" i="272"/>
  <c r="E64" i="272"/>
  <c r="E65" i="289" l="1"/>
  <c r="D65" i="289"/>
  <c r="C66" i="289"/>
  <c r="F64" i="289"/>
  <c r="E65" i="287"/>
  <c r="D65" i="287"/>
  <c r="C66" i="287"/>
  <c r="F64" i="287"/>
  <c r="F64" i="285"/>
  <c r="E65" i="285"/>
  <c r="D65" i="285"/>
  <c r="C66" i="285"/>
  <c r="E65" i="283"/>
  <c r="C66" i="283"/>
  <c r="D65" i="283"/>
  <c r="F65" i="283" s="1"/>
  <c r="E65" i="280"/>
  <c r="D65" i="280"/>
  <c r="C66" i="280"/>
  <c r="F64" i="280"/>
  <c r="E65" i="278"/>
  <c r="D65" i="278"/>
  <c r="F65" i="278" s="1"/>
  <c r="C66" i="278"/>
  <c r="E65" i="275"/>
  <c r="C66" i="275"/>
  <c r="E65" i="273"/>
  <c r="D65" i="273"/>
  <c r="C66" i="273"/>
  <c r="F64" i="273"/>
  <c r="C66" i="272"/>
  <c r="E65" i="272"/>
  <c r="E66" i="289" l="1"/>
  <c r="D66" i="289"/>
  <c r="C67" i="289"/>
  <c r="F65" i="289"/>
  <c r="E66" i="287"/>
  <c r="D66" i="287"/>
  <c r="C67" i="287"/>
  <c r="F65" i="287"/>
  <c r="F65" i="285"/>
  <c r="D66" i="285"/>
  <c r="E66" i="285"/>
  <c r="C67" i="285"/>
  <c r="E66" i="283"/>
  <c r="D66" i="283"/>
  <c r="F66" i="283" s="1"/>
  <c r="C67" i="283"/>
  <c r="C67" i="280"/>
  <c r="E66" i="280"/>
  <c r="D66" i="280"/>
  <c r="F65" i="280"/>
  <c r="E66" i="278"/>
  <c r="D66" i="278"/>
  <c r="F66" i="278" s="1"/>
  <c r="C67" i="278"/>
  <c r="E66" i="275"/>
  <c r="C67" i="275"/>
  <c r="F65" i="273"/>
  <c r="E66" i="273"/>
  <c r="D66" i="273"/>
  <c r="C67" i="273"/>
  <c r="E66" i="272"/>
  <c r="C67" i="272"/>
  <c r="D67" i="289" l="1"/>
  <c r="E67" i="289"/>
  <c r="C68" i="289"/>
  <c r="F66" i="289"/>
  <c r="E67" i="287"/>
  <c r="D67" i="287"/>
  <c r="C68" i="287"/>
  <c r="F66" i="287"/>
  <c r="E67" i="285"/>
  <c r="C68" i="285"/>
  <c r="D67" i="285"/>
  <c r="F66" i="285"/>
  <c r="E67" i="283"/>
  <c r="C68" i="283"/>
  <c r="D67" i="283"/>
  <c r="F67" i="283" s="1"/>
  <c r="F66" i="280"/>
  <c r="D67" i="280"/>
  <c r="E67" i="280"/>
  <c r="C68" i="280"/>
  <c r="E67" i="278"/>
  <c r="D67" i="278"/>
  <c r="F67" i="278" s="1"/>
  <c r="C68" i="278"/>
  <c r="E67" i="275"/>
  <c r="C68" i="275"/>
  <c r="D67" i="273"/>
  <c r="C68" i="273"/>
  <c r="E67" i="273"/>
  <c r="F66" i="273"/>
  <c r="C68" i="272"/>
  <c r="E67" i="272"/>
  <c r="D68" i="289" l="1"/>
  <c r="C69" i="289"/>
  <c r="E68" i="289"/>
  <c r="F67" i="289"/>
  <c r="E68" i="287"/>
  <c r="D68" i="287"/>
  <c r="C69" i="287"/>
  <c r="F67" i="287"/>
  <c r="F67" i="285"/>
  <c r="E68" i="285"/>
  <c r="C69" i="285"/>
  <c r="D68" i="285"/>
  <c r="D68" i="283"/>
  <c r="F68" i="283" s="1"/>
  <c r="E68" i="283"/>
  <c r="C69" i="283"/>
  <c r="F67" i="280"/>
  <c r="E68" i="280"/>
  <c r="D68" i="280"/>
  <c r="C69" i="280"/>
  <c r="E68" i="278"/>
  <c r="D68" i="278"/>
  <c r="F68" i="278" s="1"/>
  <c r="C69" i="278"/>
  <c r="E68" i="275"/>
  <c r="C69" i="275"/>
  <c r="E68" i="273"/>
  <c r="C69" i="273"/>
  <c r="D68" i="273"/>
  <c r="F67" i="273"/>
  <c r="E68" i="272"/>
  <c r="C69" i="272"/>
  <c r="C70" i="289" l="1"/>
  <c r="E69" i="289"/>
  <c r="D69" i="289"/>
  <c r="F68" i="289"/>
  <c r="F68" i="287"/>
  <c r="C70" i="287"/>
  <c r="D69" i="287"/>
  <c r="E69" i="287"/>
  <c r="F68" i="285"/>
  <c r="C70" i="285"/>
  <c r="E69" i="285"/>
  <c r="D69" i="285"/>
  <c r="C70" i="283"/>
  <c r="E69" i="283"/>
  <c r="D69" i="283"/>
  <c r="F69" i="283" s="1"/>
  <c r="F68" i="280"/>
  <c r="C70" i="280"/>
  <c r="E69" i="280"/>
  <c r="D69" i="280"/>
  <c r="C70" i="278"/>
  <c r="E69" i="278"/>
  <c r="D69" i="278"/>
  <c r="F69" i="278" s="1"/>
  <c r="C70" i="275"/>
  <c r="E69" i="275"/>
  <c r="C70" i="273"/>
  <c r="D69" i="273"/>
  <c r="E69" i="273"/>
  <c r="F68" i="273"/>
  <c r="C70" i="272"/>
  <c r="E69" i="272"/>
  <c r="F69" i="289" l="1"/>
  <c r="D70" i="289"/>
  <c r="C71" i="289"/>
  <c r="E70" i="289"/>
  <c r="D70" i="287"/>
  <c r="C71" i="287"/>
  <c r="E70" i="287"/>
  <c r="F69" i="287"/>
  <c r="D70" i="285"/>
  <c r="C71" i="285"/>
  <c r="E70" i="285"/>
  <c r="F69" i="285"/>
  <c r="D70" i="283"/>
  <c r="F70" i="283" s="1"/>
  <c r="C71" i="283"/>
  <c r="E70" i="283"/>
  <c r="F69" i="280"/>
  <c r="D70" i="280"/>
  <c r="C71" i="280"/>
  <c r="E70" i="280"/>
  <c r="D70" i="278"/>
  <c r="F70" i="278" s="1"/>
  <c r="C71" i="278"/>
  <c r="E70" i="278"/>
  <c r="C71" i="275"/>
  <c r="E70" i="275"/>
  <c r="F69" i="273"/>
  <c r="D70" i="273"/>
  <c r="C71" i="273"/>
  <c r="E70" i="273"/>
  <c r="C71" i="272"/>
  <c r="E70" i="272"/>
  <c r="E71" i="289" l="1"/>
  <c r="D71" i="289"/>
  <c r="C72" i="289"/>
  <c r="F70" i="289"/>
  <c r="E71" i="287"/>
  <c r="D71" i="287"/>
  <c r="C72" i="287"/>
  <c r="F70" i="287"/>
  <c r="F70" i="285"/>
  <c r="E71" i="285"/>
  <c r="D71" i="285"/>
  <c r="C72" i="285"/>
  <c r="E71" i="283"/>
  <c r="D71" i="283"/>
  <c r="F71" i="283" s="1"/>
  <c r="C72" i="283"/>
  <c r="F70" i="280"/>
  <c r="E71" i="280"/>
  <c r="D71" i="280"/>
  <c r="C72" i="280"/>
  <c r="E71" i="278"/>
  <c r="D71" i="278"/>
  <c r="F71" i="278" s="1"/>
  <c r="C72" i="278"/>
  <c r="E71" i="275"/>
  <c r="C72" i="275"/>
  <c r="F70" i="273"/>
  <c r="E71" i="273"/>
  <c r="D71" i="273"/>
  <c r="C72" i="273"/>
  <c r="E71" i="272"/>
  <c r="C72" i="272"/>
  <c r="E72" i="289" l="1"/>
  <c r="D72" i="289"/>
  <c r="C73" i="289"/>
  <c r="F71" i="289"/>
  <c r="E72" i="287"/>
  <c r="D72" i="287"/>
  <c r="C73" i="287"/>
  <c r="F71" i="287"/>
  <c r="F71" i="285"/>
  <c r="D72" i="285"/>
  <c r="E72" i="285"/>
  <c r="C73" i="285"/>
  <c r="E72" i="283"/>
  <c r="D72" i="283"/>
  <c r="F72" i="283" s="1"/>
  <c r="C73" i="283"/>
  <c r="F71" i="280"/>
  <c r="C73" i="280"/>
  <c r="E72" i="280"/>
  <c r="D72" i="280"/>
  <c r="E72" i="278"/>
  <c r="D72" i="278"/>
  <c r="F72" i="278" s="1"/>
  <c r="C73" i="278"/>
  <c r="E72" i="275"/>
  <c r="C73" i="275"/>
  <c r="E72" i="273"/>
  <c r="D72" i="273"/>
  <c r="C73" i="273"/>
  <c r="F71" i="273"/>
  <c r="C73" i="272"/>
  <c r="E72" i="272"/>
  <c r="D73" i="289" l="1"/>
  <c r="E73" i="289"/>
  <c r="C74" i="289"/>
  <c r="F72" i="289"/>
  <c r="E73" i="287"/>
  <c r="D73" i="287"/>
  <c r="C74" i="287"/>
  <c r="F72" i="287"/>
  <c r="E73" i="285"/>
  <c r="C74" i="285"/>
  <c r="D73" i="285"/>
  <c r="F72" i="285"/>
  <c r="E73" i="283"/>
  <c r="C74" i="283"/>
  <c r="D73" i="283"/>
  <c r="F73" i="283" s="1"/>
  <c r="F72" i="280"/>
  <c r="E73" i="280"/>
  <c r="D73" i="280"/>
  <c r="C74" i="280"/>
  <c r="E73" i="278"/>
  <c r="D73" i="278"/>
  <c r="F73" i="278" s="1"/>
  <c r="C74" i="278"/>
  <c r="E73" i="275"/>
  <c r="C74" i="275"/>
  <c r="E73" i="273"/>
  <c r="D73" i="273"/>
  <c r="C74" i="273"/>
  <c r="F72" i="273"/>
  <c r="C74" i="272"/>
  <c r="E73" i="272"/>
  <c r="D74" i="289" l="1"/>
  <c r="C75" i="289"/>
  <c r="E74" i="289"/>
  <c r="F73" i="289"/>
  <c r="E74" i="287"/>
  <c r="D74" i="287"/>
  <c r="C75" i="287"/>
  <c r="F73" i="287"/>
  <c r="F73" i="285"/>
  <c r="E74" i="285"/>
  <c r="D74" i="285"/>
  <c r="C75" i="285"/>
  <c r="D74" i="283"/>
  <c r="F74" i="283" s="1"/>
  <c r="C75" i="283"/>
  <c r="E74" i="283"/>
  <c r="F73" i="280"/>
  <c r="E74" i="280"/>
  <c r="D74" i="280"/>
  <c r="C75" i="280"/>
  <c r="E74" i="278"/>
  <c r="C75" i="278"/>
  <c r="D74" i="278"/>
  <c r="F74" i="278" s="1"/>
  <c r="E74" i="275"/>
  <c r="C75" i="275"/>
  <c r="F73" i="273"/>
  <c r="E74" i="273"/>
  <c r="C75" i="273"/>
  <c r="D74" i="273"/>
  <c r="E74" i="272"/>
  <c r="C75" i="272"/>
  <c r="C76" i="289" l="1"/>
  <c r="E75" i="289"/>
  <c r="D75" i="289"/>
  <c r="F74" i="289"/>
  <c r="F74" i="287"/>
  <c r="C76" i="287"/>
  <c r="E75" i="287"/>
  <c r="D75" i="287"/>
  <c r="C76" i="285"/>
  <c r="E75" i="285"/>
  <c r="D75" i="285"/>
  <c r="F74" i="285"/>
  <c r="C76" i="283"/>
  <c r="E75" i="283"/>
  <c r="D75" i="283"/>
  <c r="F75" i="283" s="1"/>
  <c r="F74" i="280"/>
  <c r="C76" i="280"/>
  <c r="D75" i="280"/>
  <c r="E75" i="280"/>
  <c r="C76" i="278"/>
  <c r="E75" i="278"/>
  <c r="D75" i="278"/>
  <c r="F75" i="278" s="1"/>
  <c r="C76" i="275"/>
  <c r="E75" i="275"/>
  <c r="F74" i="273"/>
  <c r="C76" i="273"/>
  <c r="D75" i="273"/>
  <c r="E75" i="273"/>
  <c r="C76" i="272"/>
  <c r="E75" i="272"/>
  <c r="F75" i="289" l="1"/>
  <c r="D76" i="289"/>
  <c r="C77" i="289"/>
  <c r="E76" i="289"/>
  <c r="F75" i="287"/>
  <c r="D76" i="287"/>
  <c r="C77" i="287"/>
  <c r="E76" i="287"/>
  <c r="F75" i="285"/>
  <c r="D76" i="285"/>
  <c r="C77" i="285"/>
  <c r="E76" i="285"/>
  <c r="D76" i="283"/>
  <c r="F76" i="283" s="1"/>
  <c r="C77" i="283"/>
  <c r="E76" i="283"/>
  <c r="F75" i="280"/>
  <c r="D76" i="280"/>
  <c r="C77" i="280"/>
  <c r="E76" i="280"/>
  <c r="D76" i="278"/>
  <c r="F76" i="278" s="1"/>
  <c r="C77" i="278"/>
  <c r="E76" i="278"/>
  <c r="C77" i="275"/>
  <c r="E76" i="275"/>
  <c r="F75" i="273"/>
  <c r="D76" i="273"/>
  <c r="C77" i="273"/>
  <c r="E76" i="273"/>
  <c r="C77" i="272"/>
  <c r="E76" i="272"/>
  <c r="F76" i="289" l="1"/>
  <c r="E77" i="289"/>
  <c r="D77" i="289"/>
  <c r="C78" i="289"/>
  <c r="E77" i="287"/>
  <c r="D77" i="287"/>
  <c r="C78" i="287"/>
  <c r="F76" i="287"/>
  <c r="F76" i="285"/>
  <c r="E77" i="285"/>
  <c r="D77" i="285"/>
  <c r="C78" i="285"/>
  <c r="C78" i="283"/>
  <c r="E77" i="283"/>
  <c r="D77" i="283"/>
  <c r="F77" i="283" s="1"/>
  <c r="E77" i="280"/>
  <c r="D77" i="280"/>
  <c r="C78" i="280"/>
  <c r="F76" i="280"/>
  <c r="E77" i="278"/>
  <c r="D77" i="278"/>
  <c r="F77" i="278" s="1"/>
  <c r="C78" i="278"/>
  <c r="E77" i="275"/>
  <c r="C78" i="275"/>
  <c r="E77" i="273"/>
  <c r="D77" i="273"/>
  <c r="C78" i="273"/>
  <c r="F76" i="273"/>
  <c r="E77" i="272"/>
  <c r="C78" i="272"/>
  <c r="F77" i="289" l="1"/>
  <c r="E78" i="289"/>
  <c r="D78" i="289"/>
  <c r="C79" i="289"/>
  <c r="E78" i="287"/>
  <c r="D78" i="287"/>
  <c r="C79" i="287"/>
  <c r="F77" i="287"/>
  <c r="F77" i="285"/>
  <c r="D78" i="285"/>
  <c r="E78" i="285"/>
  <c r="C79" i="285"/>
  <c r="E78" i="283"/>
  <c r="D78" i="283"/>
  <c r="F78" i="283" s="1"/>
  <c r="C79" i="283"/>
  <c r="E78" i="280"/>
  <c r="D78" i="280"/>
  <c r="C79" i="280"/>
  <c r="F77" i="280"/>
  <c r="E78" i="278"/>
  <c r="D78" i="278"/>
  <c r="F78" i="278" s="1"/>
  <c r="C79" i="278"/>
  <c r="E78" i="275"/>
  <c r="C79" i="275"/>
  <c r="E78" i="273"/>
  <c r="D78" i="273"/>
  <c r="C79" i="273"/>
  <c r="F77" i="273"/>
  <c r="C79" i="272"/>
  <c r="E78" i="272"/>
  <c r="D79" i="289" l="1"/>
  <c r="E79" i="289"/>
  <c r="C80" i="289"/>
  <c r="F78" i="289"/>
  <c r="C80" i="287"/>
  <c r="E79" i="287"/>
  <c r="D79" i="287"/>
  <c r="F78" i="287"/>
  <c r="F78" i="285"/>
  <c r="E79" i="285"/>
  <c r="C80" i="285"/>
  <c r="D79" i="285"/>
  <c r="E79" i="283"/>
  <c r="C80" i="283"/>
  <c r="D79" i="283"/>
  <c r="F79" i="283" s="1"/>
  <c r="F78" i="280"/>
  <c r="E79" i="280"/>
  <c r="D79" i="280"/>
  <c r="C80" i="280"/>
  <c r="E79" i="278"/>
  <c r="D79" i="278"/>
  <c r="F79" i="278" s="1"/>
  <c r="C80" i="278"/>
  <c r="E79" i="275"/>
  <c r="C80" i="275"/>
  <c r="E79" i="273"/>
  <c r="C80" i="273"/>
  <c r="D79" i="273"/>
  <c r="F78" i="273"/>
  <c r="C80" i="272"/>
  <c r="E79" i="272"/>
  <c r="D80" i="289" l="1"/>
  <c r="C81" i="289"/>
  <c r="E80" i="289"/>
  <c r="F79" i="289"/>
  <c r="F79" i="287"/>
  <c r="E80" i="287"/>
  <c r="D80" i="287"/>
  <c r="C81" i="287"/>
  <c r="E80" i="285"/>
  <c r="C81" i="285"/>
  <c r="D80" i="285"/>
  <c r="F79" i="285"/>
  <c r="D80" i="283"/>
  <c r="F80" i="283" s="1"/>
  <c r="E80" i="283"/>
  <c r="C81" i="283"/>
  <c r="E80" i="280"/>
  <c r="D80" i="280"/>
  <c r="C81" i="280"/>
  <c r="F79" i="280"/>
  <c r="E80" i="278"/>
  <c r="C81" i="278"/>
  <c r="D80" i="278"/>
  <c r="F80" i="278" s="1"/>
  <c r="E80" i="275"/>
  <c r="C81" i="275"/>
  <c r="F79" i="273"/>
  <c r="E80" i="273"/>
  <c r="C81" i="273"/>
  <c r="D80" i="273"/>
  <c r="E80" i="272"/>
  <c r="C81" i="272"/>
  <c r="C82" i="289" l="1"/>
  <c r="E81" i="289"/>
  <c r="D81" i="289"/>
  <c r="F80" i="289"/>
  <c r="F80" i="287"/>
  <c r="E81" i="287"/>
  <c r="C82" i="287"/>
  <c r="D81" i="287"/>
  <c r="C82" i="285"/>
  <c r="E81" i="285"/>
  <c r="D81" i="285"/>
  <c r="F80" i="285"/>
  <c r="C82" i="283"/>
  <c r="E81" i="283"/>
  <c r="D81" i="283"/>
  <c r="F81" i="283" s="1"/>
  <c r="C82" i="280"/>
  <c r="E81" i="280"/>
  <c r="D81" i="280"/>
  <c r="F80" i="280"/>
  <c r="C82" i="278"/>
  <c r="E81" i="278"/>
  <c r="D81" i="278"/>
  <c r="F81" i="278" s="1"/>
  <c r="C82" i="275"/>
  <c r="E81" i="275"/>
  <c r="F80" i="273"/>
  <c r="C82" i="273"/>
  <c r="D81" i="273"/>
  <c r="E81" i="273"/>
  <c r="C82" i="272"/>
  <c r="E81" i="272"/>
  <c r="F81" i="289" l="1"/>
  <c r="D82" i="289"/>
  <c r="C83" i="289"/>
  <c r="E82" i="289"/>
  <c r="F81" i="287"/>
  <c r="D82" i="287"/>
  <c r="C83" i="287"/>
  <c r="E82" i="287"/>
  <c r="F81" i="285"/>
  <c r="D82" i="285"/>
  <c r="C83" i="285"/>
  <c r="E82" i="285"/>
  <c r="D82" i="283"/>
  <c r="F82" i="283" s="1"/>
  <c r="C83" i="283"/>
  <c r="E82" i="283"/>
  <c r="F81" i="280"/>
  <c r="D82" i="280"/>
  <c r="C83" i="280"/>
  <c r="E82" i="280"/>
  <c r="D82" i="278"/>
  <c r="F82" i="278" s="1"/>
  <c r="C83" i="278"/>
  <c r="E82" i="278"/>
  <c r="C83" i="275"/>
  <c r="E82" i="275"/>
  <c r="F81" i="273"/>
  <c r="D82" i="273"/>
  <c r="C83" i="273"/>
  <c r="E82" i="273"/>
  <c r="C83" i="272"/>
  <c r="E82" i="272"/>
  <c r="E83" i="289" l="1"/>
  <c r="D83" i="289"/>
  <c r="C84" i="289"/>
  <c r="F82" i="289"/>
  <c r="E83" i="287"/>
  <c r="D83" i="287"/>
  <c r="C84" i="287"/>
  <c r="F82" i="287"/>
  <c r="E83" i="285"/>
  <c r="D83" i="285"/>
  <c r="C84" i="285"/>
  <c r="F82" i="285"/>
  <c r="E83" i="283"/>
  <c r="D83" i="283"/>
  <c r="F83" i="283" s="1"/>
  <c r="C84" i="283"/>
  <c r="E83" i="280"/>
  <c r="D83" i="280"/>
  <c r="C84" i="280"/>
  <c r="F82" i="280"/>
  <c r="E83" i="278"/>
  <c r="D83" i="278"/>
  <c r="F83" i="278" s="1"/>
  <c r="C84" i="278"/>
  <c r="C84" i="275"/>
  <c r="E83" i="275"/>
  <c r="F82" i="273"/>
  <c r="E83" i="273"/>
  <c r="D83" i="273"/>
  <c r="C84" i="273"/>
  <c r="E83" i="272"/>
  <c r="C84" i="272"/>
  <c r="E84" i="289" l="1"/>
  <c r="D84" i="289"/>
  <c r="C85" i="289"/>
  <c r="F83" i="289"/>
  <c r="F83" i="287"/>
  <c r="E84" i="287"/>
  <c r="D84" i="287"/>
  <c r="C85" i="287"/>
  <c r="D84" i="285"/>
  <c r="E84" i="285"/>
  <c r="C85" i="285"/>
  <c r="F83" i="285"/>
  <c r="E84" i="283"/>
  <c r="D84" i="283"/>
  <c r="F84" i="283" s="1"/>
  <c r="C85" i="283"/>
  <c r="E84" i="280"/>
  <c r="D84" i="280"/>
  <c r="C85" i="280"/>
  <c r="F83" i="280"/>
  <c r="E84" i="278"/>
  <c r="D84" i="278"/>
  <c r="F84" i="278" s="1"/>
  <c r="C85" i="278"/>
  <c r="E84" i="275"/>
  <c r="C85" i="275"/>
  <c r="E84" i="273"/>
  <c r="D84" i="273"/>
  <c r="C85" i="273"/>
  <c r="F83" i="273"/>
  <c r="C85" i="272"/>
  <c r="E84" i="272"/>
  <c r="F84" i="289" l="1"/>
  <c r="D85" i="289"/>
  <c r="E85" i="289"/>
  <c r="C86" i="289"/>
  <c r="E85" i="287"/>
  <c r="D85" i="287"/>
  <c r="C86" i="287"/>
  <c r="F84" i="287"/>
  <c r="F84" i="285"/>
  <c r="E85" i="285"/>
  <c r="C86" i="285"/>
  <c r="D85" i="285"/>
  <c r="E85" i="283"/>
  <c r="C86" i="283"/>
  <c r="D85" i="283"/>
  <c r="F85" i="283" s="1"/>
  <c r="D85" i="280"/>
  <c r="E85" i="280"/>
  <c r="C86" i="280"/>
  <c r="F84" i="280"/>
  <c r="E85" i="278"/>
  <c r="D85" i="278"/>
  <c r="F85" i="278" s="1"/>
  <c r="C86" i="278"/>
  <c r="E85" i="275"/>
  <c r="C86" i="275"/>
  <c r="C86" i="273"/>
  <c r="D85" i="273"/>
  <c r="E85" i="273"/>
  <c r="F84" i="273"/>
  <c r="C86" i="272"/>
  <c r="E85" i="272"/>
  <c r="D86" i="289" l="1"/>
  <c r="E86" i="289"/>
  <c r="F85" i="289"/>
  <c r="F85" i="287"/>
  <c r="E86" i="287"/>
  <c r="D86" i="287"/>
  <c r="F85" i="285"/>
  <c r="D86" i="285"/>
  <c r="E86" i="285"/>
  <c r="D86" i="283"/>
  <c r="F86" i="283" s="1"/>
  <c r="E86" i="283"/>
  <c r="E86" i="280"/>
  <c r="D86" i="280"/>
  <c r="F85" i="280"/>
  <c r="E86" i="278"/>
  <c r="D86" i="278"/>
  <c r="F86" i="278" s="1"/>
  <c r="E86" i="275"/>
  <c r="F85" i="273"/>
  <c r="E86" i="273"/>
  <c r="D86" i="273"/>
  <c r="E86" i="272"/>
  <c r="M13" i="289" l="1"/>
  <c r="M9" i="289"/>
  <c r="M10" i="289"/>
  <c r="M11" i="289"/>
  <c r="M12" i="289"/>
  <c r="F86" i="289"/>
  <c r="F9" i="289"/>
  <c r="F86" i="287"/>
  <c r="F9" i="287"/>
  <c r="M9" i="287"/>
  <c r="M10" i="287"/>
  <c r="M11" i="287"/>
  <c r="M12" i="287"/>
  <c r="M13" i="287"/>
  <c r="F86" i="285"/>
  <c r="F9" i="285"/>
  <c r="M9" i="285"/>
  <c r="M11" i="285"/>
  <c r="M10" i="285"/>
  <c r="M13" i="285"/>
  <c r="M12" i="285"/>
  <c r="M9" i="283"/>
  <c r="M12" i="283"/>
  <c r="M10" i="283"/>
  <c r="M11" i="283"/>
  <c r="M13" i="283"/>
  <c r="F9" i="283"/>
  <c r="F86" i="280"/>
  <c r="F9" i="280"/>
  <c r="M9" i="280"/>
  <c r="M10" i="280"/>
  <c r="M13" i="280"/>
  <c r="M11" i="280"/>
  <c r="M12" i="280"/>
  <c r="F9" i="278"/>
  <c r="M9" i="278"/>
  <c r="M12" i="278"/>
  <c r="M11" i="278"/>
  <c r="M13" i="278"/>
  <c r="M10" i="278"/>
  <c r="M9" i="275"/>
  <c r="M10" i="275"/>
  <c r="M13" i="275"/>
  <c r="M11" i="275"/>
  <c r="M12" i="275"/>
  <c r="M9" i="273"/>
  <c r="M10" i="273"/>
  <c r="M12" i="273"/>
  <c r="M11" i="273"/>
  <c r="M13" i="273"/>
  <c r="F86" i="273"/>
  <c r="F9" i="273"/>
  <c r="M9" i="272"/>
  <c r="M10" i="272"/>
  <c r="M11" i="272"/>
  <c r="M12" i="272"/>
  <c r="M13" i="272"/>
  <c r="G27" i="289" l="1"/>
  <c r="G28" i="289"/>
  <c r="G29" i="289"/>
  <c r="G30" i="289"/>
  <c r="G31" i="289"/>
  <c r="G32" i="289"/>
  <c r="G33" i="289"/>
  <c r="G34" i="289"/>
  <c r="G35" i="289"/>
  <c r="G36" i="289"/>
  <c r="G37" i="289"/>
  <c r="G38" i="289"/>
  <c r="G27" i="287"/>
  <c r="G28" i="287"/>
  <c r="G29" i="287"/>
  <c r="G30" i="287"/>
  <c r="G31" i="287"/>
  <c r="G32" i="287"/>
  <c r="G33" i="287"/>
  <c r="G34" i="287"/>
  <c r="G35" i="287"/>
  <c r="G36" i="287"/>
  <c r="G37" i="287"/>
  <c r="G38" i="287"/>
  <c r="G27" i="285"/>
  <c r="G28" i="285"/>
  <c r="G29" i="285"/>
  <c r="G30" i="285"/>
  <c r="G31" i="285"/>
  <c r="G32" i="285"/>
  <c r="G33" i="285"/>
  <c r="G34" i="285"/>
  <c r="G35" i="285"/>
  <c r="G36" i="285"/>
  <c r="G37" i="285"/>
  <c r="G38" i="285"/>
  <c r="G27" i="283"/>
  <c r="G28" i="283"/>
  <c r="G29" i="283"/>
  <c r="G30" i="283"/>
  <c r="G31" i="283"/>
  <c r="G32" i="283"/>
  <c r="G33" i="283"/>
  <c r="G34" i="283"/>
  <c r="G35" i="283"/>
  <c r="G36" i="283"/>
  <c r="G37" i="283"/>
  <c r="G38" i="283"/>
  <c r="G27" i="280"/>
  <c r="G28" i="280"/>
  <c r="G29" i="280"/>
  <c r="G30" i="280"/>
  <c r="G31" i="280"/>
  <c r="G32" i="280"/>
  <c r="G33" i="280"/>
  <c r="G34" i="280"/>
  <c r="G35" i="280"/>
  <c r="G36" i="280"/>
  <c r="G37" i="280"/>
  <c r="G38" i="280"/>
  <c r="G27" i="278"/>
  <c r="G28" i="278"/>
  <c r="G32" i="278"/>
  <c r="G33" i="278"/>
  <c r="G34" i="278"/>
  <c r="G35" i="278"/>
  <c r="G36" i="278"/>
  <c r="G37" i="278"/>
  <c r="G38" i="278"/>
  <c r="G27" i="273"/>
  <c r="J27" i="273" s="1"/>
  <c r="G32" i="273"/>
  <c r="G39" i="289" l="1"/>
  <c r="G40" i="289" s="1"/>
  <c r="G39" i="287"/>
  <c r="G40" i="287" s="1"/>
  <c r="G39" i="285"/>
  <c r="G40" i="285" s="1"/>
  <c r="G39" i="283"/>
  <c r="G40" i="283" s="1"/>
  <c r="G39" i="280"/>
  <c r="G40" i="280" s="1"/>
  <c r="G29" i="278"/>
  <c r="G28" i="273"/>
  <c r="J28" i="273" s="1"/>
  <c r="G34" i="273"/>
  <c r="G35" i="273"/>
  <c r="G36" i="273"/>
  <c r="G37" i="273" s="1"/>
  <c r="G41" i="289" l="1"/>
  <c r="G41" i="287"/>
  <c r="G42" i="287" s="1"/>
  <c r="G41" i="285"/>
  <c r="G41" i="283"/>
  <c r="G41" i="280"/>
  <c r="G30" i="278"/>
  <c r="G31" i="278"/>
  <c r="G29" i="273"/>
  <c r="G38" i="273"/>
  <c r="G42" i="289" l="1"/>
  <c r="G43" i="289" s="1"/>
  <c r="G43" i="287"/>
  <c r="G42" i="285"/>
  <c r="G42" i="283"/>
  <c r="G42" i="280"/>
  <c r="G39" i="278"/>
  <c r="G40" i="278" s="1"/>
  <c r="G33" i="273"/>
  <c r="J29" i="273"/>
  <c r="G30" i="273"/>
  <c r="G31" i="273" s="1"/>
  <c r="J31" i="273" s="1"/>
  <c r="G44" i="289" l="1"/>
  <c r="G44" i="287"/>
  <c r="G43" i="285"/>
  <c r="G43" i="283"/>
  <c r="G44" i="283" s="1"/>
  <c r="G43" i="280"/>
  <c r="G41" i="278"/>
  <c r="G42" i="278" s="1"/>
  <c r="G43" i="278" s="1"/>
  <c r="J30" i="273"/>
  <c r="G39" i="273"/>
  <c r="G40" i="273" s="1"/>
  <c r="G45" i="289" l="1"/>
  <c r="G46" i="289" s="1"/>
  <c r="G45" i="287"/>
  <c r="G44" i="285"/>
  <c r="G45" i="283"/>
  <c r="G44" i="280"/>
  <c r="G44" i="278"/>
  <c r="G41" i="273"/>
  <c r="G42" i="273" s="1"/>
  <c r="G47" i="289" l="1"/>
  <c r="G46" i="287"/>
  <c r="G45" i="285"/>
  <c r="G46" i="283"/>
  <c r="G45" i="280"/>
  <c r="G45" i="278"/>
  <c r="G43" i="273"/>
  <c r="G44" i="273" s="1"/>
  <c r="G48" i="289" l="1"/>
  <c r="G47" i="287"/>
  <c r="G46" i="285"/>
  <c r="G47" i="283"/>
  <c r="G46" i="280"/>
  <c r="G46" i="278"/>
  <c r="G45" i="273"/>
  <c r="G46" i="273" s="1"/>
  <c r="G49" i="289" l="1"/>
  <c r="G48" i="287"/>
  <c r="G47" i="285"/>
  <c r="G48" i="283"/>
  <c r="G47" i="280"/>
  <c r="G47" i="278"/>
  <c r="G47" i="273"/>
  <c r="G50" i="289" l="1"/>
  <c r="G49" i="287"/>
  <c r="G48" i="285"/>
  <c r="G49" i="283"/>
  <c r="G48" i="280"/>
  <c r="G48" i="278"/>
  <c r="G48" i="273"/>
  <c r="C16" i="265"/>
  <c r="G51" i="289" l="1"/>
  <c r="G50" i="287"/>
  <c r="G49" i="285"/>
  <c r="G50" i="283"/>
  <c r="G49" i="280"/>
  <c r="G49" i="278"/>
  <c r="G49" i="273"/>
  <c r="C33" i="265"/>
  <c r="C27" i="265"/>
  <c r="C34" i="288"/>
  <c r="C33" i="288"/>
  <c r="C27" i="288"/>
  <c r="C34" i="290"/>
  <c r="C33" i="290"/>
  <c r="C27" i="290"/>
  <c r="B27" i="248"/>
  <c r="C34" i="291" s="1"/>
  <c r="B26" i="248"/>
  <c r="C33" i="291" s="1"/>
  <c r="N153" i="264"/>
  <c r="N152" i="264"/>
  <c r="N150" i="264"/>
  <c r="N149" i="264"/>
  <c r="N148" i="264"/>
  <c r="N147" i="264"/>
  <c r="N145" i="264"/>
  <c r="N144" i="264"/>
  <c r="N143" i="264"/>
  <c r="N142" i="264"/>
  <c r="N141" i="264"/>
  <c r="N140" i="264"/>
  <c r="N139" i="264"/>
  <c r="N138" i="264"/>
  <c r="N134" i="264"/>
  <c r="N133" i="264"/>
  <c r="H153" i="264"/>
  <c r="H152" i="264"/>
  <c r="H150" i="264"/>
  <c r="H149" i="264"/>
  <c r="H148" i="264"/>
  <c r="H147" i="264"/>
  <c r="H145" i="264"/>
  <c r="H144" i="264"/>
  <c r="H143" i="264"/>
  <c r="H142" i="264"/>
  <c r="H141" i="264"/>
  <c r="H140" i="264"/>
  <c r="H139" i="264"/>
  <c r="H138" i="264"/>
  <c r="H134" i="264"/>
  <c r="H133" i="264"/>
  <c r="B133" i="264"/>
  <c r="A158" i="264"/>
  <c r="B153" i="264"/>
  <c r="B152" i="264"/>
  <c r="B150" i="264"/>
  <c r="B149" i="264"/>
  <c r="B148" i="264"/>
  <c r="B147" i="264"/>
  <c r="B145" i="264"/>
  <c r="B144" i="264"/>
  <c r="B143" i="264"/>
  <c r="B142" i="264"/>
  <c r="B141" i="264"/>
  <c r="B140" i="264"/>
  <c r="B139" i="264"/>
  <c r="B138" i="264"/>
  <c r="B134" i="264"/>
  <c r="N153" i="262"/>
  <c r="N152" i="262"/>
  <c r="N150" i="262"/>
  <c r="N149" i="262"/>
  <c r="N148" i="262"/>
  <c r="N147" i="262"/>
  <c r="N145" i="262"/>
  <c r="N144" i="262"/>
  <c r="N143" i="262"/>
  <c r="N142" i="262"/>
  <c r="N141" i="262"/>
  <c r="N140" i="262"/>
  <c r="N139" i="262"/>
  <c r="N138" i="262"/>
  <c r="N134" i="262"/>
  <c r="N133" i="262"/>
  <c r="H153" i="262"/>
  <c r="H152" i="262"/>
  <c r="H150" i="262"/>
  <c r="H149" i="262"/>
  <c r="H148" i="262"/>
  <c r="H147" i="262"/>
  <c r="H145" i="262"/>
  <c r="H144" i="262"/>
  <c r="H143" i="262"/>
  <c r="H142" i="262"/>
  <c r="H141" i="262"/>
  <c r="H140" i="262"/>
  <c r="H139" i="262"/>
  <c r="H138" i="262"/>
  <c r="H134" i="262"/>
  <c r="H133" i="262"/>
  <c r="B133" i="262"/>
  <c r="B153" i="262"/>
  <c r="B152" i="262"/>
  <c r="B150" i="262"/>
  <c r="B149" i="262"/>
  <c r="B148" i="262"/>
  <c r="B147" i="262"/>
  <c r="B145" i="262"/>
  <c r="B144" i="262"/>
  <c r="B143" i="262"/>
  <c r="B142" i="262"/>
  <c r="B141" i="262"/>
  <c r="B140" i="262"/>
  <c r="B139" i="262"/>
  <c r="B138" i="262"/>
  <c r="B134" i="262"/>
  <c r="B153" i="260"/>
  <c r="B152" i="260"/>
  <c r="B150" i="260"/>
  <c r="B149" i="260"/>
  <c r="B148" i="260"/>
  <c r="B147" i="260"/>
  <c r="B145" i="260"/>
  <c r="B144" i="260"/>
  <c r="B143" i="260"/>
  <c r="B142" i="260"/>
  <c r="B141" i="260"/>
  <c r="B140" i="260"/>
  <c r="B139" i="260"/>
  <c r="B138" i="260"/>
  <c r="B134" i="260"/>
  <c r="B133" i="260"/>
  <c r="N153" i="260"/>
  <c r="N152" i="260"/>
  <c r="N150" i="260"/>
  <c r="N149" i="260"/>
  <c r="N148" i="260"/>
  <c r="N147" i="260"/>
  <c r="N145" i="260"/>
  <c r="N144" i="260"/>
  <c r="N143" i="260"/>
  <c r="N142" i="260"/>
  <c r="N141" i="260"/>
  <c r="N140" i="260"/>
  <c r="N139" i="260"/>
  <c r="N138" i="260"/>
  <c r="N134" i="260"/>
  <c r="N133" i="260"/>
  <c r="H133" i="260"/>
  <c r="H153" i="260"/>
  <c r="H152" i="260"/>
  <c r="H150" i="260"/>
  <c r="H149" i="260"/>
  <c r="H148" i="260"/>
  <c r="H147" i="260"/>
  <c r="H145" i="260"/>
  <c r="H144" i="260"/>
  <c r="H143" i="260"/>
  <c r="H142" i="260"/>
  <c r="H141" i="260"/>
  <c r="H140" i="260"/>
  <c r="H139" i="260"/>
  <c r="H138" i="260"/>
  <c r="H134" i="260"/>
  <c r="N153" i="258"/>
  <c r="N152" i="258"/>
  <c r="N150" i="258"/>
  <c r="N149" i="258"/>
  <c r="N148" i="258"/>
  <c r="N147" i="258"/>
  <c r="N145" i="258"/>
  <c r="N144" i="258"/>
  <c r="N143" i="258"/>
  <c r="N142" i="258"/>
  <c r="N141" i="258"/>
  <c r="N140" i="258"/>
  <c r="N139" i="258"/>
  <c r="N138" i="258"/>
  <c r="N134" i="258"/>
  <c r="N133" i="258"/>
  <c r="H153" i="258"/>
  <c r="H152" i="258"/>
  <c r="H150" i="258"/>
  <c r="H149" i="258"/>
  <c r="H148" i="258"/>
  <c r="H147" i="258"/>
  <c r="H145" i="258"/>
  <c r="H144" i="258"/>
  <c r="H143" i="258"/>
  <c r="H142" i="258"/>
  <c r="H141" i="258"/>
  <c r="H140" i="258"/>
  <c r="H139" i="258"/>
  <c r="H138" i="258"/>
  <c r="H134" i="258"/>
  <c r="H133" i="258"/>
  <c r="B133" i="258"/>
  <c r="B153" i="258"/>
  <c r="B152" i="258"/>
  <c r="B150" i="258"/>
  <c r="B149" i="258"/>
  <c r="B148" i="258"/>
  <c r="B147" i="258"/>
  <c r="B145" i="258"/>
  <c r="B144" i="258"/>
  <c r="B143" i="258"/>
  <c r="B142" i="258"/>
  <c r="B141" i="258"/>
  <c r="B140" i="258"/>
  <c r="B139" i="258"/>
  <c r="B138" i="258"/>
  <c r="B134" i="258"/>
  <c r="N153" i="267"/>
  <c r="N152" i="267"/>
  <c r="N150" i="267"/>
  <c r="N149" i="267"/>
  <c r="N148" i="267"/>
  <c r="N147" i="267"/>
  <c r="N145" i="267"/>
  <c r="N144" i="267"/>
  <c r="N143" i="267"/>
  <c r="N142" i="267"/>
  <c r="N141" i="267"/>
  <c r="N140" i="267"/>
  <c r="N139" i="267"/>
  <c r="N138" i="267"/>
  <c r="N134" i="267"/>
  <c r="N133" i="267"/>
  <c r="H153" i="267"/>
  <c r="H152" i="267"/>
  <c r="H150" i="267"/>
  <c r="H149" i="267"/>
  <c r="H148" i="267"/>
  <c r="H147" i="267"/>
  <c r="H145" i="267"/>
  <c r="H144" i="267"/>
  <c r="H143" i="267"/>
  <c r="H142" i="267"/>
  <c r="H141" i="267"/>
  <c r="H140" i="267"/>
  <c r="H139" i="267"/>
  <c r="H138" i="267"/>
  <c r="H134" i="267"/>
  <c r="H133" i="267"/>
  <c r="B133" i="267"/>
  <c r="B153" i="267"/>
  <c r="B152" i="267"/>
  <c r="B150" i="267"/>
  <c r="B149" i="267"/>
  <c r="B148" i="267"/>
  <c r="B147" i="267"/>
  <c r="B145" i="267"/>
  <c r="B144" i="267"/>
  <c r="B143" i="267"/>
  <c r="B142" i="267"/>
  <c r="B141" i="267"/>
  <c r="B140" i="267"/>
  <c r="B139" i="267"/>
  <c r="B138" i="267"/>
  <c r="B134" i="267"/>
  <c r="N133" i="254"/>
  <c r="H133" i="254"/>
  <c r="B133" i="254"/>
  <c r="N153" i="254"/>
  <c r="N152" i="254"/>
  <c r="N150" i="254"/>
  <c r="N149" i="254"/>
  <c r="N148" i="254"/>
  <c r="N147" i="254"/>
  <c r="N145" i="254"/>
  <c r="N144" i="254"/>
  <c r="N143" i="254"/>
  <c r="N142" i="254"/>
  <c r="N141" i="254"/>
  <c r="N140" i="254"/>
  <c r="N139" i="254"/>
  <c r="N138" i="254"/>
  <c r="N134" i="254"/>
  <c r="H153" i="254"/>
  <c r="H152" i="254"/>
  <c r="H150" i="254"/>
  <c r="H149" i="254"/>
  <c r="H148" i="254"/>
  <c r="H147" i="254"/>
  <c r="H145" i="254"/>
  <c r="H144" i="254"/>
  <c r="H143" i="254"/>
  <c r="H142" i="254"/>
  <c r="H141" i="254"/>
  <c r="H140" i="254"/>
  <c r="H139" i="254"/>
  <c r="H138" i="254"/>
  <c r="H134" i="254"/>
  <c r="B153" i="254"/>
  <c r="B152" i="254"/>
  <c r="B150" i="254"/>
  <c r="B149" i="254"/>
  <c r="B148" i="254"/>
  <c r="B147" i="254"/>
  <c r="B145" i="254"/>
  <c r="B144" i="254"/>
  <c r="B143" i="254"/>
  <c r="B142" i="254"/>
  <c r="B141" i="254"/>
  <c r="B140" i="254"/>
  <c r="B139" i="254"/>
  <c r="B138" i="254"/>
  <c r="B134" i="254"/>
  <c r="N153" i="252"/>
  <c r="N152" i="252"/>
  <c r="N150" i="252"/>
  <c r="N149" i="252"/>
  <c r="N148" i="252"/>
  <c r="N147" i="252"/>
  <c r="N145" i="252"/>
  <c r="N144" i="252"/>
  <c r="N143" i="252"/>
  <c r="N142" i="252"/>
  <c r="N141" i="252"/>
  <c r="N140" i="252"/>
  <c r="N139" i="252"/>
  <c r="N138" i="252"/>
  <c r="N134" i="252"/>
  <c r="N133" i="252"/>
  <c r="H153" i="252"/>
  <c r="H152" i="252"/>
  <c r="H150" i="252"/>
  <c r="H149" i="252"/>
  <c r="H148" i="252"/>
  <c r="H147" i="252"/>
  <c r="H145" i="252"/>
  <c r="H144" i="252"/>
  <c r="H143" i="252"/>
  <c r="H142" i="252"/>
  <c r="H141" i="252"/>
  <c r="H140" i="252"/>
  <c r="H139" i="252"/>
  <c r="H138" i="252"/>
  <c r="H134" i="252"/>
  <c r="H133" i="252"/>
  <c r="B133" i="252"/>
  <c r="B153" i="252"/>
  <c r="B152" i="252"/>
  <c r="B150" i="252"/>
  <c r="B149" i="252"/>
  <c r="B148" i="252"/>
  <c r="B147" i="252"/>
  <c r="B145" i="252"/>
  <c r="B144" i="252"/>
  <c r="B143" i="252"/>
  <c r="B142" i="252"/>
  <c r="B141" i="252"/>
  <c r="B140" i="252"/>
  <c r="B139" i="252"/>
  <c r="B138" i="252"/>
  <c r="B134" i="252"/>
  <c r="N153" i="250"/>
  <c r="N152" i="250"/>
  <c r="N150" i="250"/>
  <c r="N149" i="250"/>
  <c r="N148" i="250"/>
  <c r="N147" i="250"/>
  <c r="N145" i="250"/>
  <c r="N144" i="250"/>
  <c r="N143" i="250"/>
  <c r="N142" i="250"/>
  <c r="N141" i="250"/>
  <c r="N140" i="250"/>
  <c r="N139" i="250"/>
  <c r="N138" i="250"/>
  <c r="N134" i="250"/>
  <c r="N133" i="250"/>
  <c r="H153" i="250"/>
  <c r="H152" i="250"/>
  <c r="H150" i="250"/>
  <c r="H149" i="250"/>
  <c r="H148" i="250"/>
  <c r="H147" i="250"/>
  <c r="H145" i="250"/>
  <c r="H144" i="250"/>
  <c r="H143" i="250"/>
  <c r="H142" i="250"/>
  <c r="H141" i="250"/>
  <c r="H140" i="250"/>
  <c r="H139" i="250"/>
  <c r="H138" i="250"/>
  <c r="H134" i="250"/>
  <c r="H133" i="250"/>
  <c r="B133" i="250"/>
  <c r="B153" i="250"/>
  <c r="B152" i="250"/>
  <c r="B150" i="250"/>
  <c r="B149" i="250"/>
  <c r="B148" i="250"/>
  <c r="B147" i="250"/>
  <c r="B145" i="250"/>
  <c r="B144" i="250"/>
  <c r="B143" i="250"/>
  <c r="B142" i="250"/>
  <c r="B141" i="250"/>
  <c r="B140" i="250"/>
  <c r="B139" i="250"/>
  <c r="B138" i="250"/>
  <c r="B134" i="250"/>
  <c r="N133" i="237"/>
  <c r="B133" i="237"/>
  <c r="H133" i="237"/>
  <c r="N153" i="237"/>
  <c r="N152" i="237"/>
  <c r="N150" i="237"/>
  <c r="N149" i="237"/>
  <c r="N148" i="237"/>
  <c r="N147" i="237"/>
  <c r="N145" i="237"/>
  <c r="N144" i="237"/>
  <c r="N143" i="237"/>
  <c r="N142" i="237"/>
  <c r="N141" i="237"/>
  <c r="N140" i="237"/>
  <c r="N139" i="237"/>
  <c r="N138" i="237"/>
  <c r="N134" i="237"/>
  <c r="H153" i="237"/>
  <c r="H152" i="237"/>
  <c r="H150" i="237"/>
  <c r="H149" i="237"/>
  <c r="H148" i="237"/>
  <c r="H147" i="237"/>
  <c r="H145" i="237"/>
  <c r="H144" i="237"/>
  <c r="H143" i="237"/>
  <c r="H142" i="237"/>
  <c r="H141" i="237"/>
  <c r="H140" i="237"/>
  <c r="H139" i="237"/>
  <c r="H138" i="237"/>
  <c r="H134" i="237"/>
  <c r="B153" i="237"/>
  <c r="B152" i="237"/>
  <c r="B150" i="237"/>
  <c r="B149" i="237"/>
  <c r="B148" i="237"/>
  <c r="B147" i="237"/>
  <c r="B145" i="237"/>
  <c r="B144" i="237"/>
  <c r="B143" i="237"/>
  <c r="B142" i="237"/>
  <c r="B141" i="237"/>
  <c r="B140" i="237"/>
  <c r="B139" i="237"/>
  <c r="B138" i="237"/>
  <c r="B134" i="237"/>
  <c r="N153" i="248"/>
  <c r="N152" i="248"/>
  <c r="N150" i="248"/>
  <c r="N149" i="248"/>
  <c r="N148" i="248"/>
  <c r="N147" i="248"/>
  <c r="N145" i="248"/>
  <c r="N144" i="248"/>
  <c r="N143" i="248"/>
  <c r="N142" i="248"/>
  <c r="N141" i="248"/>
  <c r="N140" i="248"/>
  <c r="N139" i="248"/>
  <c r="N138" i="248"/>
  <c r="N134" i="248"/>
  <c r="N133" i="248"/>
  <c r="H153" i="248"/>
  <c r="H152" i="248"/>
  <c r="H150" i="248"/>
  <c r="H149" i="248"/>
  <c r="H148" i="248"/>
  <c r="H147" i="248"/>
  <c r="H145" i="248"/>
  <c r="H144" i="248"/>
  <c r="H143" i="248"/>
  <c r="H142" i="248"/>
  <c r="H141" i="248"/>
  <c r="H140" i="248"/>
  <c r="H139" i="248"/>
  <c r="H138" i="248"/>
  <c r="H134" i="248"/>
  <c r="H133" i="248"/>
  <c r="B152" i="248"/>
  <c r="B153" i="248"/>
  <c r="C34" i="265" l="1"/>
  <c r="E21" i="270"/>
  <c r="C27" i="274"/>
  <c r="G52" i="289"/>
  <c r="G51" i="287"/>
  <c r="C27" i="286"/>
  <c r="C33" i="286"/>
  <c r="C34" i="286"/>
  <c r="G50" i="285"/>
  <c r="C33" i="284"/>
  <c r="C34" i="284"/>
  <c r="G51" i="283"/>
  <c r="C27" i="281"/>
  <c r="C33" i="281"/>
  <c r="C34" i="281"/>
  <c r="G50" i="280"/>
  <c r="C27" i="279"/>
  <c r="C33" i="279"/>
  <c r="C34" i="279"/>
  <c r="G50" i="278"/>
  <c r="C27" i="276"/>
  <c r="C33" i="276"/>
  <c r="C34" i="276"/>
  <c r="C16" i="276"/>
  <c r="C33" i="274"/>
  <c r="C34" i="274"/>
  <c r="G50" i="273"/>
  <c r="F203" i="271"/>
  <c r="F204" i="271"/>
  <c r="D25" i="140"/>
  <c r="C25" i="140"/>
  <c r="I24" i="140"/>
  <c r="H24" i="140"/>
  <c r="D24" i="140"/>
  <c r="C24" i="140"/>
  <c r="I23" i="140"/>
  <c r="H23" i="140"/>
  <c r="D23" i="140"/>
  <c r="C23" i="140"/>
  <c r="D22" i="140"/>
  <c r="C22" i="140"/>
  <c r="D20" i="140"/>
  <c r="C20" i="140"/>
  <c r="I19" i="140"/>
  <c r="I21" i="140" s="1"/>
  <c r="H19" i="140"/>
  <c r="H21" i="140" s="1"/>
  <c r="D19" i="140"/>
  <c r="C19" i="140"/>
  <c r="D17" i="140"/>
  <c r="C17" i="140"/>
  <c r="I16" i="140"/>
  <c r="H16" i="140"/>
  <c r="D16" i="140"/>
  <c r="C16" i="140"/>
  <c r="I15" i="140"/>
  <c r="H15" i="140"/>
  <c r="D15" i="140"/>
  <c r="C15" i="140"/>
  <c r="F13" i="140"/>
  <c r="D13" i="140"/>
  <c r="C13" i="140"/>
  <c r="I12" i="140"/>
  <c r="I14" i="140" s="1"/>
  <c r="H12" i="140"/>
  <c r="F12" i="140"/>
  <c r="D12" i="140"/>
  <c r="C12" i="140"/>
  <c r="H11" i="140"/>
  <c r="D11" i="140"/>
  <c r="C11" i="140"/>
  <c r="D10" i="140"/>
  <c r="C10" i="140"/>
  <c r="F156" i="271"/>
  <c r="F157" i="271"/>
  <c r="F158" i="271"/>
  <c r="E160" i="271"/>
  <c r="F166" i="271"/>
  <c r="F167" i="271"/>
  <c r="F168" i="271"/>
  <c r="F169" i="271"/>
  <c r="F172" i="271"/>
  <c r="F173" i="271"/>
  <c r="F174" i="271"/>
  <c r="F175" i="271"/>
  <c r="D107" i="271"/>
  <c r="E107" i="271"/>
  <c r="H107" i="271"/>
  <c r="D121" i="271"/>
  <c r="D123" i="271" s="1"/>
  <c r="E121" i="271"/>
  <c r="E149" i="271" s="1"/>
  <c r="F121" i="271"/>
  <c r="F142" i="271" s="1"/>
  <c r="G121" i="271"/>
  <c r="G123" i="271" s="1"/>
  <c r="H121" i="271"/>
  <c r="H135" i="271" s="1"/>
  <c r="I121" i="271"/>
  <c r="I135" i="271" s="1"/>
  <c r="J121" i="271"/>
  <c r="J124" i="271" s="1"/>
  <c r="K121" i="271"/>
  <c r="K124" i="271" s="1"/>
  <c r="L121" i="271"/>
  <c r="L142" i="271" s="1"/>
  <c r="L124" i="271"/>
  <c r="M130" i="271"/>
  <c r="M131" i="271"/>
  <c r="M132" i="271"/>
  <c r="M133" i="271"/>
  <c r="M134" i="271"/>
  <c r="E135" i="271"/>
  <c r="M137" i="271"/>
  <c r="M138" i="271"/>
  <c r="M139" i="271"/>
  <c r="M140" i="271"/>
  <c r="M141" i="271"/>
  <c r="M144" i="271"/>
  <c r="M145" i="271"/>
  <c r="M146" i="271"/>
  <c r="M147" i="271"/>
  <c r="M148" i="271"/>
  <c r="F149" i="271"/>
  <c r="G53" i="289" l="1"/>
  <c r="G52" i="287"/>
  <c r="G51" i="285"/>
  <c r="G52" i="283"/>
  <c r="G51" i="280"/>
  <c r="G51" i="278"/>
  <c r="G51" i="273"/>
  <c r="D126" i="271"/>
  <c r="E126" i="271"/>
  <c r="E142" i="271"/>
  <c r="F127" i="271"/>
  <c r="H14" i="140"/>
  <c r="D14" i="140"/>
  <c r="D26" i="140"/>
  <c r="D21" i="140"/>
  <c r="H26" i="140"/>
  <c r="I26" i="140"/>
  <c r="D18" i="140"/>
  <c r="H18" i="140"/>
  <c r="I18" i="140"/>
  <c r="E125" i="271"/>
  <c r="H124" i="271"/>
  <c r="E127" i="271"/>
  <c r="D124" i="271"/>
  <c r="E124" i="271"/>
  <c r="I126" i="271"/>
  <c r="I124" i="271"/>
  <c r="H126" i="271"/>
  <c r="D127" i="271"/>
  <c r="E123" i="271"/>
  <c r="D149" i="271"/>
  <c r="F135" i="271"/>
  <c r="F126" i="271"/>
  <c r="K135" i="271"/>
  <c r="K127" i="271"/>
  <c r="L149" i="271"/>
  <c r="G135" i="271"/>
  <c r="L123" i="271"/>
  <c r="L135" i="271"/>
  <c r="L127" i="271"/>
  <c r="G124" i="271"/>
  <c r="J135" i="271"/>
  <c r="J127" i="271"/>
  <c r="J142" i="271"/>
  <c r="L125" i="271"/>
  <c r="K149" i="271"/>
  <c r="I142" i="271"/>
  <c r="K125" i="271"/>
  <c r="K123" i="271"/>
  <c r="K128" i="271" s="1"/>
  <c r="J149" i="271"/>
  <c r="J125" i="271"/>
  <c r="J123" i="271"/>
  <c r="G149" i="271"/>
  <c r="D142" i="271"/>
  <c r="D135" i="271"/>
  <c r="L126" i="271"/>
  <c r="F125" i="271"/>
  <c r="F123" i="271"/>
  <c r="G126" i="271"/>
  <c r="K126" i="271"/>
  <c r="J126" i="271"/>
  <c r="J128" i="271" s="1"/>
  <c r="D125" i="271"/>
  <c r="H125" i="271"/>
  <c r="I125" i="271"/>
  <c r="F124" i="271"/>
  <c r="I149" i="271"/>
  <c r="H149" i="271"/>
  <c r="K142" i="271"/>
  <c r="G125" i="271"/>
  <c r="H142" i="271"/>
  <c r="G142" i="271"/>
  <c r="I127" i="271"/>
  <c r="I123" i="271"/>
  <c r="H127" i="271"/>
  <c r="H123" i="271"/>
  <c r="G127" i="271"/>
  <c r="G54" i="289" l="1"/>
  <c r="G53" i="287"/>
  <c r="G52" i="285"/>
  <c r="G53" i="283"/>
  <c r="G52" i="280"/>
  <c r="G52" i="278"/>
  <c r="G52" i="273"/>
  <c r="D27" i="140"/>
  <c r="F5" i="270" s="1"/>
  <c r="I27" i="140"/>
  <c r="F7" i="270" s="1"/>
  <c r="M142" i="271"/>
  <c r="H128" i="271"/>
  <c r="M135" i="271"/>
  <c r="M149" i="271"/>
  <c r="E128" i="271"/>
  <c r="H27" i="140"/>
  <c r="F6" i="270" s="1"/>
  <c r="D128" i="271"/>
  <c r="G128" i="271"/>
  <c r="F128" i="271"/>
  <c r="L128" i="271"/>
  <c r="I128" i="271"/>
  <c r="B168" i="252"/>
  <c r="H168" i="260"/>
  <c r="N168" i="264"/>
  <c r="H168" i="264"/>
  <c r="B168" i="264"/>
  <c r="N168" i="262"/>
  <c r="H168" i="262"/>
  <c r="N168" i="260"/>
  <c r="N168" i="258"/>
  <c r="H168" i="258"/>
  <c r="N168" i="267"/>
  <c r="H168" i="267"/>
  <c r="B168" i="267"/>
  <c r="N168" i="254"/>
  <c r="H168" i="254"/>
  <c r="B168" i="254"/>
  <c r="N168" i="252"/>
  <c r="H168" i="252"/>
  <c r="D86" i="237"/>
  <c r="D87" i="237"/>
  <c r="D85" i="237"/>
  <c r="J85" i="237"/>
  <c r="J86" i="237"/>
  <c r="J87" i="237"/>
  <c r="N168" i="250"/>
  <c r="H168" i="250"/>
  <c r="N168" i="237"/>
  <c r="H168" i="237"/>
  <c r="B168" i="237"/>
  <c r="N168" i="248"/>
  <c r="H168" i="248"/>
  <c r="B134" i="248"/>
  <c r="B144" i="248"/>
  <c r="B140" i="248"/>
  <c r="B150" i="248"/>
  <c r="B149" i="248"/>
  <c r="R36" i="269"/>
  <c r="R39" i="269"/>
  <c r="R32" i="269"/>
  <c r="R29" i="269"/>
  <c r="G55" i="289" l="1"/>
  <c r="G54" i="287"/>
  <c r="G53" i="285"/>
  <c r="G54" i="283"/>
  <c r="G53" i="280"/>
  <c r="G53" i="278"/>
  <c r="G53" i="273"/>
  <c r="G7" i="270"/>
  <c r="F8" i="270" s="1"/>
  <c r="B168" i="262"/>
  <c r="B168" i="260"/>
  <c r="B168" i="258"/>
  <c r="B168" i="250"/>
  <c r="G184" i="265"/>
  <c r="F184" i="265" s="1"/>
  <c r="G183" i="265"/>
  <c r="E183" i="265" s="1"/>
  <c r="E181" i="265"/>
  <c r="E53" i="265"/>
  <c r="AA56" i="159" s="1"/>
  <c r="E10" i="265"/>
  <c r="E11" i="265" s="1"/>
  <c r="D5" i="265"/>
  <c r="C5" i="265"/>
  <c r="M3" i="265"/>
  <c r="L3" i="265"/>
  <c r="K3" i="265"/>
  <c r="J3" i="265"/>
  <c r="I3" i="265"/>
  <c r="H3" i="265"/>
  <c r="G3" i="265"/>
  <c r="F3" i="265"/>
  <c r="E3" i="265"/>
  <c r="K2" i="265"/>
  <c r="H2" i="265"/>
  <c r="E2" i="265"/>
  <c r="A2" i="265"/>
  <c r="O112" i="264"/>
  <c r="I112" i="264"/>
  <c r="C112" i="264"/>
  <c r="P110" i="264"/>
  <c r="O110" i="264"/>
  <c r="J110" i="264"/>
  <c r="I110" i="264"/>
  <c r="D110" i="264"/>
  <c r="C110" i="264"/>
  <c r="P109" i="264"/>
  <c r="J109" i="264"/>
  <c r="D109" i="264"/>
  <c r="P108" i="264"/>
  <c r="J108" i="264"/>
  <c r="D108" i="264"/>
  <c r="P100" i="264"/>
  <c r="J100" i="264"/>
  <c r="D100" i="264"/>
  <c r="P87" i="264"/>
  <c r="O87" i="264"/>
  <c r="M87" i="264"/>
  <c r="N87" i="264" s="1"/>
  <c r="J87" i="264"/>
  <c r="I87" i="264"/>
  <c r="G87" i="264"/>
  <c r="H87" i="264" s="1"/>
  <c r="D87" i="264"/>
  <c r="C87" i="264"/>
  <c r="A87" i="264"/>
  <c r="B87" i="264" s="1"/>
  <c r="P86" i="264"/>
  <c r="O86" i="264"/>
  <c r="M86" i="264"/>
  <c r="N86" i="264" s="1"/>
  <c r="J86" i="264"/>
  <c r="I86" i="264"/>
  <c r="G86" i="264"/>
  <c r="H86" i="264" s="1"/>
  <c r="D86" i="264"/>
  <c r="C86" i="264"/>
  <c r="A86" i="264"/>
  <c r="B86" i="264" s="1"/>
  <c r="P85" i="264"/>
  <c r="O85" i="264"/>
  <c r="M85" i="264"/>
  <c r="N85" i="264" s="1"/>
  <c r="J85" i="264"/>
  <c r="I85" i="264"/>
  <c r="G85" i="264"/>
  <c r="H85" i="264" s="1"/>
  <c r="D85" i="264"/>
  <c r="C85" i="264"/>
  <c r="A85" i="264"/>
  <c r="B85" i="264" s="1"/>
  <c r="Q82" i="264"/>
  <c r="K82" i="264"/>
  <c r="E82" i="264"/>
  <c r="O79" i="264"/>
  <c r="M79" i="264"/>
  <c r="N79" i="264" s="1"/>
  <c r="I79" i="264"/>
  <c r="G79" i="264"/>
  <c r="H79" i="264" s="1"/>
  <c r="C79" i="264"/>
  <c r="A79" i="264"/>
  <c r="B79" i="264" s="1"/>
  <c r="O78" i="264"/>
  <c r="M78" i="264"/>
  <c r="N78" i="264" s="1"/>
  <c r="I78" i="264"/>
  <c r="G78" i="264"/>
  <c r="H78" i="264" s="1"/>
  <c r="C78" i="264"/>
  <c r="A78" i="264"/>
  <c r="B78" i="264" s="1"/>
  <c r="O77" i="264"/>
  <c r="M77" i="264"/>
  <c r="N77" i="264" s="1"/>
  <c r="I77" i="264"/>
  <c r="G77" i="264"/>
  <c r="H77" i="264" s="1"/>
  <c r="C77" i="264"/>
  <c r="A77" i="264"/>
  <c r="B77" i="264" s="1"/>
  <c r="Q74" i="264"/>
  <c r="K74" i="264"/>
  <c r="E74" i="264"/>
  <c r="P71" i="264"/>
  <c r="O71" i="264"/>
  <c r="M71" i="264"/>
  <c r="N71" i="264" s="1"/>
  <c r="I71" i="264"/>
  <c r="G71" i="264"/>
  <c r="H71" i="264" s="1"/>
  <c r="D71" i="264"/>
  <c r="C71" i="264"/>
  <c r="A71" i="264"/>
  <c r="B71" i="264" s="1"/>
  <c r="P70" i="264"/>
  <c r="O70" i="264"/>
  <c r="M70" i="264"/>
  <c r="N70" i="264" s="1"/>
  <c r="I70" i="264"/>
  <c r="G70" i="264"/>
  <c r="H70" i="264" s="1"/>
  <c r="C70" i="264"/>
  <c r="A70" i="264"/>
  <c r="B70" i="264" s="1"/>
  <c r="O69" i="264"/>
  <c r="M69" i="264"/>
  <c r="N69" i="264" s="1"/>
  <c r="I69" i="264"/>
  <c r="G69" i="264"/>
  <c r="H69" i="264" s="1"/>
  <c r="C69" i="264"/>
  <c r="A69" i="264"/>
  <c r="B69" i="264" s="1"/>
  <c r="O68" i="264"/>
  <c r="M68" i="264"/>
  <c r="N68" i="264" s="1"/>
  <c r="I68" i="264"/>
  <c r="G68" i="264"/>
  <c r="H68" i="264" s="1"/>
  <c r="C68" i="264"/>
  <c r="A68" i="264"/>
  <c r="B68" i="264" s="1"/>
  <c r="Q65" i="264"/>
  <c r="K65" i="264"/>
  <c r="E65" i="264"/>
  <c r="P62" i="264"/>
  <c r="O62" i="264"/>
  <c r="M62" i="264"/>
  <c r="N62" i="264" s="1"/>
  <c r="J62" i="264"/>
  <c r="I62" i="264"/>
  <c r="G62" i="264"/>
  <c r="H62" i="264" s="1"/>
  <c r="D62" i="264"/>
  <c r="C62" i="264"/>
  <c r="A62" i="264"/>
  <c r="B62" i="264" s="1"/>
  <c r="P61" i="264"/>
  <c r="O61" i="264"/>
  <c r="M61" i="264"/>
  <c r="N61" i="264" s="1"/>
  <c r="J61" i="264"/>
  <c r="I61" i="264"/>
  <c r="G61" i="264"/>
  <c r="H61" i="264" s="1"/>
  <c r="D61" i="264"/>
  <c r="C61" i="264"/>
  <c r="A61" i="264"/>
  <c r="B61" i="264" s="1"/>
  <c r="P60" i="264"/>
  <c r="O60" i="264"/>
  <c r="M60" i="264"/>
  <c r="N60" i="264" s="1"/>
  <c r="J60" i="264"/>
  <c r="I60" i="264"/>
  <c r="G60" i="264"/>
  <c r="H60" i="264" s="1"/>
  <c r="D60" i="264"/>
  <c r="C60" i="264"/>
  <c r="A60" i="264"/>
  <c r="B60" i="264" s="1"/>
  <c r="Q57" i="264"/>
  <c r="K57" i="264"/>
  <c r="E57" i="264"/>
  <c r="P54" i="264"/>
  <c r="O54" i="264"/>
  <c r="M54" i="264"/>
  <c r="N54" i="264" s="1"/>
  <c r="J54" i="264"/>
  <c r="I54" i="264"/>
  <c r="G54" i="264"/>
  <c r="H54" i="264" s="1"/>
  <c r="D54" i="264"/>
  <c r="C54" i="264"/>
  <c r="A54" i="264"/>
  <c r="B54" i="264" s="1"/>
  <c r="P53" i="264"/>
  <c r="O53" i="264"/>
  <c r="M53" i="264"/>
  <c r="N53" i="264" s="1"/>
  <c r="J53" i="264"/>
  <c r="I53" i="264"/>
  <c r="G53" i="264"/>
  <c r="H53" i="264" s="1"/>
  <c r="D53" i="264"/>
  <c r="C53" i="264"/>
  <c r="A53" i="264"/>
  <c r="B53" i="264" s="1"/>
  <c r="P52" i="264"/>
  <c r="O52" i="264"/>
  <c r="M52" i="264"/>
  <c r="N52" i="264" s="1"/>
  <c r="J52" i="264"/>
  <c r="I52" i="264"/>
  <c r="G52" i="264"/>
  <c r="H52" i="264" s="1"/>
  <c r="D52" i="264"/>
  <c r="C52" i="264"/>
  <c r="A52" i="264"/>
  <c r="B52" i="264" s="1"/>
  <c r="P51" i="264"/>
  <c r="O51" i="264"/>
  <c r="M51" i="264"/>
  <c r="N51" i="264" s="1"/>
  <c r="J51" i="264"/>
  <c r="I51" i="264"/>
  <c r="G51" i="264"/>
  <c r="H51" i="264" s="1"/>
  <c r="D51" i="264"/>
  <c r="C51" i="264"/>
  <c r="A51" i="264"/>
  <c r="B51" i="264" s="1"/>
  <c r="Q48" i="264"/>
  <c r="K48" i="264"/>
  <c r="E48" i="264"/>
  <c r="O46" i="264"/>
  <c r="I46" i="264"/>
  <c r="C46" i="264"/>
  <c r="P45" i="264"/>
  <c r="N107" i="264" s="1"/>
  <c r="N45" i="264"/>
  <c r="J45" i="264"/>
  <c r="H107" i="264" s="1"/>
  <c r="H45" i="264"/>
  <c r="D45" i="264"/>
  <c r="B107" i="264" s="1"/>
  <c r="B45" i="264"/>
  <c r="N44" i="264"/>
  <c r="N102" i="264" s="1"/>
  <c r="N104" i="264" s="1"/>
  <c r="H44" i="264"/>
  <c r="J44" i="264" s="1"/>
  <c r="B44" i="264"/>
  <c r="D44" i="264" s="1"/>
  <c r="N43" i="264"/>
  <c r="P43" i="264" s="1"/>
  <c r="H43" i="264"/>
  <c r="H98" i="264" s="1"/>
  <c r="H100" i="264" s="1"/>
  <c r="H101" i="264" s="1"/>
  <c r="J101" i="264" s="1"/>
  <c r="B43" i="264"/>
  <c r="D43" i="264" s="1"/>
  <c r="N42" i="264"/>
  <c r="N94" i="264" s="1"/>
  <c r="N96" i="264" s="1"/>
  <c r="H42" i="264"/>
  <c r="H94" i="264" s="1"/>
  <c r="H96" i="264" s="1"/>
  <c r="B42" i="264"/>
  <c r="D42" i="264" s="1"/>
  <c r="N41" i="264"/>
  <c r="N90" i="264" s="1"/>
  <c r="N92" i="264" s="1"/>
  <c r="H41" i="264"/>
  <c r="H90" i="264" s="1"/>
  <c r="H92" i="264" s="1"/>
  <c r="B41" i="264"/>
  <c r="B90" i="264" s="1"/>
  <c r="N40" i="264"/>
  <c r="P40" i="264" s="1"/>
  <c r="H40" i="264"/>
  <c r="J40" i="264" s="1"/>
  <c r="B40" i="264"/>
  <c r="D40" i="264" s="1"/>
  <c r="N39" i="264"/>
  <c r="P39" i="264" s="1"/>
  <c r="H39" i="264"/>
  <c r="J39" i="264" s="1"/>
  <c r="B39" i="264"/>
  <c r="B74" i="264" s="1"/>
  <c r="N38" i="264"/>
  <c r="N82" i="264" s="1"/>
  <c r="H38" i="264"/>
  <c r="J38" i="264" s="1"/>
  <c r="B38" i="264"/>
  <c r="B82" i="264" s="1"/>
  <c r="N37" i="264"/>
  <c r="N57" i="264" s="1"/>
  <c r="H37" i="264"/>
  <c r="H57" i="264" s="1"/>
  <c r="B37" i="264"/>
  <c r="B57" i="264" s="1"/>
  <c r="N36" i="264"/>
  <c r="N48" i="264" s="1"/>
  <c r="H36" i="264"/>
  <c r="J36" i="264" s="1"/>
  <c r="B36" i="264"/>
  <c r="B48" i="264" s="1"/>
  <c r="P34" i="264"/>
  <c r="J34" i="264"/>
  <c r="D34" i="264"/>
  <c r="O112" i="262"/>
  <c r="I112" i="262"/>
  <c r="C112" i="262"/>
  <c r="P110" i="262"/>
  <c r="O110" i="262"/>
  <c r="J110" i="262"/>
  <c r="I110" i="262"/>
  <c r="D110" i="262"/>
  <c r="C110" i="262"/>
  <c r="P109" i="262"/>
  <c r="J109" i="262"/>
  <c r="D109" i="262"/>
  <c r="P108" i="262"/>
  <c r="J108" i="262"/>
  <c r="D108" i="262"/>
  <c r="P100" i="262"/>
  <c r="J100" i="262"/>
  <c r="D100" i="262"/>
  <c r="P87" i="262"/>
  <c r="O87" i="262"/>
  <c r="M87" i="262"/>
  <c r="N87" i="262" s="1"/>
  <c r="J87" i="262"/>
  <c r="I87" i="262"/>
  <c r="G87" i="262"/>
  <c r="H87" i="262" s="1"/>
  <c r="D87" i="262"/>
  <c r="C87" i="262"/>
  <c r="A87" i="262"/>
  <c r="B87" i="262" s="1"/>
  <c r="P86" i="262"/>
  <c r="O86" i="262"/>
  <c r="M86" i="262"/>
  <c r="N86" i="262" s="1"/>
  <c r="J86" i="262"/>
  <c r="I86" i="262"/>
  <c r="G86" i="262"/>
  <c r="H86" i="262" s="1"/>
  <c r="D86" i="262"/>
  <c r="C86" i="262"/>
  <c r="A86" i="262"/>
  <c r="B86" i="262" s="1"/>
  <c r="P85" i="262"/>
  <c r="O85" i="262"/>
  <c r="M85" i="262"/>
  <c r="N85" i="262" s="1"/>
  <c r="J85" i="262"/>
  <c r="I85" i="262"/>
  <c r="G85" i="262"/>
  <c r="H85" i="262" s="1"/>
  <c r="D85" i="262"/>
  <c r="C85" i="262"/>
  <c r="A85" i="262"/>
  <c r="B85" i="262" s="1"/>
  <c r="Q82" i="262"/>
  <c r="K82" i="262"/>
  <c r="E82" i="262"/>
  <c r="O79" i="262"/>
  <c r="M79" i="262"/>
  <c r="N79" i="262" s="1"/>
  <c r="I79" i="262"/>
  <c r="G79" i="262"/>
  <c r="H79" i="262" s="1"/>
  <c r="C79" i="262"/>
  <c r="A79" i="262"/>
  <c r="B79" i="262" s="1"/>
  <c r="O78" i="262"/>
  <c r="M78" i="262"/>
  <c r="N78" i="262" s="1"/>
  <c r="I78" i="262"/>
  <c r="G78" i="262"/>
  <c r="H78" i="262" s="1"/>
  <c r="C78" i="262"/>
  <c r="A78" i="262"/>
  <c r="B78" i="262" s="1"/>
  <c r="O77" i="262"/>
  <c r="M77" i="262"/>
  <c r="N77" i="262" s="1"/>
  <c r="I77" i="262"/>
  <c r="G77" i="262"/>
  <c r="H77" i="262" s="1"/>
  <c r="C77" i="262"/>
  <c r="A77" i="262"/>
  <c r="B77" i="262" s="1"/>
  <c r="Q74" i="262"/>
  <c r="K74" i="262"/>
  <c r="E74" i="262"/>
  <c r="P71" i="262"/>
  <c r="O71" i="262"/>
  <c r="M71" i="262"/>
  <c r="N71" i="262" s="1"/>
  <c r="J71" i="262"/>
  <c r="I71" i="262"/>
  <c r="G71" i="262"/>
  <c r="H71" i="262" s="1"/>
  <c r="C71" i="262"/>
  <c r="A71" i="262"/>
  <c r="B71" i="262" s="1"/>
  <c r="O70" i="262"/>
  <c r="M70" i="262"/>
  <c r="N70" i="262" s="1"/>
  <c r="I70" i="262"/>
  <c r="G70" i="262"/>
  <c r="H70" i="262" s="1"/>
  <c r="D70" i="262"/>
  <c r="C70" i="262"/>
  <c r="A70" i="262"/>
  <c r="B70" i="262" s="1"/>
  <c r="O69" i="262"/>
  <c r="M69" i="262"/>
  <c r="N69" i="262" s="1"/>
  <c r="I69" i="262"/>
  <c r="G69" i="262"/>
  <c r="H69" i="262" s="1"/>
  <c r="C69" i="262"/>
  <c r="A69" i="262"/>
  <c r="B69" i="262" s="1"/>
  <c r="O68" i="262"/>
  <c r="M68" i="262"/>
  <c r="N68" i="262" s="1"/>
  <c r="I68" i="262"/>
  <c r="G68" i="262"/>
  <c r="H68" i="262" s="1"/>
  <c r="C68" i="262"/>
  <c r="A68" i="262"/>
  <c r="B68" i="262" s="1"/>
  <c r="Q65" i="262"/>
  <c r="K65" i="262"/>
  <c r="E65" i="262"/>
  <c r="P62" i="262"/>
  <c r="O62" i="262"/>
  <c r="M62" i="262"/>
  <c r="N62" i="262" s="1"/>
  <c r="J62" i="262"/>
  <c r="I62" i="262"/>
  <c r="G62" i="262"/>
  <c r="H62" i="262" s="1"/>
  <c r="D62" i="262"/>
  <c r="C62" i="262"/>
  <c r="A62" i="262"/>
  <c r="B62" i="262" s="1"/>
  <c r="P61" i="262"/>
  <c r="O61" i="262"/>
  <c r="M61" i="262"/>
  <c r="N61" i="262" s="1"/>
  <c r="J61" i="262"/>
  <c r="I61" i="262"/>
  <c r="G61" i="262"/>
  <c r="H61" i="262" s="1"/>
  <c r="D61" i="262"/>
  <c r="C61" i="262"/>
  <c r="A61" i="262"/>
  <c r="B61" i="262" s="1"/>
  <c r="P60" i="262"/>
  <c r="O60" i="262"/>
  <c r="M60" i="262"/>
  <c r="N60" i="262" s="1"/>
  <c r="J60" i="262"/>
  <c r="I60" i="262"/>
  <c r="G60" i="262"/>
  <c r="H60" i="262" s="1"/>
  <c r="D60" i="262"/>
  <c r="C60" i="262"/>
  <c r="A60" i="262"/>
  <c r="B60" i="262" s="1"/>
  <c r="Q57" i="262"/>
  <c r="K57" i="262"/>
  <c r="E57" i="262"/>
  <c r="P54" i="262"/>
  <c r="O54" i="262"/>
  <c r="M54" i="262"/>
  <c r="N54" i="262" s="1"/>
  <c r="J54" i="262"/>
  <c r="I54" i="262"/>
  <c r="G54" i="262"/>
  <c r="H54" i="262" s="1"/>
  <c r="D54" i="262"/>
  <c r="C54" i="262"/>
  <c r="A54" i="262"/>
  <c r="B54" i="262" s="1"/>
  <c r="P53" i="262"/>
  <c r="O53" i="262"/>
  <c r="M53" i="262"/>
  <c r="N53" i="262" s="1"/>
  <c r="J53" i="262"/>
  <c r="I53" i="262"/>
  <c r="G53" i="262"/>
  <c r="H53" i="262" s="1"/>
  <c r="D53" i="262"/>
  <c r="C53" i="262"/>
  <c r="A53" i="262"/>
  <c r="B53" i="262" s="1"/>
  <c r="P52" i="262"/>
  <c r="O52" i="262"/>
  <c r="M52" i="262"/>
  <c r="N52" i="262" s="1"/>
  <c r="J52" i="262"/>
  <c r="I52" i="262"/>
  <c r="G52" i="262"/>
  <c r="H52" i="262" s="1"/>
  <c r="D52" i="262"/>
  <c r="C52" i="262"/>
  <c r="A52" i="262"/>
  <c r="B52" i="262" s="1"/>
  <c r="P51" i="262"/>
  <c r="O51" i="262"/>
  <c r="M51" i="262"/>
  <c r="N51" i="262" s="1"/>
  <c r="J51" i="262"/>
  <c r="I51" i="262"/>
  <c r="G51" i="262"/>
  <c r="H51" i="262" s="1"/>
  <c r="D51" i="262"/>
  <c r="C51" i="262"/>
  <c r="A51" i="262"/>
  <c r="B51" i="262" s="1"/>
  <c r="Q48" i="262"/>
  <c r="K48" i="262"/>
  <c r="E48" i="262"/>
  <c r="O46" i="262"/>
  <c r="I46" i="262"/>
  <c r="C46" i="262"/>
  <c r="P45" i="262"/>
  <c r="N107" i="262" s="1"/>
  <c r="N108" i="262" s="1"/>
  <c r="N45" i="262"/>
  <c r="J45" i="262"/>
  <c r="H107" i="262" s="1"/>
  <c r="H45" i="262"/>
  <c r="D45" i="262"/>
  <c r="B107" i="262" s="1"/>
  <c r="B45" i="262"/>
  <c r="N44" i="262"/>
  <c r="N102" i="262" s="1"/>
  <c r="N104" i="262" s="1"/>
  <c r="H44" i="262"/>
  <c r="H102" i="262" s="1"/>
  <c r="H104" i="262" s="1"/>
  <c r="B44" i="262"/>
  <c r="D44" i="262" s="1"/>
  <c r="N43" i="262"/>
  <c r="P43" i="262" s="1"/>
  <c r="H43" i="262"/>
  <c r="H98" i="262" s="1"/>
  <c r="H100" i="262" s="1"/>
  <c r="H101" i="262" s="1"/>
  <c r="J101" i="262" s="1"/>
  <c r="B43" i="262"/>
  <c r="D43" i="262" s="1"/>
  <c r="N42" i="262"/>
  <c r="N94" i="262" s="1"/>
  <c r="N96" i="262" s="1"/>
  <c r="H42" i="262"/>
  <c r="H94" i="262" s="1"/>
  <c r="H96" i="262" s="1"/>
  <c r="B42" i="262"/>
  <c r="B94" i="262" s="1"/>
  <c r="B96" i="262" s="1"/>
  <c r="N41" i="262"/>
  <c r="P41" i="262" s="1"/>
  <c r="H41" i="262"/>
  <c r="H90" i="262" s="1"/>
  <c r="H92" i="262" s="1"/>
  <c r="B41" i="262"/>
  <c r="B90" i="262" s="1"/>
  <c r="B92" i="262" s="1"/>
  <c r="N40" i="262"/>
  <c r="P40" i="262" s="1"/>
  <c r="H40" i="262"/>
  <c r="J40" i="262" s="1"/>
  <c r="B40" i="262"/>
  <c r="D40" i="262" s="1"/>
  <c r="N39" i="262"/>
  <c r="P39" i="262" s="1"/>
  <c r="H39" i="262"/>
  <c r="H74" i="262" s="1"/>
  <c r="B39" i="262"/>
  <c r="D39" i="262" s="1"/>
  <c r="N38" i="262"/>
  <c r="N65" i="262" s="1"/>
  <c r="H38" i="262"/>
  <c r="H65" i="262" s="1"/>
  <c r="B38" i="262"/>
  <c r="B65" i="262" s="1"/>
  <c r="N37" i="262"/>
  <c r="N57" i="262" s="1"/>
  <c r="H37" i="262"/>
  <c r="H57" i="262" s="1"/>
  <c r="B37" i="262"/>
  <c r="D37" i="262" s="1"/>
  <c r="N36" i="262"/>
  <c r="N48" i="262" s="1"/>
  <c r="H36" i="262"/>
  <c r="H48" i="262" s="1"/>
  <c r="B36" i="262"/>
  <c r="B48" i="262" s="1"/>
  <c r="P34" i="262"/>
  <c r="J34" i="262"/>
  <c r="D34" i="262"/>
  <c r="C133" i="262" s="1"/>
  <c r="O112" i="260"/>
  <c r="I112" i="260"/>
  <c r="C112" i="260"/>
  <c r="P110" i="260"/>
  <c r="O110" i="260"/>
  <c r="J110" i="260"/>
  <c r="I110" i="260"/>
  <c r="D110" i="260"/>
  <c r="C110" i="260"/>
  <c r="P109" i="260"/>
  <c r="J109" i="260"/>
  <c r="D109" i="260"/>
  <c r="P108" i="260"/>
  <c r="J108" i="260"/>
  <c r="D108" i="260"/>
  <c r="P100" i="260"/>
  <c r="J100" i="260"/>
  <c r="D100" i="260"/>
  <c r="E100" i="260" s="1"/>
  <c r="P87" i="260"/>
  <c r="O87" i="260"/>
  <c r="M87" i="260"/>
  <c r="N87" i="260" s="1"/>
  <c r="J87" i="260"/>
  <c r="I87" i="260"/>
  <c r="G87" i="260"/>
  <c r="H87" i="260" s="1"/>
  <c r="D87" i="260"/>
  <c r="C87" i="260"/>
  <c r="A87" i="260"/>
  <c r="B87" i="260" s="1"/>
  <c r="P86" i="260"/>
  <c r="O86" i="260"/>
  <c r="M86" i="260"/>
  <c r="N86" i="260" s="1"/>
  <c r="J86" i="260"/>
  <c r="I86" i="260"/>
  <c r="G86" i="260"/>
  <c r="H86" i="260" s="1"/>
  <c r="D86" i="260"/>
  <c r="C86" i="260"/>
  <c r="A86" i="260"/>
  <c r="B86" i="260" s="1"/>
  <c r="P85" i="260"/>
  <c r="O85" i="260"/>
  <c r="M85" i="260"/>
  <c r="N85" i="260" s="1"/>
  <c r="J85" i="260"/>
  <c r="I85" i="260"/>
  <c r="G85" i="260"/>
  <c r="H85" i="260" s="1"/>
  <c r="D85" i="260"/>
  <c r="C85" i="260"/>
  <c r="A85" i="260"/>
  <c r="B85" i="260" s="1"/>
  <c r="Q82" i="260"/>
  <c r="K82" i="260"/>
  <c r="E82" i="260"/>
  <c r="O79" i="260"/>
  <c r="M79" i="260"/>
  <c r="N79" i="260" s="1"/>
  <c r="I79" i="260"/>
  <c r="G79" i="260"/>
  <c r="H79" i="260" s="1"/>
  <c r="C79" i="260"/>
  <c r="A79" i="260"/>
  <c r="B79" i="260" s="1"/>
  <c r="O78" i="260"/>
  <c r="M78" i="260"/>
  <c r="N78" i="260" s="1"/>
  <c r="I78" i="260"/>
  <c r="G78" i="260"/>
  <c r="H78" i="260" s="1"/>
  <c r="C78" i="260"/>
  <c r="A78" i="260"/>
  <c r="B78" i="260" s="1"/>
  <c r="O77" i="260"/>
  <c r="M77" i="260"/>
  <c r="N77" i="260" s="1"/>
  <c r="I77" i="260"/>
  <c r="G77" i="260"/>
  <c r="H77" i="260" s="1"/>
  <c r="C77" i="260"/>
  <c r="A77" i="260"/>
  <c r="B77" i="260" s="1"/>
  <c r="Q74" i="260"/>
  <c r="K74" i="260"/>
  <c r="E74" i="260"/>
  <c r="O71" i="260"/>
  <c r="M71" i="260"/>
  <c r="N71" i="260" s="1"/>
  <c r="J71" i="260"/>
  <c r="I71" i="260"/>
  <c r="G71" i="260"/>
  <c r="H71" i="260" s="1"/>
  <c r="C71" i="260"/>
  <c r="A71" i="260"/>
  <c r="B71" i="260" s="1"/>
  <c r="O70" i="260"/>
  <c r="M70" i="260"/>
  <c r="N70" i="260" s="1"/>
  <c r="I70" i="260"/>
  <c r="G70" i="260"/>
  <c r="H70" i="260" s="1"/>
  <c r="C70" i="260"/>
  <c r="A70" i="260"/>
  <c r="B70" i="260" s="1"/>
  <c r="O69" i="260"/>
  <c r="M69" i="260"/>
  <c r="N69" i="260" s="1"/>
  <c r="I69" i="260"/>
  <c r="G69" i="260"/>
  <c r="H69" i="260" s="1"/>
  <c r="C69" i="260"/>
  <c r="A69" i="260"/>
  <c r="B69" i="260" s="1"/>
  <c r="O68" i="260"/>
  <c r="M68" i="260"/>
  <c r="N68" i="260" s="1"/>
  <c r="I68" i="260"/>
  <c r="G68" i="260"/>
  <c r="H68" i="260" s="1"/>
  <c r="C68" i="260"/>
  <c r="A68" i="260"/>
  <c r="B68" i="260" s="1"/>
  <c r="Q65" i="260"/>
  <c r="K65" i="260"/>
  <c r="E65" i="260"/>
  <c r="P62" i="260"/>
  <c r="O62" i="260"/>
  <c r="M62" i="260"/>
  <c r="N62" i="260" s="1"/>
  <c r="J62" i="260"/>
  <c r="I62" i="260"/>
  <c r="G62" i="260"/>
  <c r="H62" i="260" s="1"/>
  <c r="D62" i="260"/>
  <c r="C62" i="260"/>
  <c r="A62" i="260"/>
  <c r="B62" i="260" s="1"/>
  <c r="P61" i="260"/>
  <c r="O61" i="260"/>
  <c r="M61" i="260"/>
  <c r="N61" i="260" s="1"/>
  <c r="J61" i="260"/>
  <c r="I61" i="260"/>
  <c r="G61" i="260"/>
  <c r="H61" i="260" s="1"/>
  <c r="D61" i="260"/>
  <c r="C61" i="260"/>
  <c r="A61" i="260"/>
  <c r="B61" i="260" s="1"/>
  <c r="P60" i="260"/>
  <c r="O60" i="260"/>
  <c r="M60" i="260"/>
  <c r="N60" i="260" s="1"/>
  <c r="J60" i="260"/>
  <c r="I60" i="260"/>
  <c r="G60" i="260"/>
  <c r="H60" i="260" s="1"/>
  <c r="D60" i="260"/>
  <c r="C60" i="260"/>
  <c r="A60" i="260"/>
  <c r="B60" i="260" s="1"/>
  <c r="Q57" i="260"/>
  <c r="K57" i="260"/>
  <c r="E57" i="260"/>
  <c r="P54" i="260"/>
  <c r="O54" i="260"/>
  <c r="M54" i="260"/>
  <c r="N54" i="260" s="1"/>
  <c r="J54" i="260"/>
  <c r="I54" i="260"/>
  <c r="G54" i="260"/>
  <c r="H54" i="260" s="1"/>
  <c r="D54" i="260"/>
  <c r="C54" i="260"/>
  <c r="A54" i="260"/>
  <c r="B54" i="260" s="1"/>
  <c r="P53" i="260"/>
  <c r="O53" i="260"/>
  <c r="M53" i="260"/>
  <c r="N53" i="260" s="1"/>
  <c r="J53" i="260"/>
  <c r="I53" i="260"/>
  <c r="G53" i="260"/>
  <c r="H53" i="260" s="1"/>
  <c r="D53" i="260"/>
  <c r="C53" i="260"/>
  <c r="A53" i="260"/>
  <c r="B53" i="260" s="1"/>
  <c r="P52" i="260"/>
  <c r="O52" i="260"/>
  <c r="M52" i="260"/>
  <c r="N52" i="260" s="1"/>
  <c r="J52" i="260"/>
  <c r="I52" i="260"/>
  <c r="G52" i="260"/>
  <c r="H52" i="260" s="1"/>
  <c r="D52" i="260"/>
  <c r="C52" i="260"/>
  <c r="A52" i="260"/>
  <c r="B52" i="260" s="1"/>
  <c r="P51" i="260"/>
  <c r="O51" i="260"/>
  <c r="M51" i="260"/>
  <c r="N51" i="260" s="1"/>
  <c r="J51" i="260"/>
  <c r="I51" i="260"/>
  <c r="G51" i="260"/>
  <c r="H51" i="260" s="1"/>
  <c r="D51" i="260"/>
  <c r="C51" i="260"/>
  <c r="A51" i="260"/>
  <c r="B51" i="260" s="1"/>
  <c r="Q48" i="260"/>
  <c r="K48" i="260"/>
  <c r="E48" i="260"/>
  <c r="O46" i="260"/>
  <c r="I46" i="260"/>
  <c r="C46" i="260"/>
  <c r="P45" i="260"/>
  <c r="N107" i="260" s="1"/>
  <c r="N45" i="260"/>
  <c r="J45" i="260"/>
  <c r="H107" i="260" s="1"/>
  <c r="H108" i="260" s="1"/>
  <c r="I108" i="260" s="1"/>
  <c r="H45" i="260"/>
  <c r="D45" i="260"/>
  <c r="B107" i="260" s="1"/>
  <c r="B45" i="260"/>
  <c r="N44" i="260"/>
  <c r="P44" i="260" s="1"/>
  <c r="H44" i="260"/>
  <c r="H102" i="260" s="1"/>
  <c r="H104" i="260" s="1"/>
  <c r="B44" i="260"/>
  <c r="B102" i="260" s="1"/>
  <c r="B104" i="260" s="1"/>
  <c r="N43" i="260"/>
  <c r="N98" i="260" s="1"/>
  <c r="N100" i="260" s="1"/>
  <c r="N101" i="260" s="1"/>
  <c r="P101" i="260" s="1"/>
  <c r="H43" i="260"/>
  <c r="H98" i="260" s="1"/>
  <c r="H100" i="260" s="1"/>
  <c r="H101" i="260" s="1"/>
  <c r="J101" i="260" s="1"/>
  <c r="B43" i="260"/>
  <c r="B98" i="260" s="1"/>
  <c r="B100" i="260" s="1"/>
  <c r="B101" i="260" s="1"/>
  <c r="D101" i="260" s="1"/>
  <c r="N42" i="260"/>
  <c r="N94" i="260" s="1"/>
  <c r="N96" i="260" s="1"/>
  <c r="H42" i="260"/>
  <c r="J42" i="260" s="1"/>
  <c r="B42" i="260"/>
  <c r="D42" i="260" s="1"/>
  <c r="N41" i="260"/>
  <c r="N90" i="260" s="1"/>
  <c r="N92" i="260" s="1"/>
  <c r="H41" i="260"/>
  <c r="H90" i="260" s="1"/>
  <c r="B41" i="260"/>
  <c r="D41" i="260" s="1"/>
  <c r="N40" i="260"/>
  <c r="P40" i="260" s="1"/>
  <c r="H40" i="260"/>
  <c r="J40" i="260" s="1"/>
  <c r="B40" i="260"/>
  <c r="D40" i="260" s="1"/>
  <c r="N39" i="260"/>
  <c r="P39" i="260" s="1"/>
  <c r="H39" i="260"/>
  <c r="J39" i="260" s="1"/>
  <c r="B39" i="260"/>
  <c r="B74" i="260" s="1"/>
  <c r="N38" i="260"/>
  <c r="N65" i="260" s="1"/>
  <c r="H38" i="260"/>
  <c r="H65" i="260" s="1"/>
  <c r="B38" i="260"/>
  <c r="D38" i="260" s="1"/>
  <c r="N37" i="260"/>
  <c r="N57" i="260" s="1"/>
  <c r="H37" i="260"/>
  <c r="J37" i="260" s="1"/>
  <c r="B37" i="260"/>
  <c r="D37" i="260" s="1"/>
  <c r="N36" i="260"/>
  <c r="P36" i="260" s="1"/>
  <c r="H36" i="260"/>
  <c r="J36" i="260" s="1"/>
  <c r="B36" i="260"/>
  <c r="D36" i="260" s="1"/>
  <c r="P34" i="260"/>
  <c r="J34" i="260"/>
  <c r="I133" i="260" s="1"/>
  <c r="D34" i="260"/>
  <c r="C133" i="260" s="1"/>
  <c r="O112" i="258"/>
  <c r="I112" i="258"/>
  <c r="C112" i="258"/>
  <c r="P110" i="258"/>
  <c r="O110" i="258"/>
  <c r="J110" i="258"/>
  <c r="I110" i="258"/>
  <c r="D110" i="258"/>
  <c r="C110" i="258"/>
  <c r="P109" i="258"/>
  <c r="J109" i="258"/>
  <c r="D109" i="258"/>
  <c r="P108" i="258"/>
  <c r="J108" i="258"/>
  <c r="D108" i="258"/>
  <c r="P100" i="258"/>
  <c r="J100" i="258"/>
  <c r="D100" i="258"/>
  <c r="P87" i="258"/>
  <c r="O87" i="258"/>
  <c r="M87" i="258"/>
  <c r="N87" i="258" s="1"/>
  <c r="J87" i="258"/>
  <c r="I87" i="258"/>
  <c r="G87" i="258"/>
  <c r="H87" i="258" s="1"/>
  <c r="D87" i="258"/>
  <c r="C87" i="258"/>
  <c r="A87" i="258"/>
  <c r="B87" i="258" s="1"/>
  <c r="P86" i="258"/>
  <c r="O86" i="258"/>
  <c r="M86" i="258"/>
  <c r="N86" i="258" s="1"/>
  <c r="J86" i="258"/>
  <c r="I86" i="258"/>
  <c r="G86" i="258"/>
  <c r="H86" i="258" s="1"/>
  <c r="D86" i="258"/>
  <c r="C86" i="258"/>
  <c r="A86" i="258"/>
  <c r="B86" i="258" s="1"/>
  <c r="P85" i="258"/>
  <c r="O85" i="258"/>
  <c r="M85" i="258"/>
  <c r="N85" i="258" s="1"/>
  <c r="J85" i="258"/>
  <c r="I85" i="258"/>
  <c r="G85" i="258"/>
  <c r="H85" i="258" s="1"/>
  <c r="D85" i="258"/>
  <c r="C85" i="258"/>
  <c r="A85" i="258"/>
  <c r="B85" i="258" s="1"/>
  <c r="Q82" i="258"/>
  <c r="K82" i="258"/>
  <c r="E82" i="258"/>
  <c r="O79" i="258"/>
  <c r="M79" i="258"/>
  <c r="N79" i="258" s="1"/>
  <c r="I79" i="258"/>
  <c r="G79" i="258"/>
  <c r="H79" i="258" s="1"/>
  <c r="C79" i="258"/>
  <c r="A79" i="258"/>
  <c r="B79" i="258" s="1"/>
  <c r="O78" i="258"/>
  <c r="M78" i="258"/>
  <c r="N78" i="258" s="1"/>
  <c r="I78" i="258"/>
  <c r="G78" i="258"/>
  <c r="H78" i="258" s="1"/>
  <c r="C78" i="258"/>
  <c r="A78" i="258"/>
  <c r="B78" i="258" s="1"/>
  <c r="O77" i="258"/>
  <c r="M77" i="258"/>
  <c r="N77" i="258" s="1"/>
  <c r="I77" i="258"/>
  <c r="G77" i="258"/>
  <c r="H77" i="258" s="1"/>
  <c r="C77" i="258"/>
  <c r="A77" i="258"/>
  <c r="B77" i="258" s="1"/>
  <c r="Q74" i="258"/>
  <c r="K74" i="258"/>
  <c r="E74" i="258"/>
  <c r="P71" i="258"/>
  <c r="O71" i="258"/>
  <c r="M71" i="258"/>
  <c r="N71" i="258" s="1"/>
  <c r="J71" i="258"/>
  <c r="I71" i="258"/>
  <c r="G71" i="258"/>
  <c r="H71" i="258" s="1"/>
  <c r="C71" i="258"/>
  <c r="A71" i="258"/>
  <c r="B71" i="258" s="1"/>
  <c r="O70" i="258"/>
  <c r="M70" i="258"/>
  <c r="N70" i="258" s="1"/>
  <c r="I70" i="258"/>
  <c r="G70" i="258"/>
  <c r="H70" i="258" s="1"/>
  <c r="D70" i="258"/>
  <c r="C70" i="258"/>
  <c r="A70" i="258"/>
  <c r="B70" i="258" s="1"/>
  <c r="O69" i="258"/>
  <c r="M69" i="258"/>
  <c r="N69" i="258" s="1"/>
  <c r="I69" i="258"/>
  <c r="G69" i="258"/>
  <c r="H69" i="258" s="1"/>
  <c r="C69" i="258"/>
  <c r="A69" i="258"/>
  <c r="B69" i="258" s="1"/>
  <c r="O68" i="258"/>
  <c r="M68" i="258"/>
  <c r="N68" i="258" s="1"/>
  <c r="I68" i="258"/>
  <c r="G68" i="258"/>
  <c r="H68" i="258" s="1"/>
  <c r="C68" i="258"/>
  <c r="A68" i="258"/>
  <c r="B68" i="258" s="1"/>
  <c r="Q65" i="258"/>
  <c r="K65" i="258"/>
  <c r="E65" i="258"/>
  <c r="P62" i="258"/>
  <c r="O62" i="258"/>
  <c r="M62" i="258"/>
  <c r="N62" i="258" s="1"/>
  <c r="J62" i="258"/>
  <c r="I62" i="258"/>
  <c r="G62" i="258"/>
  <c r="H62" i="258" s="1"/>
  <c r="D62" i="258"/>
  <c r="C62" i="258"/>
  <c r="A62" i="258"/>
  <c r="B62" i="258" s="1"/>
  <c r="P61" i="258"/>
  <c r="O61" i="258"/>
  <c r="M61" i="258"/>
  <c r="N61" i="258" s="1"/>
  <c r="J61" i="258"/>
  <c r="I61" i="258"/>
  <c r="G61" i="258"/>
  <c r="H61" i="258" s="1"/>
  <c r="D61" i="258"/>
  <c r="C61" i="258"/>
  <c r="A61" i="258"/>
  <c r="B61" i="258" s="1"/>
  <c r="P60" i="258"/>
  <c r="O60" i="258"/>
  <c r="M60" i="258"/>
  <c r="N60" i="258" s="1"/>
  <c r="J60" i="258"/>
  <c r="I60" i="258"/>
  <c r="G60" i="258"/>
  <c r="H60" i="258" s="1"/>
  <c r="D60" i="258"/>
  <c r="C60" i="258"/>
  <c r="A60" i="258"/>
  <c r="B60" i="258" s="1"/>
  <c r="Q57" i="258"/>
  <c r="K57" i="258"/>
  <c r="E57" i="258"/>
  <c r="P54" i="258"/>
  <c r="O54" i="258"/>
  <c r="M54" i="258"/>
  <c r="N54" i="258" s="1"/>
  <c r="J54" i="258"/>
  <c r="I54" i="258"/>
  <c r="G54" i="258"/>
  <c r="H54" i="258" s="1"/>
  <c r="D54" i="258"/>
  <c r="C54" i="258"/>
  <c r="A54" i="258"/>
  <c r="B54" i="258" s="1"/>
  <c r="P53" i="258"/>
  <c r="O53" i="258"/>
  <c r="M53" i="258"/>
  <c r="N53" i="258" s="1"/>
  <c r="J53" i="258"/>
  <c r="I53" i="258"/>
  <c r="G53" i="258"/>
  <c r="H53" i="258" s="1"/>
  <c r="D53" i="258"/>
  <c r="C53" i="258"/>
  <c r="A53" i="258"/>
  <c r="B53" i="258" s="1"/>
  <c r="P52" i="258"/>
  <c r="O52" i="258"/>
  <c r="M52" i="258"/>
  <c r="N52" i="258" s="1"/>
  <c r="J52" i="258"/>
  <c r="I52" i="258"/>
  <c r="G52" i="258"/>
  <c r="H52" i="258" s="1"/>
  <c r="D52" i="258"/>
  <c r="C52" i="258"/>
  <c r="A52" i="258"/>
  <c r="B52" i="258" s="1"/>
  <c r="P51" i="258"/>
  <c r="O51" i="258"/>
  <c r="M51" i="258"/>
  <c r="N51" i="258" s="1"/>
  <c r="J51" i="258"/>
  <c r="I51" i="258"/>
  <c r="G51" i="258"/>
  <c r="H51" i="258" s="1"/>
  <c r="D51" i="258"/>
  <c r="C51" i="258"/>
  <c r="A51" i="258"/>
  <c r="B51" i="258" s="1"/>
  <c r="Q48" i="258"/>
  <c r="K48" i="258"/>
  <c r="E48" i="258"/>
  <c r="O46" i="258"/>
  <c r="I46" i="258"/>
  <c r="C46" i="258"/>
  <c r="P45" i="258"/>
  <c r="N107" i="258" s="1"/>
  <c r="N45" i="258"/>
  <c r="J45" i="258"/>
  <c r="H107" i="258" s="1"/>
  <c r="H45" i="258"/>
  <c r="D45" i="258"/>
  <c r="B107" i="258" s="1"/>
  <c r="B45" i="258"/>
  <c r="N44" i="258"/>
  <c r="P44" i="258" s="1"/>
  <c r="H44" i="258"/>
  <c r="J44" i="258" s="1"/>
  <c r="B44" i="258"/>
  <c r="D44" i="258" s="1"/>
  <c r="N43" i="258"/>
  <c r="P43" i="258" s="1"/>
  <c r="H43" i="258"/>
  <c r="J43" i="258" s="1"/>
  <c r="B43" i="258"/>
  <c r="B98" i="258" s="1"/>
  <c r="B100" i="258" s="1"/>
  <c r="B101" i="258" s="1"/>
  <c r="D101" i="258" s="1"/>
  <c r="N42" i="258"/>
  <c r="N94" i="258" s="1"/>
  <c r="N96" i="258" s="1"/>
  <c r="H42" i="258"/>
  <c r="H94" i="258" s="1"/>
  <c r="H96" i="258" s="1"/>
  <c r="B42" i="258"/>
  <c r="B94" i="258" s="1"/>
  <c r="N41" i="258"/>
  <c r="P41" i="258" s="1"/>
  <c r="H41" i="258"/>
  <c r="J41" i="258" s="1"/>
  <c r="B41" i="258"/>
  <c r="B90" i="258" s="1"/>
  <c r="B92" i="258" s="1"/>
  <c r="N40" i="258"/>
  <c r="P40" i="258" s="1"/>
  <c r="H40" i="258"/>
  <c r="J40" i="258" s="1"/>
  <c r="B40" i="258"/>
  <c r="D40" i="258" s="1"/>
  <c r="N39" i="258"/>
  <c r="P39" i="258" s="1"/>
  <c r="H39" i="258"/>
  <c r="H74" i="258" s="1"/>
  <c r="B39" i="258"/>
  <c r="B74" i="258" s="1"/>
  <c r="N38" i="258"/>
  <c r="P38" i="258" s="1"/>
  <c r="H38" i="258"/>
  <c r="H82" i="258" s="1"/>
  <c r="B38" i="258"/>
  <c r="B65" i="258" s="1"/>
  <c r="N37" i="258"/>
  <c r="P37" i="258" s="1"/>
  <c r="H37" i="258"/>
  <c r="J37" i="258" s="1"/>
  <c r="B37" i="258"/>
  <c r="B57" i="258" s="1"/>
  <c r="N36" i="258"/>
  <c r="P36" i="258" s="1"/>
  <c r="H36" i="258"/>
  <c r="H48" i="258" s="1"/>
  <c r="B36" i="258"/>
  <c r="B48" i="258" s="1"/>
  <c r="P34" i="258"/>
  <c r="J34" i="258"/>
  <c r="D34" i="258"/>
  <c r="C133" i="258" s="1"/>
  <c r="O112" i="267"/>
  <c r="I112" i="267"/>
  <c r="C112" i="267"/>
  <c r="P110" i="267"/>
  <c r="O110" i="267"/>
  <c r="J110" i="267"/>
  <c r="I110" i="267"/>
  <c r="D110" i="267"/>
  <c r="C110" i="267"/>
  <c r="P109" i="267"/>
  <c r="J109" i="267"/>
  <c r="D109" i="267"/>
  <c r="P108" i="267"/>
  <c r="J108" i="267"/>
  <c r="D108" i="267"/>
  <c r="P100" i="267"/>
  <c r="J100" i="267"/>
  <c r="D100" i="267"/>
  <c r="P87" i="267"/>
  <c r="O87" i="267"/>
  <c r="M87" i="267"/>
  <c r="N87" i="267" s="1"/>
  <c r="J87" i="267"/>
  <c r="I87" i="267"/>
  <c r="G87" i="267"/>
  <c r="H87" i="267" s="1"/>
  <c r="D87" i="267"/>
  <c r="C87" i="267"/>
  <c r="A87" i="267"/>
  <c r="B87" i="267" s="1"/>
  <c r="P86" i="267"/>
  <c r="O86" i="267"/>
  <c r="M86" i="267"/>
  <c r="N86" i="267" s="1"/>
  <c r="J86" i="267"/>
  <c r="I86" i="267"/>
  <c r="G86" i="267"/>
  <c r="H86" i="267" s="1"/>
  <c r="D86" i="267"/>
  <c r="C86" i="267"/>
  <c r="A86" i="267"/>
  <c r="B86" i="267" s="1"/>
  <c r="P85" i="267"/>
  <c r="O85" i="267"/>
  <c r="M85" i="267"/>
  <c r="N85" i="267" s="1"/>
  <c r="J85" i="267"/>
  <c r="I85" i="267"/>
  <c r="G85" i="267"/>
  <c r="H85" i="267" s="1"/>
  <c r="D85" i="267"/>
  <c r="C85" i="267"/>
  <c r="A85" i="267"/>
  <c r="B85" i="267" s="1"/>
  <c r="Q82" i="267"/>
  <c r="K82" i="267"/>
  <c r="E82" i="267"/>
  <c r="O79" i="267"/>
  <c r="M79" i="267"/>
  <c r="N79" i="267" s="1"/>
  <c r="I79" i="267"/>
  <c r="G79" i="267"/>
  <c r="H79" i="267" s="1"/>
  <c r="C79" i="267"/>
  <c r="A79" i="267"/>
  <c r="B79" i="267" s="1"/>
  <c r="O78" i="267"/>
  <c r="M78" i="267"/>
  <c r="N78" i="267" s="1"/>
  <c r="I78" i="267"/>
  <c r="G78" i="267"/>
  <c r="H78" i="267" s="1"/>
  <c r="C78" i="267"/>
  <c r="A78" i="267"/>
  <c r="B78" i="267" s="1"/>
  <c r="O77" i="267"/>
  <c r="M77" i="267"/>
  <c r="N77" i="267" s="1"/>
  <c r="I77" i="267"/>
  <c r="G77" i="267"/>
  <c r="H77" i="267" s="1"/>
  <c r="C77" i="267"/>
  <c r="A77" i="267"/>
  <c r="B77" i="267" s="1"/>
  <c r="Q74" i="267"/>
  <c r="K74" i="267"/>
  <c r="E74" i="267"/>
  <c r="O71" i="267"/>
  <c r="M71" i="267"/>
  <c r="N71" i="267" s="1"/>
  <c r="J71" i="267"/>
  <c r="I71" i="267"/>
  <c r="G71" i="267"/>
  <c r="H71" i="267" s="1"/>
  <c r="C71" i="267"/>
  <c r="A71" i="267"/>
  <c r="B71" i="267" s="1"/>
  <c r="O70" i="267"/>
  <c r="M70" i="267"/>
  <c r="N70" i="267" s="1"/>
  <c r="I70" i="267"/>
  <c r="G70" i="267"/>
  <c r="H70" i="267" s="1"/>
  <c r="C70" i="267"/>
  <c r="A70" i="267"/>
  <c r="B70" i="267" s="1"/>
  <c r="O69" i="267"/>
  <c r="M69" i="267"/>
  <c r="N69" i="267" s="1"/>
  <c r="I69" i="267"/>
  <c r="G69" i="267"/>
  <c r="H69" i="267" s="1"/>
  <c r="C69" i="267"/>
  <c r="A69" i="267"/>
  <c r="B69" i="267" s="1"/>
  <c r="O68" i="267"/>
  <c r="M68" i="267"/>
  <c r="N68" i="267" s="1"/>
  <c r="I68" i="267"/>
  <c r="G68" i="267"/>
  <c r="H68" i="267" s="1"/>
  <c r="C68" i="267"/>
  <c r="A68" i="267"/>
  <c r="B68" i="267" s="1"/>
  <c r="Q65" i="267"/>
  <c r="K65" i="267"/>
  <c r="E65" i="267"/>
  <c r="P62" i="267"/>
  <c r="O62" i="267"/>
  <c r="M62" i="267"/>
  <c r="N62" i="267" s="1"/>
  <c r="J62" i="267"/>
  <c r="I62" i="267"/>
  <c r="G62" i="267"/>
  <c r="H62" i="267" s="1"/>
  <c r="D62" i="267"/>
  <c r="C62" i="267"/>
  <c r="A62" i="267"/>
  <c r="B62" i="267" s="1"/>
  <c r="P61" i="267"/>
  <c r="O61" i="267"/>
  <c r="M61" i="267"/>
  <c r="N61" i="267" s="1"/>
  <c r="J61" i="267"/>
  <c r="I61" i="267"/>
  <c r="G61" i="267"/>
  <c r="H61" i="267" s="1"/>
  <c r="D61" i="267"/>
  <c r="C61" i="267"/>
  <c r="A61" i="267"/>
  <c r="B61" i="267" s="1"/>
  <c r="P60" i="267"/>
  <c r="O60" i="267"/>
  <c r="M60" i="267"/>
  <c r="N60" i="267" s="1"/>
  <c r="J60" i="267"/>
  <c r="I60" i="267"/>
  <c r="G60" i="267"/>
  <c r="H60" i="267" s="1"/>
  <c r="D60" i="267"/>
  <c r="C60" i="267"/>
  <c r="A60" i="267"/>
  <c r="B60" i="267" s="1"/>
  <c r="Q57" i="267"/>
  <c r="K57" i="267"/>
  <c r="E57" i="267"/>
  <c r="P54" i="267"/>
  <c r="O54" i="267"/>
  <c r="M54" i="267"/>
  <c r="N54" i="267" s="1"/>
  <c r="J54" i="267"/>
  <c r="I54" i="267"/>
  <c r="G54" i="267"/>
  <c r="H54" i="267" s="1"/>
  <c r="D54" i="267"/>
  <c r="C54" i="267"/>
  <c r="A54" i="267"/>
  <c r="B54" i="267" s="1"/>
  <c r="P53" i="267"/>
  <c r="O53" i="267"/>
  <c r="M53" i="267"/>
  <c r="N53" i="267" s="1"/>
  <c r="J53" i="267"/>
  <c r="I53" i="267"/>
  <c r="G53" i="267"/>
  <c r="H53" i="267" s="1"/>
  <c r="D53" i="267"/>
  <c r="C53" i="267"/>
  <c r="A53" i="267"/>
  <c r="B53" i="267" s="1"/>
  <c r="P52" i="267"/>
  <c r="O52" i="267"/>
  <c r="M52" i="267"/>
  <c r="N52" i="267" s="1"/>
  <c r="J52" i="267"/>
  <c r="I52" i="267"/>
  <c r="G52" i="267"/>
  <c r="H52" i="267" s="1"/>
  <c r="D52" i="267"/>
  <c r="C52" i="267"/>
  <c r="A52" i="267"/>
  <c r="B52" i="267" s="1"/>
  <c r="P51" i="267"/>
  <c r="O51" i="267"/>
  <c r="M51" i="267"/>
  <c r="N51" i="267" s="1"/>
  <c r="J51" i="267"/>
  <c r="I51" i="267"/>
  <c r="G51" i="267"/>
  <c r="H51" i="267" s="1"/>
  <c r="D51" i="267"/>
  <c r="C51" i="267"/>
  <c r="A51" i="267"/>
  <c r="B51" i="267" s="1"/>
  <c r="Q48" i="267"/>
  <c r="K48" i="267"/>
  <c r="E48" i="267"/>
  <c r="O46" i="267"/>
  <c r="I46" i="267"/>
  <c r="C46" i="267"/>
  <c r="P45" i="267"/>
  <c r="N107" i="267" s="1"/>
  <c r="N45" i="267"/>
  <c r="J45" i="267"/>
  <c r="H107" i="267" s="1"/>
  <c r="I107" i="267" s="1"/>
  <c r="H45" i="267"/>
  <c r="D45" i="267"/>
  <c r="B107" i="267" s="1"/>
  <c r="B45" i="267"/>
  <c r="N44" i="267"/>
  <c r="P44" i="267" s="1"/>
  <c r="H44" i="267"/>
  <c r="J44" i="267" s="1"/>
  <c r="B44" i="267"/>
  <c r="B102" i="267" s="1"/>
  <c r="B104" i="267" s="1"/>
  <c r="C104" i="267" s="1"/>
  <c r="N43" i="267"/>
  <c r="N98" i="267" s="1"/>
  <c r="N100" i="267" s="1"/>
  <c r="N101" i="267" s="1"/>
  <c r="P101" i="267" s="1"/>
  <c r="H43" i="267"/>
  <c r="H98" i="267" s="1"/>
  <c r="H100" i="267" s="1"/>
  <c r="H101" i="267" s="1"/>
  <c r="J101" i="267" s="1"/>
  <c r="B43" i="267"/>
  <c r="B98" i="267" s="1"/>
  <c r="B100" i="267" s="1"/>
  <c r="B101" i="267" s="1"/>
  <c r="D101" i="267" s="1"/>
  <c r="N42" i="267"/>
  <c r="P42" i="267" s="1"/>
  <c r="H42" i="267"/>
  <c r="J42" i="267" s="1"/>
  <c r="B42" i="267"/>
  <c r="B94" i="267" s="1"/>
  <c r="B96" i="267" s="1"/>
  <c r="N41" i="267"/>
  <c r="P41" i="267" s="1"/>
  <c r="H41" i="267"/>
  <c r="J41" i="267" s="1"/>
  <c r="B41" i="267"/>
  <c r="D41" i="267" s="1"/>
  <c r="N40" i="267"/>
  <c r="P40" i="267" s="1"/>
  <c r="H40" i="267"/>
  <c r="J40" i="267" s="1"/>
  <c r="B40" i="267"/>
  <c r="D40" i="267" s="1"/>
  <c r="N39" i="267"/>
  <c r="P39" i="267" s="1"/>
  <c r="H39" i="267"/>
  <c r="H74" i="267" s="1"/>
  <c r="B39" i="267"/>
  <c r="B74" i="267" s="1"/>
  <c r="N38" i="267"/>
  <c r="N82" i="267" s="1"/>
  <c r="H38" i="267"/>
  <c r="B38" i="267"/>
  <c r="B82" i="267" s="1"/>
  <c r="N37" i="267"/>
  <c r="N57" i="267" s="1"/>
  <c r="H37" i="267"/>
  <c r="H57" i="267" s="1"/>
  <c r="B37" i="267"/>
  <c r="B57" i="267" s="1"/>
  <c r="N36" i="267"/>
  <c r="N48" i="267" s="1"/>
  <c r="H36" i="267"/>
  <c r="H48" i="267" s="1"/>
  <c r="B36" i="267"/>
  <c r="D36" i="267" s="1"/>
  <c r="P34" i="267"/>
  <c r="J34" i="267"/>
  <c r="D34" i="267"/>
  <c r="C133" i="267" s="1"/>
  <c r="O112" i="254"/>
  <c r="I112" i="254"/>
  <c r="C112" i="254"/>
  <c r="P110" i="254"/>
  <c r="O110" i="254"/>
  <c r="J110" i="254"/>
  <c r="I110" i="254"/>
  <c r="D110" i="254"/>
  <c r="C110" i="254"/>
  <c r="P109" i="254"/>
  <c r="J109" i="254"/>
  <c r="D109" i="254"/>
  <c r="P108" i="254"/>
  <c r="J108" i="254"/>
  <c r="D108" i="254"/>
  <c r="P100" i="254"/>
  <c r="J100" i="254"/>
  <c r="D100" i="254"/>
  <c r="P87" i="254"/>
  <c r="O87" i="254"/>
  <c r="M87" i="254"/>
  <c r="N87" i="254" s="1"/>
  <c r="J87" i="254"/>
  <c r="I87" i="254"/>
  <c r="G87" i="254"/>
  <c r="H87" i="254" s="1"/>
  <c r="D87" i="254"/>
  <c r="C87" i="254"/>
  <c r="A87" i="254"/>
  <c r="B87" i="254" s="1"/>
  <c r="P86" i="254"/>
  <c r="O86" i="254"/>
  <c r="M86" i="254"/>
  <c r="N86" i="254" s="1"/>
  <c r="J86" i="254"/>
  <c r="I86" i="254"/>
  <c r="G86" i="254"/>
  <c r="H86" i="254" s="1"/>
  <c r="D86" i="254"/>
  <c r="C86" i="254"/>
  <c r="A86" i="254"/>
  <c r="B86" i="254" s="1"/>
  <c r="P85" i="254"/>
  <c r="O85" i="254"/>
  <c r="M85" i="254"/>
  <c r="N85" i="254" s="1"/>
  <c r="J85" i="254"/>
  <c r="I85" i="254"/>
  <c r="G85" i="254"/>
  <c r="H85" i="254" s="1"/>
  <c r="D85" i="254"/>
  <c r="C85" i="254"/>
  <c r="A85" i="254"/>
  <c r="B85" i="254" s="1"/>
  <c r="Q82" i="254"/>
  <c r="K82" i="254"/>
  <c r="E82" i="254"/>
  <c r="O79" i="254"/>
  <c r="M79" i="254"/>
  <c r="N79" i="254" s="1"/>
  <c r="I79" i="254"/>
  <c r="G79" i="254"/>
  <c r="H79" i="254" s="1"/>
  <c r="C79" i="254"/>
  <c r="A79" i="254"/>
  <c r="B79" i="254" s="1"/>
  <c r="O78" i="254"/>
  <c r="M78" i="254"/>
  <c r="N78" i="254" s="1"/>
  <c r="I78" i="254"/>
  <c r="G78" i="254"/>
  <c r="H78" i="254" s="1"/>
  <c r="C78" i="254"/>
  <c r="A78" i="254"/>
  <c r="B78" i="254" s="1"/>
  <c r="O77" i="254"/>
  <c r="M77" i="254"/>
  <c r="N77" i="254" s="1"/>
  <c r="I77" i="254"/>
  <c r="G77" i="254"/>
  <c r="H77" i="254" s="1"/>
  <c r="C77" i="254"/>
  <c r="A77" i="254"/>
  <c r="B77" i="254" s="1"/>
  <c r="Q74" i="254"/>
  <c r="K74" i="254"/>
  <c r="E74" i="254"/>
  <c r="P71" i="254"/>
  <c r="O71" i="254"/>
  <c r="M71" i="254"/>
  <c r="N71" i="254" s="1"/>
  <c r="J71" i="254"/>
  <c r="I71" i="254"/>
  <c r="G71" i="254"/>
  <c r="H71" i="254" s="1"/>
  <c r="C71" i="254"/>
  <c r="A71" i="254"/>
  <c r="B71" i="254" s="1"/>
  <c r="P70" i="254"/>
  <c r="O70" i="254"/>
  <c r="M70" i="254"/>
  <c r="N70" i="254" s="1"/>
  <c r="I70" i="254"/>
  <c r="G70" i="254"/>
  <c r="H70" i="254" s="1"/>
  <c r="C70" i="254"/>
  <c r="A70" i="254"/>
  <c r="B70" i="254" s="1"/>
  <c r="O69" i="254"/>
  <c r="M69" i="254"/>
  <c r="N69" i="254" s="1"/>
  <c r="I69" i="254"/>
  <c r="G69" i="254"/>
  <c r="H69" i="254" s="1"/>
  <c r="C69" i="254"/>
  <c r="A69" i="254"/>
  <c r="B69" i="254" s="1"/>
  <c r="O68" i="254"/>
  <c r="M68" i="254"/>
  <c r="N68" i="254" s="1"/>
  <c r="I68" i="254"/>
  <c r="G68" i="254"/>
  <c r="H68" i="254" s="1"/>
  <c r="C68" i="254"/>
  <c r="A68" i="254"/>
  <c r="B68" i="254" s="1"/>
  <c r="Q65" i="254"/>
  <c r="K65" i="254"/>
  <c r="E65" i="254"/>
  <c r="P62" i="254"/>
  <c r="O62" i="254"/>
  <c r="M62" i="254"/>
  <c r="N62" i="254" s="1"/>
  <c r="J62" i="254"/>
  <c r="I62" i="254"/>
  <c r="G62" i="254"/>
  <c r="H62" i="254" s="1"/>
  <c r="D62" i="254"/>
  <c r="C62" i="254"/>
  <c r="A62" i="254"/>
  <c r="B62" i="254" s="1"/>
  <c r="P61" i="254"/>
  <c r="O61" i="254"/>
  <c r="M61" i="254"/>
  <c r="N61" i="254" s="1"/>
  <c r="J61" i="254"/>
  <c r="I61" i="254"/>
  <c r="G61" i="254"/>
  <c r="H61" i="254" s="1"/>
  <c r="D61" i="254"/>
  <c r="C61" i="254"/>
  <c r="A61" i="254"/>
  <c r="B61" i="254" s="1"/>
  <c r="P60" i="254"/>
  <c r="O60" i="254"/>
  <c r="M60" i="254"/>
  <c r="N60" i="254" s="1"/>
  <c r="J60" i="254"/>
  <c r="I60" i="254"/>
  <c r="G60" i="254"/>
  <c r="H60" i="254" s="1"/>
  <c r="D60" i="254"/>
  <c r="C60" i="254"/>
  <c r="A60" i="254"/>
  <c r="B60" i="254" s="1"/>
  <c r="Q57" i="254"/>
  <c r="K57" i="254"/>
  <c r="E57" i="254"/>
  <c r="P54" i="254"/>
  <c r="O54" i="254"/>
  <c r="M54" i="254"/>
  <c r="N54" i="254" s="1"/>
  <c r="J54" i="254"/>
  <c r="I54" i="254"/>
  <c r="G54" i="254"/>
  <c r="H54" i="254" s="1"/>
  <c r="D54" i="254"/>
  <c r="C54" i="254"/>
  <c r="A54" i="254"/>
  <c r="B54" i="254" s="1"/>
  <c r="P53" i="254"/>
  <c r="O53" i="254"/>
  <c r="M53" i="254"/>
  <c r="N53" i="254" s="1"/>
  <c r="J53" i="254"/>
  <c r="I53" i="254"/>
  <c r="G53" i="254"/>
  <c r="H53" i="254" s="1"/>
  <c r="D53" i="254"/>
  <c r="C53" i="254"/>
  <c r="A53" i="254"/>
  <c r="B53" i="254" s="1"/>
  <c r="P52" i="254"/>
  <c r="O52" i="254"/>
  <c r="M52" i="254"/>
  <c r="N52" i="254" s="1"/>
  <c r="J52" i="254"/>
  <c r="I52" i="254"/>
  <c r="G52" i="254"/>
  <c r="H52" i="254" s="1"/>
  <c r="D52" i="254"/>
  <c r="C52" i="254"/>
  <c r="A52" i="254"/>
  <c r="B52" i="254" s="1"/>
  <c r="P51" i="254"/>
  <c r="O51" i="254"/>
  <c r="M51" i="254"/>
  <c r="N51" i="254" s="1"/>
  <c r="J51" i="254"/>
  <c r="I51" i="254"/>
  <c r="G51" i="254"/>
  <c r="H51" i="254" s="1"/>
  <c r="D51" i="254"/>
  <c r="C51" i="254"/>
  <c r="A51" i="254"/>
  <c r="B51" i="254" s="1"/>
  <c r="Q48" i="254"/>
  <c r="K48" i="254"/>
  <c r="E48" i="254"/>
  <c r="O46" i="254"/>
  <c r="I46" i="254"/>
  <c r="C46" i="254"/>
  <c r="P45" i="254"/>
  <c r="N107" i="254" s="1"/>
  <c r="N45" i="254"/>
  <c r="J45" i="254"/>
  <c r="H107" i="254" s="1"/>
  <c r="H45" i="254"/>
  <c r="D45" i="254"/>
  <c r="B107" i="254" s="1"/>
  <c r="C107" i="254" s="1"/>
  <c r="B45" i="254"/>
  <c r="N44" i="254"/>
  <c r="N102" i="254" s="1"/>
  <c r="N104" i="254" s="1"/>
  <c r="H44" i="254"/>
  <c r="J44" i="254" s="1"/>
  <c r="B44" i="254"/>
  <c r="D44" i="254" s="1"/>
  <c r="N43" i="254"/>
  <c r="N98" i="254" s="1"/>
  <c r="N100" i="254" s="1"/>
  <c r="N101" i="254" s="1"/>
  <c r="P101" i="254" s="1"/>
  <c r="H43" i="254"/>
  <c r="H98" i="254" s="1"/>
  <c r="H100" i="254" s="1"/>
  <c r="H101" i="254" s="1"/>
  <c r="J101" i="254" s="1"/>
  <c r="B43" i="254"/>
  <c r="D43" i="254" s="1"/>
  <c r="N42" i="254"/>
  <c r="N94" i="254" s="1"/>
  <c r="N96" i="254" s="1"/>
  <c r="H42" i="254"/>
  <c r="H94" i="254" s="1"/>
  <c r="H96" i="254" s="1"/>
  <c r="B42" i="254"/>
  <c r="D42" i="254" s="1"/>
  <c r="N41" i="254"/>
  <c r="P41" i="254" s="1"/>
  <c r="H41" i="254"/>
  <c r="J41" i="254" s="1"/>
  <c r="B41" i="254"/>
  <c r="D41" i="254" s="1"/>
  <c r="N40" i="254"/>
  <c r="P40" i="254" s="1"/>
  <c r="H40" i="254"/>
  <c r="J40" i="254" s="1"/>
  <c r="B40" i="254"/>
  <c r="D40" i="254" s="1"/>
  <c r="N39" i="254"/>
  <c r="P39" i="254" s="1"/>
  <c r="H39" i="254"/>
  <c r="J39" i="254" s="1"/>
  <c r="B39" i="254"/>
  <c r="B74" i="254" s="1"/>
  <c r="N38" i="254"/>
  <c r="N65" i="254" s="1"/>
  <c r="H38" i="254"/>
  <c r="H65" i="254" s="1"/>
  <c r="B38" i="254"/>
  <c r="D38" i="254" s="1"/>
  <c r="N37" i="254"/>
  <c r="P37" i="254" s="1"/>
  <c r="H37" i="254"/>
  <c r="H57" i="254" s="1"/>
  <c r="B37" i="254"/>
  <c r="D37" i="254" s="1"/>
  <c r="N36" i="254"/>
  <c r="N48" i="254" s="1"/>
  <c r="H36" i="254"/>
  <c r="J36" i="254" s="1"/>
  <c r="B36" i="254"/>
  <c r="P34" i="254"/>
  <c r="J34" i="254"/>
  <c r="D34" i="254"/>
  <c r="C133" i="254" s="1"/>
  <c r="O112" i="252"/>
  <c r="I112" i="252"/>
  <c r="C112" i="252"/>
  <c r="P110" i="252"/>
  <c r="O110" i="252"/>
  <c r="J110" i="252"/>
  <c r="I110" i="252"/>
  <c r="D110" i="252"/>
  <c r="C110" i="252"/>
  <c r="P109" i="252"/>
  <c r="J109" i="252"/>
  <c r="D109" i="252"/>
  <c r="P108" i="252"/>
  <c r="J108" i="252"/>
  <c r="D108" i="252"/>
  <c r="P100" i="252"/>
  <c r="J100" i="252"/>
  <c r="D100" i="252"/>
  <c r="P87" i="252"/>
  <c r="O87" i="252"/>
  <c r="M87" i="252"/>
  <c r="N87" i="252" s="1"/>
  <c r="J87" i="252"/>
  <c r="I87" i="252"/>
  <c r="G87" i="252"/>
  <c r="H87" i="252" s="1"/>
  <c r="D87" i="252"/>
  <c r="C87" i="252"/>
  <c r="A87" i="252"/>
  <c r="B87" i="252" s="1"/>
  <c r="P86" i="252"/>
  <c r="O86" i="252"/>
  <c r="M86" i="252"/>
  <c r="N86" i="252" s="1"/>
  <c r="J86" i="252"/>
  <c r="I86" i="252"/>
  <c r="G86" i="252"/>
  <c r="H86" i="252" s="1"/>
  <c r="D86" i="252"/>
  <c r="C86" i="252"/>
  <c r="A86" i="252"/>
  <c r="B86" i="252" s="1"/>
  <c r="P85" i="252"/>
  <c r="O85" i="252"/>
  <c r="M85" i="252"/>
  <c r="N85" i="252" s="1"/>
  <c r="J85" i="252"/>
  <c r="I85" i="252"/>
  <c r="G85" i="252"/>
  <c r="H85" i="252" s="1"/>
  <c r="D85" i="252"/>
  <c r="C85" i="252"/>
  <c r="A85" i="252"/>
  <c r="B85" i="252" s="1"/>
  <c r="Q82" i="252"/>
  <c r="K82" i="252"/>
  <c r="E82" i="252"/>
  <c r="O79" i="252"/>
  <c r="M79" i="252"/>
  <c r="N79" i="252" s="1"/>
  <c r="I79" i="252"/>
  <c r="G79" i="252"/>
  <c r="H79" i="252" s="1"/>
  <c r="C79" i="252"/>
  <c r="A79" i="252"/>
  <c r="B79" i="252" s="1"/>
  <c r="O78" i="252"/>
  <c r="M78" i="252"/>
  <c r="N78" i="252" s="1"/>
  <c r="I78" i="252"/>
  <c r="G78" i="252"/>
  <c r="H78" i="252" s="1"/>
  <c r="C78" i="252"/>
  <c r="A78" i="252"/>
  <c r="B78" i="252" s="1"/>
  <c r="O77" i="252"/>
  <c r="M77" i="252"/>
  <c r="N77" i="252" s="1"/>
  <c r="I77" i="252"/>
  <c r="G77" i="252"/>
  <c r="H77" i="252" s="1"/>
  <c r="C77" i="252"/>
  <c r="A77" i="252"/>
  <c r="B77" i="252" s="1"/>
  <c r="Q74" i="252"/>
  <c r="K74" i="252"/>
  <c r="E74" i="252"/>
  <c r="O71" i="252"/>
  <c r="M71" i="252"/>
  <c r="N71" i="252" s="1"/>
  <c r="J71" i="252"/>
  <c r="I71" i="252"/>
  <c r="G71" i="252"/>
  <c r="H71" i="252" s="1"/>
  <c r="D71" i="252"/>
  <c r="C71" i="252"/>
  <c r="A71" i="252"/>
  <c r="B71" i="252" s="1"/>
  <c r="O70" i="252"/>
  <c r="M70" i="252"/>
  <c r="N70" i="252" s="1"/>
  <c r="I70" i="252"/>
  <c r="G70" i="252"/>
  <c r="H70" i="252" s="1"/>
  <c r="D70" i="252"/>
  <c r="C70" i="252"/>
  <c r="A70" i="252"/>
  <c r="B70" i="252" s="1"/>
  <c r="O69" i="252"/>
  <c r="M69" i="252"/>
  <c r="N69" i="252" s="1"/>
  <c r="I69" i="252"/>
  <c r="G69" i="252"/>
  <c r="H69" i="252" s="1"/>
  <c r="C69" i="252"/>
  <c r="A69" i="252"/>
  <c r="B69" i="252" s="1"/>
  <c r="O68" i="252"/>
  <c r="M68" i="252"/>
  <c r="N68" i="252" s="1"/>
  <c r="I68" i="252"/>
  <c r="G68" i="252"/>
  <c r="H68" i="252" s="1"/>
  <c r="C68" i="252"/>
  <c r="A68" i="252"/>
  <c r="B68" i="252" s="1"/>
  <c r="Q65" i="252"/>
  <c r="K65" i="252"/>
  <c r="E65" i="252"/>
  <c r="P62" i="252"/>
  <c r="O62" i="252"/>
  <c r="M62" i="252"/>
  <c r="N62" i="252" s="1"/>
  <c r="J62" i="252"/>
  <c r="I62" i="252"/>
  <c r="G62" i="252"/>
  <c r="H62" i="252" s="1"/>
  <c r="D62" i="252"/>
  <c r="C62" i="252"/>
  <c r="A62" i="252"/>
  <c r="B62" i="252" s="1"/>
  <c r="P61" i="252"/>
  <c r="O61" i="252"/>
  <c r="M61" i="252"/>
  <c r="N61" i="252" s="1"/>
  <c r="J61" i="252"/>
  <c r="I61" i="252"/>
  <c r="G61" i="252"/>
  <c r="H61" i="252" s="1"/>
  <c r="D61" i="252"/>
  <c r="C61" i="252"/>
  <c r="A61" i="252"/>
  <c r="B61" i="252" s="1"/>
  <c r="P60" i="252"/>
  <c r="O60" i="252"/>
  <c r="M60" i="252"/>
  <c r="N60" i="252" s="1"/>
  <c r="J60" i="252"/>
  <c r="I60" i="252"/>
  <c r="G60" i="252"/>
  <c r="H60" i="252" s="1"/>
  <c r="D60" i="252"/>
  <c r="C60" i="252"/>
  <c r="A60" i="252"/>
  <c r="B60" i="252" s="1"/>
  <c r="Q57" i="252"/>
  <c r="K57" i="252"/>
  <c r="E57" i="252"/>
  <c r="P54" i="252"/>
  <c r="O54" i="252"/>
  <c r="M54" i="252"/>
  <c r="N54" i="252" s="1"/>
  <c r="J54" i="252"/>
  <c r="I54" i="252"/>
  <c r="G54" i="252"/>
  <c r="H54" i="252" s="1"/>
  <c r="D54" i="252"/>
  <c r="C54" i="252"/>
  <c r="A54" i="252"/>
  <c r="B54" i="252" s="1"/>
  <c r="P53" i="252"/>
  <c r="O53" i="252"/>
  <c r="M53" i="252"/>
  <c r="N53" i="252" s="1"/>
  <c r="J53" i="252"/>
  <c r="I53" i="252"/>
  <c r="G53" i="252"/>
  <c r="H53" i="252" s="1"/>
  <c r="D53" i="252"/>
  <c r="C53" i="252"/>
  <c r="A53" i="252"/>
  <c r="B53" i="252" s="1"/>
  <c r="P52" i="252"/>
  <c r="O52" i="252"/>
  <c r="M52" i="252"/>
  <c r="N52" i="252" s="1"/>
  <c r="J52" i="252"/>
  <c r="I52" i="252"/>
  <c r="G52" i="252"/>
  <c r="H52" i="252" s="1"/>
  <c r="D52" i="252"/>
  <c r="C52" i="252"/>
  <c r="A52" i="252"/>
  <c r="B52" i="252" s="1"/>
  <c r="P51" i="252"/>
  <c r="O51" i="252"/>
  <c r="M51" i="252"/>
  <c r="N51" i="252" s="1"/>
  <c r="J51" i="252"/>
  <c r="I51" i="252"/>
  <c r="G51" i="252"/>
  <c r="H51" i="252" s="1"/>
  <c r="D51" i="252"/>
  <c r="C51" i="252"/>
  <c r="A51" i="252"/>
  <c r="B51" i="252" s="1"/>
  <c r="Q48" i="252"/>
  <c r="K48" i="252"/>
  <c r="E48" i="252"/>
  <c r="O46" i="252"/>
  <c r="I46" i="252"/>
  <c r="C46" i="252"/>
  <c r="P45" i="252"/>
  <c r="N107" i="252" s="1"/>
  <c r="O107" i="252" s="1"/>
  <c r="N45" i="252"/>
  <c r="J45" i="252"/>
  <c r="H107" i="252" s="1"/>
  <c r="H45" i="252"/>
  <c r="D45" i="252"/>
  <c r="B107" i="252" s="1"/>
  <c r="B45" i="252"/>
  <c r="N44" i="252"/>
  <c r="P44" i="252" s="1"/>
  <c r="H44" i="252"/>
  <c r="J44" i="252" s="1"/>
  <c r="B44" i="252"/>
  <c r="D44" i="252" s="1"/>
  <c r="N43" i="252"/>
  <c r="P43" i="252" s="1"/>
  <c r="H43" i="252"/>
  <c r="H98" i="252" s="1"/>
  <c r="H100" i="252" s="1"/>
  <c r="H101" i="252" s="1"/>
  <c r="J101" i="252" s="1"/>
  <c r="B43" i="252"/>
  <c r="D43" i="252" s="1"/>
  <c r="N42" i="252"/>
  <c r="P42" i="252" s="1"/>
  <c r="H42" i="252"/>
  <c r="J42" i="252" s="1"/>
  <c r="B42" i="252"/>
  <c r="D42" i="252" s="1"/>
  <c r="N41" i="252"/>
  <c r="N90" i="252" s="1"/>
  <c r="N92" i="252" s="1"/>
  <c r="H41" i="252"/>
  <c r="H90" i="252" s="1"/>
  <c r="H92" i="252" s="1"/>
  <c r="B41" i="252"/>
  <c r="D41" i="252" s="1"/>
  <c r="N40" i="252"/>
  <c r="P40" i="252" s="1"/>
  <c r="H40" i="252"/>
  <c r="J40" i="252" s="1"/>
  <c r="B40" i="252"/>
  <c r="D40" i="252" s="1"/>
  <c r="N39" i="252"/>
  <c r="N74" i="252" s="1"/>
  <c r="H39" i="252"/>
  <c r="H74" i="252" s="1"/>
  <c r="B39" i="252"/>
  <c r="D39" i="252" s="1"/>
  <c r="N38" i="252"/>
  <c r="P38" i="252" s="1"/>
  <c r="H38" i="252"/>
  <c r="H82" i="252" s="1"/>
  <c r="B38" i="252"/>
  <c r="B65" i="252" s="1"/>
  <c r="N37" i="252"/>
  <c r="P37" i="252" s="1"/>
  <c r="H37" i="252"/>
  <c r="H57" i="252" s="1"/>
  <c r="B37" i="252"/>
  <c r="D37" i="252" s="1"/>
  <c r="N36" i="252"/>
  <c r="P36" i="252" s="1"/>
  <c r="H36" i="252"/>
  <c r="H48" i="252" s="1"/>
  <c r="B36" i="252"/>
  <c r="B48" i="252" s="1"/>
  <c r="P34" i="252"/>
  <c r="J34" i="252"/>
  <c r="D34" i="252"/>
  <c r="O112" i="250"/>
  <c r="I112" i="250"/>
  <c r="C112" i="250"/>
  <c r="P110" i="250"/>
  <c r="O110" i="250"/>
  <c r="J110" i="250"/>
  <c r="I110" i="250"/>
  <c r="D110" i="250"/>
  <c r="C110" i="250"/>
  <c r="P109" i="250"/>
  <c r="J109" i="250"/>
  <c r="D109" i="250"/>
  <c r="P108" i="250"/>
  <c r="J108" i="250"/>
  <c r="D108" i="250"/>
  <c r="P100" i="250"/>
  <c r="Q100" i="250" s="1"/>
  <c r="J100" i="250"/>
  <c r="D100" i="250"/>
  <c r="P87" i="250"/>
  <c r="O87" i="250"/>
  <c r="M87" i="250"/>
  <c r="N87" i="250" s="1"/>
  <c r="J87" i="250"/>
  <c r="I87" i="250"/>
  <c r="G87" i="250"/>
  <c r="H87" i="250" s="1"/>
  <c r="D87" i="250"/>
  <c r="C87" i="250"/>
  <c r="A87" i="250"/>
  <c r="B87" i="250" s="1"/>
  <c r="P86" i="250"/>
  <c r="O86" i="250"/>
  <c r="M86" i="250"/>
  <c r="N86" i="250" s="1"/>
  <c r="J86" i="250"/>
  <c r="I86" i="250"/>
  <c r="G86" i="250"/>
  <c r="H86" i="250" s="1"/>
  <c r="D86" i="250"/>
  <c r="C86" i="250"/>
  <c r="A86" i="250"/>
  <c r="B86" i="250" s="1"/>
  <c r="P85" i="250"/>
  <c r="O85" i="250"/>
  <c r="M85" i="250"/>
  <c r="N85" i="250" s="1"/>
  <c r="J85" i="250"/>
  <c r="I85" i="250"/>
  <c r="G85" i="250"/>
  <c r="H85" i="250" s="1"/>
  <c r="D85" i="250"/>
  <c r="C85" i="250"/>
  <c r="A85" i="250"/>
  <c r="B85" i="250" s="1"/>
  <c r="Q82" i="250"/>
  <c r="K82" i="250"/>
  <c r="E82" i="250"/>
  <c r="O79" i="250"/>
  <c r="M79" i="250"/>
  <c r="N79" i="250" s="1"/>
  <c r="I79" i="250"/>
  <c r="G79" i="250"/>
  <c r="H79" i="250" s="1"/>
  <c r="C79" i="250"/>
  <c r="A79" i="250"/>
  <c r="B79" i="250" s="1"/>
  <c r="O78" i="250"/>
  <c r="M78" i="250"/>
  <c r="N78" i="250" s="1"/>
  <c r="I78" i="250"/>
  <c r="G78" i="250"/>
  <c r="H78" i="250" s="1"/>
  <c r="C78" i="250"/>
  <c r="A78" i="250"/>
  <c r="B78" i="250" s="1"/>
  <c r="O77" i="250"/>
  <c r="M77" i="250"/>
  <c r="N77" i="250" s="1"/>
  <c r="I77" i="250"/>
  <c r="G77" i="250"/>
  <c r="H77" i="250" s="1"/>
  <c r="C77" i="250"/>
  <c r="A77" i="250"/>
  <c r="B77" i="250" s="1"/>
  <c r="Q74" i="250"/>
  <c r="K74" i="250"/>
  <c r="E74" i="250"/>
  <c r="P71" i="250"/>
  <c r="O71" i="250"/>
  <c r="M71" i="250"/>
  <c r="N71" i="250" s="1"/>
  <c r="I71" i="250"/>
  <c r="G71" i="250"/>
  <c r="H71" i="250" s="1"/>
  <c r="D71" i="250"/>
  <c r="C71" i="250"/>
  <c r="A71" i="250"/>
  <c r="B71" i="250" s="1"/>
  <c r="O70" i="250"/>
  <c r="M70" i="250"/>
  <c r="N70" i="250" s="1"/>
  <c r="I70" i="250"/>
  <c r="G70" i="250"/>
  <c r="H70" i="250" s="1"/>
  <c r="D70" i="250"/>
  <c r="C70" i="250"/>
  <c r="A70" i="250"/>
  <c r="B70" i="250" s="1"/>
  <c r="O69" i="250"/>
  <c r="M69" i="250"/>
  <c r="N69" i="250" s="1"/>
  <c r="I69" i="250"/>
  <c r="G69" i="250"/>
  <c r="H69" i="250" s="1"/>
  <c r="C69" i="250"/>
  <c r="A69" i="250"/>
  <c r="B69" i="250" s="1"/>
  <c r="O68" i="250"/>
  <c r="M68" i="250"/>
  <c r="N68" i="250" s="1"/>
  <c r="I68" i="250"/>
  <c r="G68" i="250"/>
  <c r="H68" i="250" s="1"/>
  <c r="C68" i="250"/>
  <c r="A68" i="250"/>
  <c r="B68" i="250" s="1"/>
  <c r="Q65" i="250"/>
  <c r="K65" i="250"/>
  <c r="E65" i="250"/>
  <c r="P62" i="250"/>
  <c r="O62" i="250"/>
  <c r="M62" i="250"/>
  <c r="N62" i="250" s="1"/>
  <c r="J62" i="250"/>
  <c r="I62" i="250"/>
  <c r="G62" i="250"/>
  <c r="H62" i="250" s="1"/>
  <c r="D62" i="250"/>
  <c r="C62" i="250"/>
  <c r="A62" i="250"/>
  <c r="B62" i="250" s="1"/>
  <c r="P61" i="250"/>
  <c r="O61" i="250"/>
  <c r="M61" i="250"/>
  <c r="N61" i="250" s="1"/>
  <c r="J61" i="250"/>
  <c r="I61" i="250"/>
  <c r="G61" i="250"/>
  <c r="H61" i="250" s="1"/>
  <c r="D61" i="250"/>
  <c r="C61" i="250"/>
  <c r="A61" i="250"/>
  <c r="B61" i="250" s="1"/>
  <c r="P60" i="250"/>
  <c r="O60" i="250"/>
  <c r="M60" i="250"/>
  <c r="N60" i="250" s="1"/>
  <c r="J60" i="250"/>
  <c r="I60" i="250"/>
  <c r="G60" i="250"/>
  <c r="H60" i="250" s="1"/>
  <c r="D60" i="250"/>
  <c r="C60" i="250"/>
  <c r="A60" i="250"/>
  <c r="B60" i="250" s="1"/>
  <c r="Q57" i="250"/>
  <c r="K57" i="250"/>
  <c r="E57" i="250"/>
  <c r="P54" i="250"/>
  <c r="O54" i="250"/>
  <c r="M54" i="250"/>
  <c r="N54" i="250" s="1"/>
  <c r="J54" i="250"/>
  <c r="I54" i="250"/>
  <c r="G54" i="250"/>
  <c r="H54" i="250" s="1"/>
  <c r="D54" i="250"/>
  <c r="C54" i="250"/>
  <c r="A54" i="250"/>
  <c r="B54" i="250" s="1"/>
  <c r="P53" i="250"/>
  <c r="O53" i="250"/>
  <c r="M53" i="250"/>
  <c r="N53" i="250" s="1"/>
  <c r="J53" i="250"/>
  <c r="I53" i="250"/>
  <c r="G53" i="250"/>
  <c r="H53" i="250" s="1"/>
  <c r="D53" i="250"/>
  <c r="C53" i="250"/>
  <c r="A53" i="250"/>
  <c r="B53" i="250" s="1"/>
  <c r="P52" i="250"/>
  <c r="O52" i="250"/>
  <c r="M52" i="250"/>
  <c r="N52" i="250" s="1"/>
  <c r="J52" i="250"/>
  <c r="I52" i="250"/>
  <c r="G52" i="250"/>
  <c r="H52" i="250" s="1"/>
  <c r="D52" i="250"/>
  <c r="C52" i="250"/>
  <c r="A52" i="250"/>
  <c r="B52" i="250" s="1"/>
  <c r="P51" i="250"/>
  <c r="O51" i="250"/>
  <c r="M51" i="250"/>
  <c r="N51" i="250" s="1"/>
  <c r="J51" i="250"/>
  <c r="I51" i="250"/>
  <c r="G51" i="250"/>
  <c r="H51" i="250" s="1"/>
  <c r="D51" i="250"/>
  <c r="C51" i="250"/>
  <c r="A51" i="250"/>
  <c r="B51" i="250" s="1"/>
  <c r="Q48" i="250"/>
  <c r="K48" i="250"/>
  <c r="E48" i="250"/>
  <c r="O46" i="250"/>
  <c r="I46" i="250"/>
  <c r="C46" i="250"/>
  <c r="P45" i="250"/>
  <c r="N107" i="250" s="1"/>
  <c r="N45" i="250"/>
  <c r="J45" i="250"/>
  <c r="H107" i="250" s="1"/>
  <c r="H45" i="250"/>
  <c r="D45" i="250"/>
  <c r="B107" i="250" s="1"/>
  <c r="B108" i="250" s="1"/>
  <c r="C108" i="250" s="1"/>
  <c r="B45" i="250"/>
  <c r="N44" i="250"/>
  <c r="P44" i="250" s="1"/>
  <c r="H44" i="250"/>
  <c r="J44" i="250" s="1"/>
  <c r="B44" i="250"/>
  <c r="B102" i="250" s="1"/>
  <c r="B104" i="250" s="1"/>
  <c r="N43" i="250"/>
  <c r="P43" i="250" s="1"/>
  <c r="H43" i="250"/>
  <c r="H98" i="250" s="1"/>
  <c r="H100" i="250" s="1"/>
  <c r="H101" i="250" s="1"/>
  <c r="J101" i="250" s="1"/>
  <c r="B43" i="250"/>
  <c r="B98" i="250" s="1"/>
  <c r="B100" i="250" s="1"/>
  <c r="B101" i="250" s="1"/>
  <c r="D101" i="250" s="1"/>
  <c r="N42" i="250"/>
  <c r="N94" i="250" s="1"/>
  <c r="N96" i="250" s="1"/>
  <c r="H42" i="250"/>
  <c r="H94" i="250" s="1"/>
  <c r="H96" i="250" s="1"/>
  <c r="B42" i="250"/>
  <c r="B94" i="250" s="1"/>
  <c r="B96" i="250" s="1"/>
  <c r="N41" i="250"/>
  <c r="N90" i="250" s="1"/>
  <c r="N92" i="250" s="1"/>
  <c r="H41" i="250"/>
  <c r="H90" i="250" s="1"/>
  <c r="H92" i="250" s="1"/>
  <c r="B41" i="250"/>
  <c r="B90" i="250" s="1"/>
  <c r="N40" i="250"/>
  <c r="P40" i="250" s="1"/>
  <c r="H40" i="250"/>
  <c r="J40" i="250" s="1"/>
  <c r="B40" i="250"/>
  <c r="D40" i="250" s="1"/>
  <c r="N39" i="250"/>
  <c r="P39" i="250" s="1"/>
  <c r="H39" i="250"/>
  <c r="H74" i="250" s="1"/>
  <c r="B39" i="250"/>
  <c r="B74" i="250" s="1"/>
  <c r="N38" i="250"/>
  <c r="P38" i="250" s="1"/>
  <c r="H38" i="250"/>
  <c r="H82" i="250" s="1"/>
  <c r="B38" i="250"/>
  <c r="B65" i="250" s="1"/>
  <c r="N37" i="250"/>
  <c r="P37" i="250" s="1"/>
  <c r="H37" i="250"/>
  <c r="H57" i="250" s="1"/>
  <c r="B37" i="250"/>
  <c r="B57" i="250" s="1"/>
  <c r="N36" i="250"/>
  <c r="N48" i="250" s="1"/>
  <c r="H36" i="250"/>
  <c r="H48" i="250" s="1"/>
  <c r="B36" i="250"/>
  <c r="B48" i="250" s="1"/>
  <c r="P34" i="250"/>
  <c r="J34" i="250"/>
  <c r="D34" i="250"/>
  <c r="O112" i="237"/>
  <c r="I112" i="237"/>
  <c r="C112" i="237"/>
  <c r="P110" i="237"/>
  <c r="O110" i="237"/>
  <c r="J110" i="237"/>
  <c r="I110" i="237"/>
  <c r="D110" i="237"/>
  <c r="C110" i="237"/>
  <c r="P109" i="237"/>
  <c r="J109" i="237"/>
  <c r="D109" i="237"/>
  <c r="P108" i="237"/>
  <c r="J108" i="237"/>
  <c r="D108" i="237"/>
  <c r="P100" i="237"/>
  <c r="J100" i="237"/>
  <c r="D100" i="237"/>
  <c r="P87" i="237"/>
  <c r="O87" i="237"/>
  <c r="M87" i="237"/>
  <c r="N87" i="237" s="1"/>
  <c r="I87" i="237"/>
  <c r="G87" i="237"/>
  <c r="H87" i="237" s="1"/>
  <c r="C87" i="237"/>
  <c r="A87" i="237"/>
  <c r="B87" i="237" s="1"/>
  <c r="P86" i="237"/>
  <c r="O86" i="237"/>
  <c r="M86" i="237"/>
  <c r="N86" i="237" s="1"/>
  <c r="I86" i="237"/>
  <c r="G86" i="237"/>
  <c r="H86" i="237" s="1"/>
  <c r="C86" i="237"/>
  <c r="A86" i="237"/>
  <c r="B86" i="237" s="1"/>
  <c r="P85" i="237"/>
  <c r="O85" i="237"/>
  <c r="M85" i="237"/>
  <c r="N85" i="237" s="1"/>
  <c r="I85" i="237"/>
  <c r="G85" i="237"/>
  <c r="H85" i="237" s="1"/>
  <c r="C85" i="237"/>
  <c r="A85" i="237"/>
  <c r="B85" i="237" s="1"/>
  <c r="Q82" i="237"/>
  <c r="K82" i="237"/>
  <c r="E82" i="237"/>
  <c r="O79" i="237"/>
  <c r="M79" i="237"/>
  <c r="N79" i="237" s="1"/>
  <c r="I79" i="237"/>
  <c r="G79" i="237"/>
  <c r="H79" i="237" s="1"/>
  <c r="C79" i="237"/>
  <c r="A79" i="237"/>
  <c r="B79" i="237" s="1"/>
  <c r="O78" i="237"/>
  <c r="M78" i="237"/>
  <c r="N78" i="237" s="1"/>
  <c r="I78" i="237"/>
  <c r="G78" i="237"/>
  <c r="H78" i="237" s="1"/>
  <c r="C78" i="237"/>
  <c r="A78" i="237"/>
  <c r="B78" i="237" s="1"/>
  <c r="O77" i="237"/>
  <c r="M77" i="237"/>
  <c r="N77" i="237" s="1"/>
  <c r="I77" i="237"/>
  <c r="G77" i="237"/>
  <c r="H77" i="237" s="1"/>
  <c r="C77" i="237"/>
  <c r="A77" i="237"/>
  <c r="B77" i="237" s="1"/>
  <c r="Q74" i="237"/>
  <c r="K74" i="237"/>
  <c r="E74" i="237"/>
  <c r="P71" i="237"/>
  <c r="O71" i="237"/>
  <c r="M71" i="237"/>
  <c r="N71" i="237" s="1"/>
  <c r="J71" i="237"/>
  <c r="I71" i="237"/>
  <c r="G71" i="237"/>
  <c r="H71" i="237" s="1"/>
  <c r="C71" i="237"/>
  <c r="A71" i="237"/>
  <c r="B71" i="237" s="1"/>
  <c r="O70" i="237"/>
  <c r="M70" i="237"/>
  <c r="N70" i="237" s="1"/>
  <c r="J70" i="237"/>
  <c r="I70" i="237"/>
  <c r="G70" i="237"/>
  <c r="H70" i="237" s="1"/>
  <c r="C70" i="237"/>
  <c r="A70" i="237"/>
  <c r="B70" i="237" s="1"/>
  <c r="O69" i="237"/>
  <c r="M69" i="237"/>
  <c r="N69" i="237" s="1"/>
  <c r="I69" i="237"/>
  <c r="G69" i="237"/>
  <c r="H69" i="237" s="1"/>
  <c r="C69" i="237"/>
  <c r="A69" i="237"/>
  <c r="B69" i="237" s="1"/>
  <c r="O68" i="237"/>
  <c r="M68" i="237"/>
  <c r="N68" i="237" s="1"/>
  <c r="I68" i="237"/>
  <c r="G68" i="237"/>
  <c r="H68" i="237" s="1"/>
  <c r="C68" i="237"/>
  <c r="A68" i="237"/>
  <c r="B68" i="237" s="1"/>
  <c r="Q65" i="237"/>
  <c r="K65" i="237"/>
  <c r="E65" i="237"/>
  <c r="P62" i="237"/>
  <c r="O62" i="237"/>
  <c r="M62" i="237"/>
  <c r="N62" i="237" s="1"/>
  <c r="J62" i="237"/>
  <c r="I62" i="237"/>
  <c r="G62" i="237"/>
  <c r="H62" i="237" s="1"/>
  <c r="D62" i="237"/>
  <c r="C62" i="237"/>
  <c r="A62" i="237"/>
  <c r="B62" i="237" s="1"/>
  <c r="P61" i="237"/>
  <c r="O61" i="237"/>
  <c r="M61" i="237"/>
  <c r="N61" i="237" s="1"/>
  <c r="J61" i="237"/>
  <c r="I61" i="237"/>
  <c r="G61" i="237"/>
  <c r="H61" i="237" s="1"/>
  <c r="D61" i="237"/>
  <c r="C61" i="237"/>
  <c r="A61" i="237"/>
  <c r="B61" i="237" s="1"/>
  <c r="P60" i="237"/>
  <c r="O60" i="237"/>
  <c r="M60" i="237"/>
  <c r="N60" i="237" s="1"/>
  <c r="J60" i="237"/>
  <c r="I60" i="237"/>
  <c r="G60" i="237"/>
  <c r="H60" i="237" s="1"/>
  <c r="D60" i="237"/>
  <c r="C60" i="237"/>
  <c r="A60" i="237"/>
  <c r="B60" i="237" s="1"/>
  <c r="Q57" i="237"/>
  <c r="K57" i="237"/>
  <c r="E57" i="237"/>
  <c r="P54" i="237"/>
  <c r="O54" i="237"/>
  <c r="M54" i="237"/>
  <c r="N54" i="237" s="1"/>
  <c r="J54" i="237"/>
  <c r="I54" i="237"/>
  <c r="G54" i="237"/>
  <c r="H54" i="237" s="1"/>
  <c r="D54" i="237"/>
  <c r="C54" i="237"/>
  <c r="A54" i="237"/>
  <c r="B54" i="237" s="1"/>
  <c r="P53" i="237"/>
  <c r="O53" i="237"/>
  <c r="M53" i="237"/>
  <c r="N53" i="237" s="1"/>
  <c r="J53" i="237"/>
  <c r="I53" i="237"/>
  <c r="G53" i="237"/>
  <c r="H53" i="237" s="1"/>
  <c r="D53" i="237"/>
  <c r="C53" i="237"/>
  <c r="A53" i="237"/>
  <c r="B53" i="237" s="1"/>
  <c r="P52" i="237"/>
  <c r="O52" i="237"/>
  <c r="M52" i="237"/>
  <c r="N52" i="237" s="1"/>
  <c r="J52" i="237"/>
  <c r="I52" i="237"/>
  <c r="G52" i="237"/>
  <c r="H52" i="237" s="1"/>
  <c r="D52" i="237"/>
  <c r="C52" i="237"/>
  <c r="A52" i="237"/>
  <c r="B52" i="237" s="1"/>
  <c r="P51" i="237"/>
  <c r="O51" i="237"/>
  <c r="M51" i="237"/>
  <c r="N51" i="237" s="1"/>
  <c r="J51" i="237"/>
  <c r="I51" i="237"/>
  <c r="G51" i="237"/>
  <c r="H51" i="237" s="1"/>
  <c r="D51" i="237"/>
  <c r="C51" i="237"/>
  <c r="A51" i="237"/>
  <c r="B51" i="237" s="1"/>
  <c r="Q48" i="237"/>
  <c r="K48" i="237"/>
  <c r="E48" i="237"/>
  <c r="O46" i="237"/>
  <c r="I46" i="237"/>
  <c r="C46" i="237"/>
  <c r="P45" i="237"/>
  <c r="N107" i="237" s="1"/>
  <c r="N45" i="237"/>
  <c r="J45" i="237"/>
  <c r="H107" i="237" s="1"/>
  <c r="H45" i="237"/>
  <c r="D45" i="237"/>
  <c r="B107" i="237" s="1"/>
  <c r="B45" i="237"/>
  <c r="N44" i="237"/>
  <c r="N102" i="237" s="1"/>
  <c r="N104" i="237" s="1"/>
  <c r="H44" i="237"/>
  <c r="H102" i="237" s="1"/>
  <c r="H104" i="237" s="1"/>
  <c r="B44" i="237"/>
  <c r="B102" i="237" s="1"/>
  <c r="B104" i="237" s="1"/>
  <c r="N43" i="237"/>
  <c r="N98" i="237" s="1"/>
  <c r="N100" i="237" s="1"/>
  <c r="N101" i="237" s="1"/>
  <c r="P101" i="237" s="1"/>
  <c r="H43" i="237"/>
  <c r="H98" i="237" s="1"/>
  <c r="H100" i="237" s="1"/>
  <c r="H101" i="237" s="1"/>
  <c r="J101" i="237" s="1"/>
  <c r="B43" i="237"/>
  <c r="D43" i="237" s="1"/>
  <c r="N42" i="237"/>
  <c r="N94" i="237" s="1"/>
  <c r="N96" i="237" s="1"/>
  <c r="H42" i="237"/>
  <c r="H94" i="237" s="1"/>
  <c r="H96" i="237" s="1"/>
  <c r="B42" i="237"/>
  <c r="B94" i="237" s="1"/>
  <c r="B96" i="237" s="1"/>
  <c r="N41" i="237"/>
  <c r="P41" i="237" s="1"/>
  <c r="H41" i="237"/>
  <c r="J41" i="237" s="1"/>
  <c r="B41" i="237"/>
  <c r="B90" i="237" s="1"/>
  <c r="B92" i="237" s="1"/>
  <c r="N40" i="237"/>
  <c r="P40" i="237" s="1"/>
  <c r="H40" i="237"/>
  <c r="J40" i="237" s="1"/>
  <c r="B40" i="237"/>
  <c r="D40" i="237" s="1"/>
  <c r="N39" i="237"/>
  <c r="P39" i="237" s="1"/>
  <c r="H39" i="237"/>
  <c r="H74" i="237" s="1"/>
  <c r="B39" i="237"/>
  <c r="B74" i="237" s="1"/>
  <c r="N38" i="237"/>
  <c r="N65" i="237" s="1"/>
  <c r="H38" i="237"/>
  <c r="H65" i="237" s="1"/>
  <c r="B38" i="237"/>
  <c r="B82" i="237" s="1"/>
  <c r="N37" i="237"/>
  <c r="N57" i="237" s="1"/>
  <c r="H37" i="237"/>
  <c r="H57" i="237" s="1"/>
  <c r="B37" i="237"/>
  <c r="D37" i="237" s="1"/>
  <c r="N36" i="237"/>
  <c r="N48" i="237" s="1"/>
  <c r="H36" i="237"/>
  <c r="J36" i="237" s="1"/>
  <c r="B36" i="237"/>
  <c r="B48" i="237" s="1"/>
  <c r="P34" i="237"/>
  <c r="O133" i="237" s="1"/>
  <c r="J34" i="237"/>
  <c r="I133" i="237" s="1"/>
  <c r="D34" i="237"/>
  <c r="B168" i="248"/>
  <c r="B148" i="248"/>
  <c r="B147" i="248"/>
  <c r="B145" i="248"/>
  <c r="B143" i="248"/>
  <c r="B142" i="248"/>
  <c r="B141" i="248"/>
  <c r="B139" i="248"/>
  <c r="B138" i="248"/>
  <c r="O112" i="248"/>
  <c r="I112" i="248"/>
  <c r="C112" i="248"/>
  <c r="P110" i="248"/>
  <c r="O110" i="248"/>
  <c r="J110" i="248"/>
  <c r="I110" i="248"/>
  <c r="D110" i="248"/>
  <c r="C110" i="248"/>
  <c r="P109" i="248"/>
  <c r="J109" i="248"/>
  <c r="D109" i="248"/>
  <c r="P108" i="248"/>
  <c r="J108" i="248"/>
  <c r="D108" i="248"/>
  <c r="P100" i="248"/>
  <c r="J100" i="248"/>
  <c r="D100" i="248"/>
  <c r="P87" i="248"/>
  <c r="O87" i="248"/>
  <c r="M87" i="248"/>
  <c r="N87" i="248" s="1"/>
  <c r="J87" i="248"/>
  <c r="I87" i="248"/>
  <c r="G87" i="248"/>
  <c r="H87" i="248" s="1"/>
  <c r="D87" i="248"/>
  <c r="C87" i="248"/>
  <c r="A87" i="248"/>
  <c r="B87" i="248" s="1"/>
  <c r="P86" i="248"/>
  <c r="O86" i="248"/>
  <c r="M86" i="248"/>
  <c r="N86" i="248" s="1"/>
  <c r="J86" i="248"/>
  <c r="I86" i="248"/>
  <c r="G86" i="248"/>
  <c r="H86" i="248" s="1"/>
  <c r="D86" i="248"/>
  <c r="C86" i="248"/>
  <c r="A86" i="248"/>
  <c r="B86" i="248" s="1"/>
  <c r="P85" i="248"/>
  <c r="O85" i="248"/>
  <c r="M85" i="248"/>
  <c r="N85" i="248" s="1"/>
  <c r="J85" i="248"/>
  <c r="I85" i="248"/>
  <c r="G85" i="248"/>
  <c r="H85" i="248" s="1"/>
  <c r="D85" i="248"/>
  <c r="C85" i="248"/>
  <c r="A85" i="248"/>
  <c r="B85" i="248" s="1"/>
  <c r="Q82" i="248"/>
  <c r="K82" i="248"/>
  <c r="E82" i="248"/>
  <c r="O79" i="248"/>
  <c r="M79" i="248"/>
  <c r="N79" i="248" s="1"/>
  <c r="I79" i="248"/>
  <c r="G79" i="248"/>
  <c r="H79" i="248" s="1"/>
  <c r="C79" i="248"/>
  <c r="A79" i="248"/>
  <c r="B79" i="248" s="1"/>
  <c r="O78" i="248"/>
  <c r="M78" i="248"/>
  <c r="N78" i="248" s="1"/>
  <c r="I78" i="248"/>
  <c r="G78" i="248"/>
  <c r="H78" i="248" s="1"/>
  <c r="C78" i="248"/>
  <c r="A78" i="248"/>
  <c r="B78" i="248" s="1"/>
  <c r="O77" i="248"/>
  <c r="M77" i="248"/>
  <c r="N77" i="248" s="1"/>
  <c r="I77" i="248"/>
  <c r="G77" i="248"/>
  <c r="H77" i="248" s="1"/>
  <c r="C77" i="248"/>
  <c r="A77" i="248"/>
  <c r="B77" i="248" s="1"/>
  <c r="Q74" i="248"/>
  <c r="K74" i="248"/>
  <c r="E74" i="248"/>
  <c r="P71" i="248"/>
  <c r="O71" i="248"/>
  <c r="M71" i="248"/>
  <c r="N71" i="248" s="1"/>
  <c r="J71" i="248"/>
  <c r="I71" i="248"/>
  <c r="G71" i="248"/>
  <c r="H71" i="248" s="1"/>
  <c r="C71" i="248"/>
  <c r="A71" i="248"/>
  <c r="B71" i="248" s="1"/>
  <c r="P70" i="248"/>
  <c r="O70" i="248"/>
  <c r="M70" i="248"/>
  <c r="N70" i="248" s="1"/>
  <c r="I70" i="248"/>
  <c r="G70" i="248"/>
  <c r="H70" i="248" s="1"/>
  <c r="C70" i="248"/>
  <c r="A70" i="248"/>
  <c r="B70" i="248" s="1"/>
  <c r="O69" i="248"/>
  <c r="M69" i="248"/>
  <c r="N69" i="248" s="1"/>
  <c r="I69" i="248"/>
  <c r="G69" i="248"/>
  <c r="H69" i="248" s="1"/>
  <c r="C69" i="248"/>
  <c r="A69" i="248"/>
  <c r="B69" i="248" s="1"/>
  <c r="O68" i="248"/>
  <c r="M68" i="248"/>
  <c r="N68" i="248" s="1"/>
  <c r="I68" i="248"/>
  <c r="G68" i="248"/>
  <c r="H68" i="248" s="1"/>
  <c r="C68" i="248"/>
  <c r="A68" i="248"/>
  <c r="B68" i="248" s="1"/>
  <c r="Q65" i="248"/>
  <c r="K65" i="248"/>
  <c r="E65" i="248"/>
  <c r="P62" i="248"/>
  <c r="O62" i="248"/>
  <c r="M62" i="248"/>
  <c r="N62" i="248" s="1"/>
  <c r="J62" i="248"/>
  <c r="I62" i="248"/>
  <c r="G62" i="248"/>
  <c r="H62" i="248" s="1"/>
  <c r="D62" i="248"/>
  <c r="C62" i="248"/>
  <c r="A62" i="248"/>
  <c r="B62" i="248" s="1"/>
  <c r="P61" i="248"/>
  <c r="O61" i="248"/>
  <c r="M61" i="248"/>
  <c r="N61" i="248" s="1"/>
  <c r="J61" i="248"/>
  <c r="I61" i="248"/>
  <c r="G61" i="248"/>
  <c r="H61" i="248" s="1"/>
  <c r="D61" i="248"/>
  <c r="C61" i="248"/>
  <c r="A61" i="248"/>
  <c r="B61" i="248" s="1"/>
  <c r="P60" i="248"/>
  <c r="O60" i="248"/>
  <c r="M60" i="248"/>
  <c r="N60" i="248" s="1"/>
  <c r="J60" i="248"/>
  <c r="I60" i="248"/>
  <c r="G60" i="248"/>
  <c r="H60" i="248" s="1"/>
  <c r="D60" i="248"/>
  <c r="C60" i="248"/>
  <c r="A60" i="248"/>
  <c r="B60" i="248" s="1"/>
  <c r="Q57" i="248"/>
  <c r="K57" i="248"/>
  <c r="E57" i="248"/>
  <c r="P54" i="248"/>
  <c r="O54" i="248"/>
  <c r="M54" i="248"/>
  <c r="N54" i="248" s="1"/>
  <c r="J54" i="248"/>
  <c r="I54" i="248"/>
  <c r="G54" i="248"/>
  <c r="H54" i="248" s="1"/>
  <c r="D54" i="248"/>
  <c r="C54" i="248"/>
  <c r="A54" i="248"/>
  <c r="B54" i="248" s="1"/>
  <c r="P53" i="248"/>
  <c r="O53" i="248"/>
  <c r="M53" i="248"/>
  <c r="N53" i="248" s="1"/>
  <c r="J53" i="248"/>
  <c r="I53" i="248"/>
  <c r="G53" i="248"/>
  <c r="H53" i="248" s="1"/>
  <c r="D53" i="248"/>
  <c r="C53" i="248"/>
  <c r="A53" i="248"/>
  <c r="B53" i="248" s="1"/>
  <c r="P52" i="248"/>
  <c r="O52" i="248"/>
  <c r="M52" i="248"/>
  <c r="N52" i="248" s="1"/>
  <c r="J52" i="248"/>
  <c r="I52" i="248"/>
  <c r="G52" i="248"/>
  <c r="H52" i="248" s="1"/>
  <c r="D52" i="248"/>
  <c r="C52" i="248"/>
  <c r="A52" i="248"/>
  <c r="B52" i="248" s="1"/>
  <c r="P51" i="248"/>
  <c r="O51" i="248"/>
  <c r="M51" i="248"/>
  <c r="N51" i="248" s="1"/>
  <c r="J51" i="248"/>
  <c r="I51" i="248"/>
  <c r="G51" i="248"/>
  <c r="H51" i="248" s="1"/>
  <c r="D51" i="248"/>
  <c r="C51" i="248"/>
  <c r="A51" i="248"/>
  <c r="B51" i="248" s="1"/>
  <c r="Q48" i="248"/>
  <c r="K48" i="248"/>
  <c r="E48" i="248"/>
  <c r="O46" i="248"/>
  <c r="I46" i="248"/>
  <c r="C46" i="248"/>
  <c r="P45" i="248"/>
  <c r="N107" i="248" s="1"/>
  <c r="O107" i="248" s="1"/>
  <c r="N45" i="248"/>
  <c r="J45" i="248"/>
  <c r="H107" i="248" s="1"/>
  <c r="H45" i="248"/>
  <c r="D45" i="248"/>
  <c r="B107" i="248" s="1"/>
  <c r="C107" i="248" s="1"/>
  <c r="B45" i="248"/>
  <c r="N44" i="248"/>
  <c r="N102" i="248" s="1"/>
  <c r="N104" i="248" s="1"/>
  <c r="H44" i="248"/>
  <c r="H102" i="248" s="1"/>
  <c r="H104" i="248" s="1"/>
  <c r="B44" i="248"/>
  <c r="D44" i="248" s="1"/>
  <c r="N43" i="248"/>
  <c r="N98" i="248" s="1"/>
  <c r="N100" i="248" s="1"/>
  <c r="N101" i="248" s="1"/>
  <c r="P101" i="248" s="1"/>
  <c r="H43" i="248"/>
  <c r="H98" i="248" s="1"/>
  <c r="H100" i="248" s="1"/>
  <c r="H101" i="248" s="1"/>
  <c r="J101" i="248" s="1"/>
  <c r="B43" i="248"/>
  <c r="D43" i="248" s="1"/>
  <c r="N42" i="248"/>
  <c r="P42" i="248" s="1"/>
  <c r="H42" i="248"/>
  <c r="H94" i="248" s="1"/>
  <c r="H96" i="248" s="1"/>
  <c r="B42" i="248"/>
  <c r="D42" i="248" s="1"/>
  <c r="N41" i="248"/>
  <c r="N90" i="248" s="1"/>
  <c r="N92" i="248" s="1"/>
  <c r="H41" i="248"/>
  <c r="H90" i="248" s="1"/>
  <c r="H92" i="248" s="1"/>
  <c r="I92" i="248" s="1"/>
  <c r="B41" i="248"/>
  <c r="D41" i="248" s="1"/>
  <c r="N40" i="248"/>
  <c r="P40" i="248" s="1"/>
  <c r="H40" i="248"/>
  <c r="J40" i="248" s="1"/>
  <c r="B40" i="248"/>
  <c r="D40" i="248" s="1"/>
  <c r="N39" i="248"/>
  <c r="N74" i="248" s="1"/>
  <c r="H39" i="248"/>
  <c r="H74" i="248" s="1"/>
  <c r="B39" i="248"/>
  <c r="D39" i="248" s="1"/>
  <c r="N38" i="248"/>
  <c r="P38" i="248" s="1"/>
  <c r="H38" i="248"/>
  <c r="H82" i="248" s="1"/>
  <c r="B38" i="248"/>
  <c r="B65" i="248" s="1"/>
  <c r="N37" i="248"/>
  <c r="N57" i="248" s="1"/>
  <c r="H37" i="248"/>
  <c r="J37" i="248" s="1"/>
  <c r="B37" i="248"/>
  <c r="B57" i="248" s="1"/>
  <c r="N36" i="248"/>
  <c r="P36" i="248" s="1"/>
  <c r="H36" i="248"/>
  <c r="H48" i="248" s="1"/>
  <c r="B36" i="248"/>
  <c r="D36" i="248" s="1"/>
  <c r="P34" i="248"/>
  <c r="J34" i="248"/>
  <c r="D34" i="248"/>
  <c r="B20" i="248"/>
  <c r="B9" i="248"/>
  <c r="BN51" i="159"/>
  <c r="BM51" i="159"/>
  <c r="BL51" i="159"/>
  <c r="BK51" i="159"/>
  <c r="BJ51" i="159"/>
  <c r="BI51" i="159"/>
  <c r="BH51" i="159"/>
  <c r="BG51" i="159"/>
  <c r="BF51" i="159"/>
  <c r="BE51" i="159"/>
  <c r="BD51" i="159"/>
  <c r="BC51" i="159"/>
  <c r="BB51" i="159"/>
  <c r="BA51" i="159"/>
  <c r="AZ51" i="159"/>
  <c r="AY51" i="159"/>
  <c r="AX51" i="159"/>
  <c r="AW51" i="159"/>
  <c r="AV51" i="159"/>
  <c r="AT51" i="159"/>
  <c r="AS51" i="159"/>
  <c r="AR51" i="159"/>
  <c r="AQ51" i="159"/>
  <c r="AP51" i="159"/>
  <c r="AO51" i="159"/>
  <c r="AN51" i="159"/>
  <c r="AM51" i="159"/>
  <c r="AL51" i="159"/>
  <c r="AK51" i="159"/>
  <c r="AJ51" i="159"/>
  <c r="AI51" i="159"/>
  <c r="AH51" i="159"/>
  <c r="AG51" i="159"/>
  <c r="AF51" i="159"/>
  <c r="AE51" i="159"/>
  <c r="AD51" i="159"/>
  <c r="AC51" i="159"/>
  <c r="AB51" i="159"/>
  <c r="AA51" i="159"/>
  <c r="Z51" i="159"/>
  <c r="Y51" i="159"/>
  <c r="X51" i="159"/>
  <c r="W51" i="159"/>
  <c r="V51" i="159"/>
  <c r="U51" i="159"/>
  <c r="T51" i="159"/>
  <c r="S51" i="159"/>
  <c r="R51" i="159"/>
  <c r="Q51" i="159"/>
  <c r="P51" i="159"/>
  <c r="O51" i="159"/>
  <c r="N51" i="159"/>
  <c r="M51" i="159"/>
  <c r="L51" i="159"/>
  <c r="K51" i="159"/>
  <c r="J51" i="159"/>
  <c r="I51" i="159"/>
  <c r="H51" i="159"/>
  <c r="G51" i="159"/>
  <c r="F51" i="159"/>
  <c r="E51" i="159"/>
  <c r="D51" i="159"/>
  <c r="BN39" i="159"/>
  <c r="BM39" i="159"/>
  <c r="BL39" i="159"/>
  <c r="BK39" i="159"/>
  <c r="BJ39" i="159"/>
  <c r="BI39" i="159"/>
  <c r="BH39" i="159"/>
  <c r="BG39" i="159"/>
  <c r="BF39" i="159"/>
  <c r="BE39" i="159"/>
  <c r="BD39" i="159"/>
  <c r="BC39" i="159"/>
  <c r="BB39" i="159"/>
  <c r="BA39" i="159"/>
  <c r="AZ39" i="159"/>
  <c r="AY39" i="159"/>
  <c r="AX39" i="159"/>
  <c r="AW39" i="159"/>
  <c r="AV39" i="159"/>
  <c r="AT39" i="159"/>
  <c r="AS39" i="159"/>
  <c r="AR39" i="159"/>
  <c r="AQ39" i="159"/>
  <c r="AP39" i="159"/>
  <c r="AO39" i="159"/>
  <c r="AN39" i="159"/>
  <c r="AM39" i="159"/>
  <c r="AL39" i="159"/>
  <c r="AK39" i="159"/>
  <c r="AJ39" i="159"/>
  <c r="AI39" i="159"/>
  <c r="AH39" i="159"/>
  <c r="AG39" i="159"/>
  <c r="AF39" i="159"/>
  <c r="AE39" i="159"/>
  <c r="AD39" i="159"/>
  <c r="AC39" i="159"/>
  <c r="AB39" i="159"/>
  <c r="AA39" i="159"/>
  <c r="Z39" i="159"/>
  <c r="Y39" i="159"/>
  <c r="X39" i="159"/>
  <c r="W39" i="159"/>
  <c r="V39" i="159"/>
  <c r="U39" i="159"/>
  <c r="T39" i="159"/>
  <c r="S39" i="159"/>
  <c r="R39" i="159"/>
  <c r="Q39" i="159"/>
  <c r="P39" i="159"/>
  <c r="O39" i="159"/>
  <c r="N39" i="159"/>
  <c r="M39" i="159"/>
  <c r="L39" i="159"/>
  <c r="K39" i="159"/>
  <c r="J39" i="159"/>
  <c r="I39" i="159"/>
  <c r="H39" i="159"/>
  <c r="G39" i="159"/>
  <c r="F39" i="159"/>
  <c r="E39" i="159"/>
  <c r="D39" i="159"/>
  <c r="BN27" i="159"/>
  <c r="BM27" i="159"/>
  <c r="BL27" i="159"/>
  <c r="BK27" i="159"/>
  <c r="BJ27" i="159"/>
  <c r="BI27" i="159"/>
  <c r="BH27" i="159"/>
  <c r="BG27" i="159"/>
  <c r="BF27" i="159"/>
  <c r="BE27" i="159"/>
  <c r="BD27" i="159"/>
  <c r="BC27" i="159"/>
  <c r="BB27" i="159"/>
  <c r="BA27" i="159"/>
  <c r="AZ27" i="159"/>
  <c r="AY27" i="159"/>
  <c r="AX27" i="159"/>
  <c r="AW27" i="159"/>
  <c r="AV27" i="159"/>
  <c r="AT27" i="159"/>
  <c r="AS27" i="159"/>
  <c r="AR27" i="159"/>
  <c r="AQ27" i="159"/>
  <c r="AP27" i="159"/>
  <c r="AO27" i="159"/>
  <c r="AN27" i="159"/>
  <c r="AM27" i="159"/>
  <c r="AL27" i="159"/>
  <c r="AK27" i="159"/>
  <c r="AJ27" i="159"/>
  <c r="AI27" i="159"/>
  <c r="AH27" i="159"/>
  <c r="AG27" i="159"/>
  <c r="AF27" i="159"/>
  <c r="AE27" i="159"/>
  <c r="AD27" i="159"/>
  <c r="AC27" i="159"/>
  <c r="AB27" i="159"/>
  <c r="AA27" i="159"/>
  <c r="Z27" i="159"/>
  <c r="Y27" i="159"/>
  <c r="X27" i="159"/>
  <c r="W27" i="159"/>
  <c r="V27" i="159"/>
  <c r="U27" i="159"/>
  <c r="T27" i="159"/>
  <c r="S27" i="159"/>
  <c r="R27" i="159"/>
  <c r="Q27" i="159"/>
  <c r="P27" i="159"/>
  <c r="O27" i="159"/>
  <c r="N27" i="159"/>
  <c r="M27" i="159"/>
  <c r="L27" i="159"/>
  <c r="K27" i="159"/>
  <c r="J27" i="159"/>
  <c r="I27" i="159"/>
  <c r="H27" i="159"/>
  <c r="G27" i="159"/>
  <c r="F27" i="159"/>
  <c r="E27" i="159"/>
  <c r="D27" i="159"/>
  <c r="BN15" i="159"/>
  <c r="BM15" i="159"/>
  <c r="BL15" i="159"/>
  <c r="BK15" i="159"/>
  <c r="BJ15" i="159"/>
  <c r="BI15" i="159"/>
  <c r="BH15" i="159"/>
  <c r="BG15" i="159"/>
  <c r="BF15" i="159"/>
  <c r="BE15" i="159"/>
  <c r="BD15" i="159"/>
  <c r="BC15" i="159"/>
  <c r="BB15" i="159"/>
  <c r="BA15" i="159"/>
  <c r="AZ15" i="159"/>
  <c r="AY15" i="159"/>
  <c r="AX15" i="159"/>
  <c r="AW15" i="159"/>
  <c r="AV15" i="159"/>
  <c r="AT15" i="159"/>
  <c r="AS15" i="159"/>
  <c r="AR15" i="159"/>
  <c r="AQ15" i="159"/>
  <c r="AP15" i="159"/>
  <c r="AO15" i="159"/>
  <c r="AN15" i="159"/>
  <c r="AM15" i="159"/>
  <c r="AL15" i="159"/>
  <c r="AK15" i="159"/>
  <c r="AJ15" i="159"/>
  <c r="AI15" i="159"/>
  <c r="AH15" i="159"/>
  <c r="AG15" i="159"/>
  <c r="AF15" i="159"/>
  <c r="AE15" i="159"/>
  <c r="AD15" i="159"/>
  <c r="AC15" i="159"/>
  <c r="AB15" i="159"/>
  <c r="AA15" i="159"/>
  <c r="Z15" i="159"/>
  <c r="Y15" i="159"/>
  <c r="X15" i="159"/>
  <c r="W15" i="159"/>
  <c r="V15" i="159"/>
  <c r="U15" i="159"/>
  <c r="T15" i="159"/>
  <c r="S15" i="159"/>
  <c r="R15" i="159"/>
  <c r="Q15" i="159"/>
  <c r="P15" i="159"/>
  <c r="O15" i="159"/>
  <c r="N15" i="159"/>
  <c r="M15" i="159"/>
  <c r="L15" i="159"/>
  <c r="K15" i="159"/>
  <c r="J15" i="159"/>
  <c r="I15" i="159"/>
  <c r="H15" i="159"/>
  <c r="G15" i="159"/>
  <c r="F15" i="159"/>
  <c r="E15" i="159"/>
  <c r="D15" i="159"/>
  <c r="BN3" i="159"/>
  <c r="BM3" i="159"/>
  <c r="BL3" i="159"/>
  <c r="BK3" i="159"/>
  <c r="BJ3" i="159"/>
  <c r="BI3" i="159"/>
  <c r="BH3" i="159"/>
  <c r="BG3" i="159"/>
  <c r="BF3" i="159"/>
  <c r="BE3" i="159"/>
  <c r="BD3" i="159"/>
  <c r="BC3" i="159"/>
  <c r="BB3" i="159"/>
  <c r="BA3" i="159"/>
  <c r="AZ3" i="159"/>
  <c r="AY3" i="159"/>
  <c r="AX3" i="159"/>
  <c r="AW3" i="159"/>
  <c r="AV3" i="159"/>
  <c r="AU3" i="159"/>
  <c r="AT3" i="159"/>
  <c r="AS3" i="159"/>
  <c r="AR3" i="159"/>
  <c r="AQ3" i="159"/>
  <c r="AP3" i="159"/>
  <c r="AO3" i="159"/>
  <c r="AN3" i="159"/>
  <c r="AM3" i="159"/>
  <c r="AL3" i="159"/>
  <c r="AK3" i="159"/>
  <c r="AJ3" i="159"/>
  <c r="AI3" i="159"/>
  <c r="AH3" i="159"/>
  <c r="AG3" i="159"/>
  <c r="AF3" i="159"/>
  <c r="AE3" i="159"/>
  <c r="AD3" i="159"/>
  <c r="AC3" i="159"/>
  <c r="AB3" i="159"/>
  <c r="AA3" i="159"/>
  <c r="Z3" i="159"/>
  <c r="Y3" i="159"/>
  <c r="X3" i="159"/>
  <c r="W3" i="159"/>
  <c r="V3" i="159"/>
  <c r="U3" i="159"/>
  <c r="T3" i="159"/>
  <c r="S3" i="159"/>
  <c r="R3" i="159"/>
  <c r="Q3" i="159"/>
  <c r="P3" i="159"/>
  <c r="O3" i="159"/>
  <c r="N3" i="159"/>
  <c r="M3" i="159"/>
  <c r="L3" i="159"/>
  <c r="K3" i="159"/>
  <c r="J3" i="159"/>
  <c r="I3" i="159"/>
  <c r="H3" i="159"/>
  <c r="G3" i="159"/>
  <c r="F3" i="159"/>
  <c r="E3" i="159"/>
  <c r="D3" i="159"/>
  <c r="O47" i="178"/>
  <c r="Q46" i="178"/>
  <c r="O46" i="178"/>
  <c r="W45" i="178"/>
  <c r="V45" i="178"/>
  <c r="U45" i="178"/>
  <c r="T45" i="178"/>
  <c r="S45" i="178"/>
  <c r="R45" i="178"/>
  <c r="Q45" i="178"/>
  <c r="P45" i="178"/>
  <c r="O45" i="178"/>
  <c r="N45" i="178"/>
  <c r="M45" i="178"/>
  <c r="W44" i="178"/>
  <c r="V44" i="178"/>
  <c r="U44" i="178"/>
  <c r="T44" i="178"/>
  <c r="S44" i="178"/>
  <c r="R44" i="178"/>
  <c r="Q44" i="178"/>
  <c r="P44" i="178"/>
  <c r="O44" i="178"/>
  <c r="N44" i="178"/>
  <c r="M44" i="178"/>
  <c r="Z43" i="178"/>
  <c r="Y43" i="178"/>
  <c r="M43" i="178"/>
  <c r="Z42" i="178"/>
  <c r="Y42" i="178"/>
  <c r="M42" i="178"/>
  <c r="Z41" i="178"/>
  <c r="Y41" i="178"/>
  <c r="M41" i="178"/>
  <c r="Z40" i="178"/>
  <c r="Y40" i="178"/>
  <c r="M40" i="178"/>
  <c r="Z39" i="178"/>
  <c r="Y39" i="178"/>
  <c r="M39" i="178"/>
  <c r="W36" i="178"/>
  <c r="V36" i="178"/>
  <c r="U36" i="178"/>
  <c r="T36" i="178"/>
  <c r="S36" i="178"/>
  <c r="R36" i="178"/>
  <c r="P36" i="178"/>
  <c r="N36" i="178"/>
  <c r="M36" i="178"/>
  <c r="Z35" i="178"/>
  <c r="Y35" i="178"/>
  <c r="M35" i="178"/>
  <c r="Z34" i="178"/>
  <c r="Y34" i="178"/>
  <c r="M34" i="178"/>
  <c r="Z33" i="178"/>
  <c r="Y33" i="178"/>
  <c r="M33" i="178"/>
  <c r="Z32" i="178"/>
  <c r="Y32" i="178"/>
  <c r="M32" i="178"/>
  <c r="W30" i="178"/>
  <c r="V30" i="178"/>
  <c r="U30" i="178"/>
  <c r="T30" i="178"/>
  <c r="S30" i="178"/>
  <c r="R30" i="178"/>
  <c r="P30" i="178"/>
  <c r="N30" i="178"/>
  <c r="M30" i="178"/>
  <c r="Z29" i="178"/>
  <c r="Y29" i="178"/>
  <c r="M29" i="178"/>
  <c r="Z28" i="178"/>
  <c r="Y28" i="178"/>
  <c r="M28" i="178"/>
  <c r="Z27" i="178"/>
  <c r="Y27" i="178"/>
  <c r="M27" i="178"/>
  <c r="W25" i="178"/>
  <c r="V25" i="178"/>
  <c r="U25" i="178"/>
  <c r="T25" i="178"/>
  <c r="S25" i="178"/>
  <c r="R25" i="178"/>
  <c r="P25" i="178"/>
  <c r="N25" i="178"/>
  <c r="M25" i="178"/>
  <c r="Z24" i="178"/>
  <c r="Y24" i="178"/>
  <c r="M24" i="178"/>
  <c r="Z23" i="178"/>
  <c r="Y23" i="178"/>
  <c r="M23" i="178"/>
  <c r="W21" i="178"/>
  <c r="V21" i="178"/>
  <c r="U21" i="178"/>
  <c r="T21" i="178"/>
  <c r="S21" i="178"/>
  <c r="R21" i="178"/>
  <c r="P21" i="178"/>
  <c r="N21" i="178"/>
  <c r="M21" i="178"/>
  <c r="Z20" i="178"/>
  <c r="Y20" i="178"/>
  <c r="M20" i="178"/>
  <c r="Z19" i="178"/>
  <c r="Y19" i="178"/>
  <c r="M19" i="178"/>
  <c r="Z18" i="178"/>
  <c r="Y18" i="178"/>
  <c r="M18" i="178"/>
  <c r="W16" i="178"/>
  <c r="V16" i="178"/>
  <c r="U16" i="178"/>
  <c r="T16" i="178"/>
  <c r="S16" i="178"/>
  <c r="R16" i="178"/>
  <c r="Q16" i="178"/>
  <c r="P16" i="178"/>
  <c r="O16" i="178"/>
  <c r="N16" i="178"/>
  <c r="M16" i="178"/>
  <c r="Z15" i="178"/>
  <c r="Y15" i="178"/>
  <c r="M15" i="178"/>
  <c r="Z14" i="178"/>
  <c r="Y14" i="178"/>
  <c r="M14" i="178"/>
  <c r="W12" i="178"/>
  <c r="V12" i="178"/>
  <c r="U12" i="178"/>
  <c r="T12" i="178"/>
  <c r="S12" i="178"/>
  <c r="R12" i="178"/>
  <c r="P12" i="178"/>
  <c r="N12" i="178"/>
  <c r="M12" i="178"/>
  <c r="Z11" i="178"/>
  <c r="Y11" i="178"/>
  <c r="M11" i="178"/>
  <c r="W9" i="178"/>
  <c r="V9" i="178"/>
  <c r="U9" i="178"/>
  <c r="T9" i="178"/>
  <c r="S9" i="178"/>
  <c r="R9" i="178"/>
  <c r="Q9" i="178"/>
  <c r="P9" i="178"/>
  <c r="O9" i="178"/>
  <c r="N9" i="178"/>
  <c r="M9" i="178"/>
  <c r="Z8" i="178"/>
  <c r="Y8" i="178"/>
  <c r="M8" i="178"/>
  <c r="W6" i="178"/>
  <c r="V6" i="178"/>
  <c r="U6" i="178"/>
  <c r="T6" i="178"/>
  <c r="S6" i="178"/>
  <c r="R6" i="178"/>
  <c r="P6" i="178"/>
  <c r="N6" i="178"/>
  <c r="M6" i="178"/>
  <c r="Z5" i="178"/>
  <c r="Y5" i="178"/>
  <c r="M5" i="178"/>
  <c r="Z4" i="178"/>
  <c r="Y4" i="178"/>
  <c r="M4" i="178"/>
  <c r="Z3" i="178"/>
  <c r="Y3" i="178"/>
  <c r="M3" i="178"/>
  <c r="X59" i="236"/>
  <c r="W59" i="236"/>
  <c r="V59" i="236"/>
  <c r="U59" i="236"/>
  <c r="T59" i="236"/>
  <c r="S59" i="236"/>
  <c r="R59" i="236"/>
  <c r="Q59" i="236"/>
  <c r="X58" i="236"/>
  <c r="W58" i="236"/>
  <c r="V58" i="236"/>
  <c r="U58" i="236"/>
  <c r="T58" i="236"/>
  <c r="S58" i="236"/>
  <c r="R58" i="236"/>
  <c r="Q58" i="236"/>
  <c r="X57" i="236"/>
  <c r="W57" i="236"/>
  <c r="V57" i="236"/>
  <c r="U57" i="236"/>
  <c r="T57" i="236"/>
  <c r="S57" i="236"/>
  <c r="X56" i="236"/>
  <c r="W56" i="236"/>
  <c r="V56" i="236"/>
  <c r="U56" i="236"/>
  <c r="T56" i="236"/>
  <c r="S56" i="236"/>
  <c r="R56" i="236"/>
  <c r="Q56" i="236"/>
  <c r="X55" i="236"/>
  <c r="W55" i="236"/>
  <c r="V55" i="236"/>
  <c r="U55" i="236"/>
  <c r="T55" i="236"/>
  <c r="S55" i="236"/>
  <c r="X54" i="236"/>
  <c r="W54" i="236"/>
  <c r="V54" i="236"/>
  <c r="U54" i="236"/>
  <c r="T54" i="236"/>
  <c r="S54" i="236"/>
  <c r="R54" i="236"/>
  <c r="Q54" i="236"/>
  <c r="X53" i="236"/>
  <c r="W53" i="236"/>
  <c r="V53" i="236"/>
  <c r="U53" i="236"/>
  <c r="T53" i="236"/>
  <c r="S53" i="236"/>
  <c r="X52" i="236"/>
  <c r="W52" i="236"/>
  <c r="V52" i="236"/>
  <c r="U52" i="236"/>
  <c r="T52" i="236"/>
  <c r="S52" i="236"/>
  <c r="R52" i="236"/>
  <c r="Q52" i="236"/>
  <c r="X51" i="236"/>
  <c r="W51" i="236"/>
  <c r="V51" i="236"/>
  <c r="U51" i="236"/>
  <c r="T51" i="236"/>
  <c r="S51" i="236"/>
  <c r="Y50" i="236"/>
  <c r="X50" i="236"/>
  <c r="W50" i="236"/>
  <c r="V50" i="236"/>
  <c r="U50" i="236"/>
  <c r="T50" i="236"/>
  <c r="S50" i="236"/>
  <c r="R50" i="236"/>
  <c r="Q50" i="236"/>
  <c r="X49" i="236"/>
  <c r="W49" i="236"/>
  <c r="V49" i="236"/>
  <c r="U49" i="236"/>
  <c r="T49" i="236"/>
  <c r="S49" i="236"/>
  <c r="Z46" i="236"/>
  <c r="Y46" i="236"/>
  <c r="X46" i="236"/>
  <c r="W46" i="236"/>
  <c r="V46" i="236"/>
  <c r="U46" i="236"/>
  <c r="T46" i="236"/>
  <c r="S46" i="236"/>
  <c r="R46" i="236"/>
  <c r="Q46" i="236"/>
  <c r="Z45" i="236"/>
  <c r="Y45" i="236"/>
  <c r="X45" i="236"/>
  <c r="W45" i="236"/>
  <c r="V45" i="236"/>
  <c r="U45" i="236"/>
  <c r="T45" i="236"/>
  <c r="S45" i="236"/>
  <c r="R45" i="236"/>
  <c r="Q45" i="236"/>
  <c r="Z44" i="236"/>
  <c r="Y44" i="236"/>
  <c r="X44" i="236"/>
  <c r="W44" i="236"/>
  <c r="V44" i="236"/>
  <c r="U44" i="236"/>
  <c r="T44" i="236"/>
  <c r="S44" i="236"/>
  <c r="R44" i="236"/>
  <c r="Q44" i="236"/>
  <c r="Z43" i="236"/>
  <c r="Y43" i="236"/>
  <c r="X43" i="236"/>
  <c r="W43" i="236"/>
  <c r="V43" i="236"/>
  <c r="U43" i="236"/>
  <c r="T43" i="236"/>
  <c r="S43" i="236"/>
  <c r="R43" i="236"/>
  <c r="Q43" i="236"/>
  <c r="Z42" i="236"/>
  <c r="Y42" i="236"/>
  <c r="X42" i="236"/>
  <c r="W42" i="236"/>
  <c r="V42" i="236"/>
  <c r="U42" i="236"/>
  <c r="T42" i="236"/>
  <c r="S42" i="236"/>
  <c r="R42" i="236"/>
  <c r="Q42" i="236"/>
  <c r="Z41" i="236"/>
  <c r="Y41" i="236"/>
  <c r="X41" i="236"/>
  <c r="W41" i="236"/>
  <c r="V41" i="236"/>
  <c r="U41" i="236"/>
  <c r="T41" i="236"/>
  <c r="S41" i="236"/>
  <c r="R41" i="236"/>
  <c r="Q41" i="236"/>
  <c r="Z40" i="236"/>
  <c r="Y40" i="236"/>
  <c r="X40" i="236"/>
  <c r="W40" i="236"/>
  <c r="V40" i="236"/>
  <c r="U40" i="236"/>
  <c r="T40" i="236"/>
  <c r="S40" i="236"/>
  <c r="R40" i="236"/>
  <c r="Q40" i="236"/>
  <c r="Z39" i="236"/>
  <c r="Y39" i="236"/>
  <c r="X39" i="236"/>
  <c r="W39" i="236"/>
  <c r="V39" i="236"/>
  <c r="U39" i="236"/>
  <c r="T39" i="236"/>
  <c r="S39" i="236"/>
  <c r="R39" i="236"/>
  <c r="Q39" i="236"/>
  <c r="Z38" i="236"/>
  <c r="Y38" i="236"/>
  <c r="X38" i="236"/>
  <c r="W38" i="236"/>
  <c r="V38" i="236"/>
  <c r="U38" i="236"/>
  <c r="T38" i="236"/>
  <c r="S38" i="236"/>
  <c r="R38" i="236"/>
  <c r="Q38" i="236"/>
  <c r="P35" i="236"/>
  <c r="Z34" i="236"/>
  <c r="Y34" i="236"/>
  <c r="X34" i="236"/>
  <c r="W34" i="236"/>
  <c r="V34" i="236"/>
  <c r="U34" i="236"/>
  <c r="T34" i="236"/>
  <c r="S34" i="236"/>
  <c r="R34" i="236"/>
  <c r="Q34" i="236"/>
  <c r="P34" i="236"/>
  <c r="P33" i="236"/>
  <c r="Z31" i="236"/>
  <c r="Y31" i="236"/>
  <c r="X31" i="236"/>
  <c r="W31" i="236"/>
  <c r="V31" i="236"/>
  <c r="U31" i="236"/>
  <c r="T31" i="236"/>
  <c r="S31" i="236"/>
  <c r="R31" i="236"/>
  <c r="Q31" i="236"/>
  <c r="P31" i="236"/>
  <c r="P30" i="236"/>
  <c r="Z28" i="236"/>
  <c r="Y28" i="236"/>
  <c r="X28" i="236"/>
  <c r="W28" i="236"/>
  <c r="V28" i="236"/>
  <c r="U28" i="236"/>
  <c r="T28" i="236"/>
  <c r="S28" i="236"/>
  <c r="R28" i="236"/>
  <c r="Q28" i="236"/>
  <c r="P28" i="236"/>
  <c r="P27" i="236"/>
  <c r="P26" i="236"/>
  <c r="Z24" i="236"/>
  <c r="Y24" i="236"/>
  <c r="X24" i="236"/>
  <c r="W24" i="236"/>
  <c r="V24" i="236"/>
  <c r="U24" i="236"/>
  <c r="T24" i="236"/>
  <c r="S24" i="236"/>
  <c r="R24" i="236"/>
  <c r="Q24" i="236"/>
  <c r="P24" i="236"/>
  <c r="Z21" i="236"/>
  <c r="Y21" i="236"/>
  <c r="X21" i="236"/>
  <c r="W21" i="236"/>
  <c r="V21" i="236"/>
  <c r="U21" i="236"/>
  <c r="T21" i="236"/>
  <c r="S21" i="236"/>
  <c r="R21" i="236"/>
  <c r="Q21" i="236"/>
  <c r="P21" i="236"/>
  <c r="P20" i="236"/>
  <c r="Z18" i="236"/>
  <c r="Y18" i="236"/>
  <c r="X18" i="236"/>
  <c r="W18" i="236"/>
  <c r="V18" i="236"/>
  <c r="U18" i="236"/>
  <c r="T18" i="236"/>
  <c r="S18" i="236"/>
  <c r="R18" i="236"/>
  <c r="Q18" i="236"/>
  <c r="P18" i="236"/>
  <c r="Z15" i="236"/>
  <c r="Y15" i="236"/>
  <c r="X15" i="236"/>
  <c r="W15" i="236"/>
  <c r="V15" i="236"/>
  <c r="U15" i="236"/>
  <c r="T15" i="236"/>
  <c r="S15" i="236"/>
  <c r="R15" i="236"/>
  <c r="Q15" i="236"/>
  <c r="P15" i="236"/>
  <c r="P14" i="236"/>
  <c r="Z12" i="236"/>
  <c r="Y12" i="236"/>
  <c r="X12" i="236"/>
  <c r="W12" i="236"/>
  <c r="V12" i="236"/>
  <c r="U12" i="236"/>
  <c r="T12" i="236"/>
  <c r="S12" i="236"/>
  <c r="R12" i="236"/>
  <c r="Q12" i="236"/>
  <c r="P12" i="236"/>
  <c r="P11" i="236"/>
  <c r="Z9" i="236"/>
  <c r="Y9" i="236"/>
  <c r="X9" i="236"/>
  <c r="W9" i="236"/>
  <c r="V9" i="236"/>
  <c r="U9" i="236"/>
  <c r="T9" i="236"/>
  <c r="S9" i="236"/>
  <c r="R9" i="236"/>
  <c r="Q9" i="236"/>
  <c r="P9" i="236"/>
  <c r="P8" i="236"/>
  <c r="P7" i="236"/>
  <c r="P6" i="236"/>
  <c r="Z4" i="236"/>
  <c r="Y4" i="236"/>
  <c r="X4" i="236"/>
  <c r="W4" i="236"/>
  <c r="V4" i="236"/>
  <c r="U4" i="236"/>
  <c r="T4" i="236"/>
  <c r="S4" i="236"/>
  <c r="R4" i="236"/>
  <c r="Q4" i="236"/>
  <c r="P4" i="236"/>
  <c r="P3" i="236"/>
  <c r="D79" i="140"/>
  <c r="E79" i="140" s="1"/>
  <c r="F79" i="140" s="1"/>
  <c r="G79" i="140" s="1"/>
  <c r="H79" i="140" s="1"/>
  <c r="I79" i="140" s="1"/>
  <c r="J79" i="140" s="1"/>
  <c r="K79" i="140" s="1"/>
  <c r="L79" i="140" s="1"/>
  <c r="M79" i="140" s="1"/>
  <c r="N79" i="140" s="1"/>
  <c r="O79" i="140" s="1"/>
  <c r="P79" i="140" s="1"/>
  <c r="Q79" i="140" s="1"/>
  <c r="R79" i="140" s="1"/>
  <c r="S79" i="140" s="1"/>
  <c r="T79" i="140" s="1"/>
  <c r="U79" i="140" s="1"/>
  <c r="V79" i="140" s="1"/>
  <c r="W79" i="140" s="1"/>
  <c r="X79" i="140" s="1"/>
  <c r="Y79" i="140" s="1"/>
  <c r="Z79" i="140" s="1"/>
  <c r="AA79" i="140" s="1"/>
  <c r="AB79" i="140" s="1"/>
  <c r="AC79" i="140" s="1"/>
  <c r="AD79" i="140" s="1"/>
  <c r="AE79" i="140" s="1"/>
  <c r="AF79" i="140" s="1"/>
  <c r="AG79" i="140" s="1"/>
  <c r="AH79" i="140" s="1"/>
  <c r="AI79" i="140" s="1"/>
  <c r="AJ79" i="140" s="1"/>
  <c r="AK79" i="140" s="1"/>
  <c r="AL79" i="140" s="1"/>
  <c r="AM79" i="140" s="1"/>
  <c r="AN79" i="140" s="1"/>
  <c r="AO79" i="140" s="1"/>
  <c r="AP79" i="140" s="1"/>
  <c r="AQ79" i="140" s="1"/>
  <c r="AR79" i="140" s="1"/>
  <c r="AS79" i="140" s="1"/>
  <c r="AT79" i="140" s="1"/>
  <c r="L76" i="140"/>
  <c r="D76" i="140"/>
  <c r="F76" i="140" s="1"/>
  <c r="G76" i="140" s="1"/>
  <c r="I76" i="140" s="1"/>
  <c r="J76" i="140" s="1"/>
  <c r="L75" i="140"/>
  <c r="N4" i="274" s="1"/>
  <c r="D75" i="140"/>
  <c r="L74" i="140"/>
  <c r="N4" i="276" s="1"/>
  <c r="D74" i="140"/>
  <c r="L73" i="140"/>
  <c r="N4" i="279" s="1"/>
  <c r="D73" i="140"/>
  <c r="L72" i="140"/>
  <c r="N4" i="281" s="1"/>
  <c r="D72" i="140"/>
  <c r="L71" i="140"/>
  <c r="N4" i="284" s="1"/>
  <c r="D71" i="140"/>
  <c r="L70" i="140"/>
  <c r="N4" i="286" s="1"/>
  <c r="D70" i="140"/>
  <c r="L69" i="140"/>
  <c r="N4" i="288" s="1"/>
  <c r="D69" i="140"/>
  <c r="L68" i="140"/>
  <c r="N4" i="290" s="1"/>
  <c r="D68" i="140"/>
  <c r="L67" i="140"/>
  <c r="N4" i="291" s="1"/>
  <c r="D67" i="140"/>
  <c r="M55" i="140"/>
  <c r="L55" i="140"/>
  <c r="K55" i="140"/>
  <c r="J55" i="140"/>
  <c r="I55" i="140"/>
  <c r="H55" i="140"/>
  <c r="G55" i="140"/>
  <c r="F55" i="140"/>
  <c r="E55" i="140"/>
  <c r="D55" i="140"/>
  <c r="C55" i="140"/>
  <c r="E20" i="270" s="1"/>
  <c r="L37" i="140"/>
  <c r="K37" i="140"/>
  <c r="J37" i="140"/>
  <c r="I37" i="140"/>
  <c r="H37" i="140"/>
  <c r="G37" i="140"/>
  <c r="F37" i="140"/>
  <c r="E37" i="140"/>
  <c r="D37" i="140"/>
  <c r="C37" i="140"/>
  <c r="B37" i="140"/>
  <c r="E6" i="140"/>
  <c r="F5" i="140"/>
  <c r="B61" i="140" s="1"/>
  <c r="F4" i="140"/>
  <c r="B60" i="140" s="1"/>
  <c r="F3" i="140"/>
  <c r="J71" i="264"/>
  <c r="S38" i="269"/>
  <c r="P70" i="258"/>
  <c r="S34" i="269"/>
  <c r="J69" i="267"/>
  <c r="S31" i="269"/>
  <c r="P68" i="252"/>
  <c r="S39" i="269" l="1"/>
  <c r="E163" i="271"/>
  <c r="S32" i="269"/>
  <c r="E161" i="271"/>
  <c r="S36" i="269"/>
  <c r="J78" i="252" s="1"/>
  <c r="K78" i="252" s="1"/>
  <c r="E162" i="271"/>
  <c r="F72" i="140"/>
  <c r="F4" i="281"/>
  <c r="I151" i="237"/>
  <c r="F67" i="140"/>
  <c r="F4" i="291"/>
  <c r="F73" i="140"/>
  <c r="F4" i="279"/>
  <c r="O151" i="237"/>
  <c r="F68" i="140"/>
  <c r="F4" i="290"/>
  <c r="F74" i="140"/>
  <c r="F4" i="276"/>
  <c r="F69" i="140"/>
  <c r="F4" i="288"/>
  <c r="F75" i="140"/>
  <c r="F4" i="274"/>
  <c r="F71" i="140"/>
  <c r="F4" i="284"/>
  <c r="F70" i="140"/>
  <c r="F4" i="286"/>
  <c r="I151" i="260"/>
  <c r="G56" i="289"/>
  <c r="G55" i="287"/>
  <c r="G54" i="285"/>
  <c r="G55" i="283"/>
  <c r="G54" i="280"/>
  <c r="G54" i="278"/>
  <c r="C151" i="254"/>
  <c r="C151" i="267"/>
  <c r="C151" i="262"/>
  <c r="C151" i="260"/>
  <c r="C151" i="258"/>
  <c r="G54" i="273"/>
  <c r="G185" i="265"/>
  <c r="J44" i="262"/>
  <c r="C137" i="262"/>
  <c r="C145" i="262"/>
  <c r="C139" i="262"/>
  <c r="C142" i="262"/>
  <c r="C143" i="262"/>
  <c r="C141" i="262"/>
  <c r="C144" i="262"/>
  <c r="C138" i="262"/>
  <c r="C134" i="262"/>
  <c r="I140" i="262"/>
  <c r="I133" i="262"/>
  <c r="I151" i="262" s="1"/>
  <c r="O140" i="262"/>
  <c r="O133" i="262"/>
  <c r="O151" i="262" s="1"/>
  <c r="O140" i="260"/>
  <c r="O133" i="260"/>
  <c r="O151" i="260" s="1"/>
  <c r="C137" i="260"/>
  <c r="C134" i="260"/>
  <c r="C143" i="260"/>
  <c r="C138" i="260"/>
  <c r="C139" i="260"/>
  <c r="C142" i="260"/>
  <c r="C144" i="260"/>
  <c r="C141" i="260"/>
  <c r="C145" i="260"/>
  <c r="I142" i="260"/>
  <c r="I137" i="260"/>
  <c r="I139" i="260"/>
  <c r="I144" i="260"/>
  <c r="I141" i="260"/>
  <c r="I134" i="260"/>
  <c r="I138" i="260"/>
  <c r="I143" i="260"/>
  <c r="I145" i="260"/>
  <c r="C137" i="258"/>
  <c r="C139" i="258"/>
  <c r="C141" i="258"/>
  <c r="C142" i="258"/>
  <c r="C145" i="258"/>
  <c r="C134" i="258"/>
  <c r="C138" i="258"/>
  <c r="C143" i="258"/>
  <c r="C144" i="258"/>
  <c r="I140" i="258"/>
  <c r="I133" i="258"/>
  <c r="I151" i="258" s="1"/>
  <c r="H65" i="258"/>
  <c r="O140" i="258"/>
  <c r="O133" i="258"/>
  <c r="O151" i="258" s="1"/>
  <c r="O140" i="267"/>
  <c r="O133" i="267"/>
  <c r="O151" i="267" s="1"/>
  <c r="C142" i="267"/>
  <c r="C137" i="267"/>
  <c r="C144" i="267"/>
  <c r="C134" i="267"/>
  <c r="C143" i="267"/>
  <c r="C145" i="267"/>
  <c r="C138" i="267"/>
  <c r="C139" i="267"/>
  <c r="C141" i="267"/>
  <c r="I140" i="267"/>
  <c r="I133" i="267"/>
  <c r="I151" i="267" s="1"/>
  <c r="O140" i="254"/>
  <c r="O133" i="254"/>
  <c r="O151" i="254" s="1"/>
  <c r="I140" i="254"/>
  <c r="I133" i="254"/>
  <c r="I151" i="254" s="1"/>
  <c r="C137" i="254"/>
  <c r="C141" i="254"/>
  <c r="C142" i="254"/>
  <c r="C139" i="254"/>
  <c r="C143" i="254"/>
  <c r="C145" i="254"/>
  <c r="C144" i="254"/>
  <c r="C134" i="254"/>
  <c r="C138" i="254"/>
  <c r="I140" i="252"/>
  <c r="I133" i="252"/>
  <c r="I151" i="252" s="1"/>
  <c r="O140" i="252"/>
  <c r="O133" i="252"/>
  <c r="O151" i="252" s="1"/>
  <c r="I140" i="250"/>
  <c r="I133" i="250"/>
  <c r="I151" i="250" s="1"/>
  <c r="O140" i="250"/>
  <c r="O133" i="250"/>
  <c r="O151" i="250" s="1"/>
  <c r="I137" i="237"/>
  <c r="I145" i="237"/>
  <c r="I139" i="237"/>
  <c r="I141" i="237"/>
  <c r="I142" i="237"/>
  <c r="I134" i="237"/>
  <c r="I138" i="237"/>
  <c r="I143" i="237"/>
  <c r="I144" i="237"/>
  <c r="O137" i="237"/>
  <c r="O139" i="237"/>
  <c r="O145" i="237"/>
  <c r="O142" i="237"/>
  <c r="O138" i="237"/>
  <c r="O141" i="237"/>
  <c r="O143" i="237"/>
  <c r="O144" i="237"/>
  <c r="O134" i="237"/>
  <c r="O140" i="264"/>
  <c r="O133" i="264"/>
  <c r="O151" i="264" s="1"/>
  <c r="C133" i="264"/>
  <c r="I140" i="264"/>
  <c r="I133" i="264"/>
  <c r="I151" i="264" s="1"/>
  <c r="J42" i="262"/>
  <c r="J36" i="262"/>
  <c r="J48" i="262" s="1"/>
  <c r="D38" i="262"/>
  <c r="D65" i="262" s="1"/>
  <c r="J43" i="262"/>
  <c r="D36" i="262"/>
  <c r="D48" i="262" s="1"/>
  <c r="J41" i="262"/>
  <c r="B102" i="262"/>
  <c r="B104" i="262" s="1"/>
  <c r="B105" i="262" s="1"/>
  <c r="D105" i="262" s="1"/>
  <c r="J39" i="262"/>
  <c r="J74" i="262" s="1"/>
  <c r="D42" i="262"/>
  <c r="J38" i="262"/>
  <c r="J65" i="262" s="1"/>
  <c r="B57" i="262"/>
  <c r="J37" i="262"/>
  <c r="D43" i="260"/>
  <c r="N48" i="260"/>
  <c r="H57" i="260"/>
  <c r="H74" i="260"/>
  <c r="N74" i="260"/>
  <c r="P43" i="260"/>
  <c r="B48" i="260"/>
  <c r="B65" i="260"/>
  <c r="J44" i="260"/>
  <c r="N65" i="258"/>
  <c r="D41" i="258"/>
  <c r="D39" i="258"/>
  <c r="D74" i="258" s="1"/>
  <c r="N74" i="258"/>
  <c r="D37" i="258"/>
  <c r="D57" i="258" s="1"/>
  <c r="H98" i="258"/>
  <c r="H100" i="258" s="1"/>
  <c r="H101" i="258" s="1"/>
  <c r="J101" i="258" s="1"/>
  <c r="N98" i="258"/>
  <c r="N100" i="258" s="1"/>
  <c r="N101" i="258" s="1"/>
  <c r="P101" i="258" s="1"/>
  <c r="D43" i="258"/>
  <c r="N48" i="258"/>
  <c r="B102" i="258"/>
  <c r="B104" i="258" s="1"/>
  <c r="B105" i="258" s="1"/>
  <c r="D105" i="258" s="1"/>
  <c r="H102" i="258"/>
  <c r="H104" i="258" s="1"/>
  <c r="H105" i="258" s="1"/>
  <c r="J105" i="258" s="1"/>
  <c r="N82" i="258"/>
  <c r="N102" i="258"/>
  <c r="N104" i="258" s="1"/>
  <c r="N105" i="258" s="1"/>
  <c r="P105" i="258" s="1"/>
  <c r="B90" i="267"/>
  <c r="B92" i="267" s="1"/>
  <c r="B93" i="267" s="1"/>
  <c r="D42" i="267"/>
  <c r="P44" i="254"/>
  <c r="B102" i="254"/>
  <c r="B104" i="254" s="1"/>
  <c r="B105" i="254" s="1"/>
  <c r="D105" i="254" s="1"/>
  <c r="B98" i="254"/>
  <c r="B100" i="254" s="1"/>
  <c r="B101" i="254" s="1"/>
  <c r="D101" i="254" s="1"/>
  <c r="B57" i="254"/>
  <c r="N57" i="254"/>
  <c r="C133" i="252"/>
  <c r="C133" i="250"/>
  <c r="C133" i="237"/>
  <c r="B7" i="237" s="1"/>
  <c r="C14" i="290" s="1"/>
  <c r="O140" i="248"/>
  <c r="O133" i="248"/>
  <c r="O151" i="248" s="1"/>
  <c r="I140" i="248"/>
  <c r="I133" i="248"/>
  <c r="I151" i="248" s="1"/>
  <c r="B65" i="237"/>
  <c r="H90" i="237"/>
  <c r="H92" i="237" s="1"/>
  <c r="I92" i="237" s="1"/>
  <c r="J92" i="237" s="1"/>
  <c r="B57" i="237"/>
  <c r="N90" i="237"/>
  <c r="N92" i="237" s="1"/>
  <c r="O92" i="237" s="1"/>
  <c r="J92" i="248"/>
  <c r="K92" i="248" s="1"/>
  <c r="F6" i="140"/>
  <c r="B59" i="140"/>
  <c r="N4" i="265"/>
  <c r="J82" i="267"/>
  <c r="B80" i="250"/>
  <c r="Q87" i="258"/>
  <c r="E37" i="265"/>
  <c r="E57" i="265" s="1"/>
  <c r="AA52" i="159" s="1"/>
  <c r="B183" i="265"/>
  <c r="P38" i="264"/>
  <c r="B102" i="264"/>
  <c r="B104" i="264" s="1"/>
  <c r="B105" i="264" s="1"/>
  <c r="N65" i="264"/>
  <c r="H102" i="264"/>
  <c r="H104" i="264" s="1"/>
  <c r="I104" i="264" s="1"/>
  <c r="P36" i="264"/>
  <c r="P48" i="264" s="1"/>
  <c r="P44" i="264"/>
  <c r="H82" i="264"/>
  <c r="H74" i="264"/>
  <c r="P42" i="264"/>
  <c r="O107" i="264"/>
  <c r="N108" i="264"/>
  <c r="O108" i="264" s="1"/>
  <c r="J37" i="264"/>
  <c r="J57" i="264" s="1"/>
  <c r="J43" i="264"/>
  <c r="J74" i="264"/>
  <c r="B65" i="264"/>
  <c r="J41" i="264"/>
  <c r="H48" i="264"/>
  <c r="B94" i="264"/>
  <c r="B96" i="264" s="1"/>
  <c r="B97" i="264" s="1"/>
  <c r="D97" i="264" s="1"/>
  <c r="B98" i="264"/>
  <c r="B100" i="264" s="1"/>
  <c r="B101" i="264" s="1"/>
  <c r="D101" i="264" s="1"/>
  <c r="N93" i="264"/>
  <c r="P93" i="264" s="1"/>
  <c r="O92" i="264"/>
  <c r="H97" i="264"/>
  <c r="J97" i="264" s="1"/>
  <c r="I96" i="264"/>
  <c r="B108" i="264"/>
  <c r="C108" i="264" s="1"/>
  <c r="C107" i="264"/>
  <c r="N97" i="264"/>
  <c r="P97" i="264" s="1"/>
  <c r="O96" i="264"/>
  <c r="I107" i="264"/>
  <c r="H108" i="264"/>
  <c r="I108" i="264" s="1"/>
  <c r="O104" i="264"/>
  <c r="N105" i="264"/>
  <c r="P105" i="264" s="1"/>
  <c r="H93" i="264"/>
  <c r="J93" i="264" s="1"/>
  <c r="I92" i="264"/>
  <c r="D37" i="264"/>
  <c r="D39" i="264"/>
  <c r="D74" i="264" s="1"/>
  <c r="D41" i="264"/>
  <c r="B92" i="264" s="1"/>
  <c r="N98" i="264"/>
  <c r="N100" i="264" s="1"/>
  <c r="N101" i="264" s="1"/>
  <c r="P101" i="264" s="1"/>
  <c r="J48" i="264"/>
  <c r="J82" i="264"/>
  <c r="N74" i="264"/>
  <c r="H65" i="264"/>
  <c r="P74" i="264"/>
  <c r="P82" i="264"/>
  <c r="H4" i="265"/>
  <c r="P37" i="264"/>
  <c r="N35" i="264" s="1"/>
  <c r="P41" i="264"/>
  <c r="P65" i="264"/>
  <c r="K100" i="264"/>
  <c r="K101" i="264" s="1"/>
  <c r="D36" i="264"/>
  <c r="D48" i="264" s="1"/>
  <c r="D38" i="264"/>
  <c r="D65" i="264" s="1"/>
  <c r="J42" i="264"/>
  <c r="J65" i="264"/>
  <c r="D82" i="264"/>
  <c r="H93" i="262"/>
  <c r="J93" i="262" s="1"/>
  <c r="I92" i="262"/>
  <c r="H105" i="262"/>
  <c r="J105" i="262" s="1"/>
  <c r="I104" i="262"/>
  <c r="B97" i="262"/>
  <c r="D97" i="262" s="1"/>
  <c r="C96" i="262"/>
  <c r="O108" i="262"/>
  <c r="N109" i="262"/>
  <c r="O109" i="262" s="1"/>
  <c r="N105" i="262"/>
  <c r="P105" i="262" s="1"/>
  <c r="O104" i="262"/>
  <c r="B35" i="262"/>
  <c r="I96" i="262"/>
  <c r="H97" i="262"/>
  <c r="J97" i="262" s="1"/>
  <c r="C107" i="262"/>
  <c r="B108" i="262"/>
  <c r="C108" i="262" s="1"/>
  <c r="E108" i="262" s="1"/>
  <c r="E120" i="262" s="1"/>
  <c r="O96" i="262"/>
  <c r="N97" i="262"/>
  <c r="P97" i="262" s="1"/>
  <c r="H108" i="262"/>
  <c r="I108" i="262" s="1"/>
  <c r="I107" i="262"/>
  <c r="B93" i="262"/>
  <c r="D93" i="262" s="1"/>
  <c r="C92" i="262"/>
  <c r="N90" i="262"/>
  <c r="N92" i="262" s="1"/>
  <c r="B74" i="262"/>
  <c r="B82" i="262"/>
  <c r="E87" i="262"/>
  <c r="D74" i="262"/>
  <c r="D82" i="262"/>
  <c r="P36" i="262"/>
  <c r="P48" i="262" s="1"/>
  <c r="P38" i="262"/>
  <c r="P65" i="262" s="1"/>
  <c r="P42" i="262"/>
  <c r="P44" i="262"/>
  <c r="H82" i="262"/>
  <c r="O107" i="262"/>
  <c r="J82" i="262"/>
  <c r="B98" i="262"/>
  <c r="B100" i="262" s="1"/>
  <c r="B101" i="262" s="1"/>
  <c r="D101" i="262" s="1"/>
  <c r="D41" i="262"/>
  <c r="N74" i="262"/>
  <c r="N82" i="262"/>
  <c r="P74" i="262"/>
  <c r="P82" i="262"/>
  <c r="N98" i="262"/>
  <c r="N100" i="262" s="1"/>
  <c r="N101" i="262" s="1"/>
  <c r="P101" i="262" s="1"/>
  <c r="D57" i="262"/>
  <c r="P37" i="262"/>
  <c r="N35" i="262" s="1"/>
  <c r="K100" i="262"/>
  <c r="K101" i="262" s="1"/>
  <c r="H105" i="260"/>
  <c r="J105" i="260" s="1"/>
  <c r="I104" i="260"/>
  <c r="N93" i="260"/>
  <c r="P93" i="260" s="1"/>
  <c r="O92" i="260"/>
  <c r="B108" i="260"/>
  <c r="C108" i="260" s="1"/>
  <c r="C107" i="260"/>
  <c r="N97" i="260"/>
  <c r="P97" i="260" s="1"/>
  <c r="O96" i="260"/>
  <c r="B105" i="260"/>
  <c r="D105" i="260" s="1"/>
  <c r="C104" i="260"/>
  <c r="O107" i="260"/>
  <c r="N108" i="260"/>
  <c r="O108" i="260" s="1"/>
  <c r="N109" i="260"/>
  <c r="O109" i="260" s="1"/>
  <c r="J38" i="260"/>
  <c r="J65" i="260" s="1"/>
  <c r="D48" i="260"/>
  <c r="N102" i="260"/>
  <c r="N104" i="260" s="1"/>
  <c r="P42" i="260"/>
  <c r="H48" i="260"/>
  <c r="N82" i="260"/>
  <c r="K100" i="260"/>
  <c r="K101" i="260" s="1"/>
  <c r="H82" i="260"/>
  <c r="E101" i="260"/>
  <c r="J74" i="260"/>
  <c r="J82" i="260"/>
  <c r="P38" i="260"/>
  <c r="P65" i="260" s="1"/>
  <c r="J48" i="260"/>
  <c r="P74" i="260"/>
  <c r="P82" i="260"/>
  <c r="J43" i="260"/>
  <c r="H35" i="260" s="1"/>
  <c r="B57" i="260"/>
  <c r="D65" i="260"/>
  <c r="Q100" i="260"/>
  <c r="Q101" i="260" s="1"/>
  <c r="J41" i="260"/>
  <c r="H92" i="260" s="1"/>
  <c r="D57" i="260"/>
  <c r="B90" i="260"/>
  <c r="B92" i="260" s="1"/>
  <c r="D39" i="260"/>
  <c r="P48" i="260"/>
  <c r="B94" i="260"/>
  <c r="B96" i="260" s="1"/>
  <c r="P37" i="260"/>
  <c r="P41" i="260"/>
  <c r="J57" i="260"/>
  <c r="H94" i="260"/>
  <c r="H96" i="260" s="1"/>
  <c r="I96" i="260" s="1"/>
  <c r="H109" i="260"/>
  <c r="I109" i="260" s="1"/>
  <c r="D44" i="260"/>
  <c r="B82" i="260"/>
  <c r="I107" i="260"/>
  <c r="D82" i="260"/>
  <c r="C92" i="258"/>
  <c r="B93" i="258"/>
  <c r="D93" i="258" s="1"/>
  <c r="N35" i="258"/>
  <c r="I96" i="258"/>
  <c r="H97" i="258"/>
  <c r="J97" i="258" s="1"/>
  <c r="H108" i="258"/>
  <c r="I108" i="258" s="1"/>
  <c r="I107" i="258"/>
  <c r="N97" i="258"/>
  <c r="P97" i="258" s="1"/>
  <c r="O96" i="258"/>
  <c r="O107" i="258"/>
  <c r="N108" i="258"/>
  <c r="O108" i="258" s="1"/>
  <c r="Q108" i="258" s="1"/>
  <c r="Q120" i="258" s="1"/>
  <c r="B108" i="258"/>
  <c r="C108" i="258" s="1"/>
  <c r="C107" i="258"/>
  <c r="D36" i="258"/>
  <c r="D48" i="258" s="1"/>
  <c r="D38" i="258"/>
  <c r="D65" i="258" s="1"/>
  <c r="D42" i="258"/>
  <c r="B96" i="258" s="1"/>
  <c r="N57" i="258"/>
  <c r="P48" i="258"/>
  <c r="H57" i="258"/>
  <c r="P65" i="258"/>
  <c r="P57" i="258"/>
  <c r="H90" i="258"/>
  <c r="H92" i="258" s="1"/>
  <c r="J36" i="258"/>
  <c r="J48" i="258" s="1"/>
  <c r="J38" i="258"/>
  <c r="J65" i="258" s="1"/>
  <c r="J42" i="258"/>
  <c r="N90" i="258"/>
  <c r="N92" i="258" s="1"/>
  <c r="B82" i="258"/>
  <c r="E87" i="258"/>
  <c r="Q110" i="258"/>
  <c r="Q122" i="258" s="1"/>
  <c r="J82" i="258"/>
  <c r="J39" i="258"/>
  <c r="H35" i="258" s="1"/>
  <c r="P74" i="258"/>
  <c r="P82" i="258"/>
  <c r="E100" i="258"/>
  <c r="E101" i="258" s="1"/>
  <c r="J57" i="258"/>
  <c r="P42" i="258"/>
  <c r="D82" i="258"/>
  <c r="O107" i="267"/>
  <c r="N108" i="267"/>
  <c r="O108" i="267" s="1"/>
  <c r="B65" i="267"/>
  <c r="H90" i="267"/>
  <c r="H92" i="267" s="1"/>
  <c r="I92" i="267" s="1"/>
  <c r="D38" i="267"/>
  <c r="D65" i="267" s="1"/>
  <c r="D44" i="267"/>
  <c r="B48" i="267"/>
  <c r="N94" i="267"/>
  <c r="N96" i="267" s="1"/>
  <c r="N65" i="267"/>
  <c r="D39" i="267"/>
  <c r="D74" i="267" s="1"/>
  <c r="D82" i="267"/>
  <c r="H102" i="267"/>
  <c r="H104" i="267" s="1"/>
  <c r="I104" i="267" s="1"/>
  <c r="N102" i="267"/>
  <c r="N104" i="267" s="1"/>
  <c r="O104" i="267" s="1"/>
  <c r="N74" i="267"/>
  <c r="D37" i="267"/>
  <c r="D43" i="267"/>
  <c r="P74" i="267"/>
  <c r="B82" i="254"/>
  <c r="P42" i="254"/>
  <c r="B90" i="254"/>
  <c r="B92" i="254" s="1"/>
  <c r="C92" i="254" s="1"/>
  <c r="N90" i="254"/>
  <c r="N92" i="254" s="1"/>
  <c r="N93" i="254" s="1"/>
  <c r="P93" i="254" s="1"/>
  <c r="N74" i="254"/>
  <c r="B94" i="254"/>
  <c r="B96" i="254" s="1"/>
  <c r="E109" i="252"/>
  <c r="E121" i="252" s="1"/>
  <c r="D41" i="250"/>
  <c r="B92" i="250" s="1"/>
  <c r="N82" i="250"/>
  <c r="D39" i="250"/>
  <c r="D74" i="250" s="1"/>
  <c r="D42" i="250"/>
  <c r="J39" i="250"/>
  <c r="J74" i="250" s="1"/>
  <c r="D43" i="250"/>
  <c r="N57" i="250"/>
  <c r="J37" i="250"/>
  <c r="D38" i="250"/>
  <c r="D65" i="250" s="1"/>
  <c r="J43" i="250"/>
  <c r="D37" i="250"/>
  <c r="D57" i="250" s="1"/>
  <c r="H65" i="250"/>
  <c r="N98" i="250"/>
  <c r="N100" i="250" s="1"/>
  <c r="N101" i="250" s="1"/>
  <c r="P101" i="250" s="1"/>
  <c r="D36" i="250"/>
  <c r="D48" i="250" s="1"/>
  <c r="J41" i="250"/>
  <c r="D44" i="250"/>
  <c r="N35" i="250"/>
  <c r="N74" i="250"/>
  <c r="H97" i="250"/>
  <c r="J97" i="250" s="1"/>
  <c r="I96" i="250"/>
  <c r="N97" i="250"/>
  <c r="P97" i="250" s="1"/>
  <c r="O96" i="250"/>
  <c r="P96" i="250" s="1"/>
  <c r="Q96" i="250" s="1"/>
  <c r="Q97" i="250" s="1"/>
  <c r="I107" i="250"/>
  <c r="H108" i="250"/>
  <c r="I108" i="250" s="1"/>
  <c r="O107" i="250"/>
  <c r="N108" i="250"/>
  <c r="O108" i="250" s="1"/>
  <c r="Q108" i="250" s="1"/>
  <c r="Q120" i="250" s="1"/>
  <c r="I92" i="250"/>
  <c r="H93" i="250"/>
  <c r="J93" i="250" s="1"/>
  <c r="B105" i="250"/>
  <c r="D105" i="250" s="1"/>
  <c r="C104" i="250"/>
  <c r="N93" i="250"/>
  <c r="P93" i="250" s="1"/>
  <c r="O92" i="250"/>
  <c r="C96" i="250"/>
  <c r="B97" i="250"/>
  <c r="D97" i="250" s="1"/>
  <c r="P74" i="250"/>
  <c r="P82" i="250"/>
  <c r="P41" i="250"/>
  <c r="N65" i="250"/>
  <c r="E100" i="250"/>
  <c r="E101" i="250" s="1"/>
  <c r="H102" i="250"/>
  <c r="H104" i="250" s="1"/>
  <c r="P65" i="250"/>
  <c r="N102" i="250"/>
  <c r="N104" i="250" s="1"/>
  <c r="J36" i="250"/>
  <c r="J48" i="250" s="1"/>
  <c r="J38" i="250"/>
  <c r="J65" i="250" s="1"/>
  <c r="J42" i="250"/>
  <c r="P57" i="250"/>
  <c r="Q101" i="250"/>
  <c r="K100" i="250"/>
  <c r="K101" i="250" s="1"/>
  <c r="B109" i="250"/>
  <c r="C109" i="250" s="1"/>
  <c r="C107" i="250"/>
  <c r="P36" i="250"/>
  <c r="P48" i="250" s="1"/>
  <c r="P42" i="250"/>
  <c r="B82" i="250"/>
  <c r="E87" i="250"/>
  <c r="D82" i="250"/>
  <c r="J82" i="250"/>
  <c r="N74" i="237"/>
  <c r="J37" i="237"/>
  <c r="J43" i="237"/>
  <c r="P43" i="237"/>
  <c r="J39" i="237"/>
  <c r="J74" i="237" s="1"/>
  <c r="H48" i="237"/>
  <c r="B98" i="237"/>
  <c r="B100" i="237" s="1"/>
  <c r="B101" i="237" s="1"/>
  <c r="D101" i="237" s="1"/>
  <c r="P37" i="237"/>
  <c r="N63" i="258"/>
  <c r="E51" i="262"/>
  <c r="B63" i="250"/>
  <c r="H80" i="262"/>
  <c r="H63" i="264"/>
  <c r="H63" i="250"/>
  <c r="E51" i="250"/>
  <c r="Q87" i="250"/>
  <c r="E86" i="237"/>
  <c r="E87" i="260"/>
  <c r="K87" i="262"/>
  <c r="K51" i="254"/>
  <c r="E51" i="267"/>
  <c r="K87" i="267"/>
  <c r="H55" i="250"/>
  <c r="K51" i="250"/>
  <c r="J79" i="262"/>
  <c r="K79" i="262" s="1"/>
  <c r="P79" i="237"/>
  <c r="Q79" i="237" s="1"/>
  <c r="P79" i="248"/>
  <c r="Q79" i="248" s="1"/>
  <c r="N63" i="237"/>
  <c r="N63" i="250"/>
  <c r="K51" i="260"/>
  <c r="K87" i="260"/>
  <c r="K60" i="262"/>
  <c r="J82" i="248"/>
  <c r="N55" i="250"/>
  <c r="B63" i="260"/>
  <c r="Q85" i="262"/>
  <c r="H72" i="262"/>
  <c r="E110" i="262"/>
  <c r="E122" i="262" s="1"/>
  <c r="I55" i="264"/>
  <c r="K86" i="264"/>
  <c r="J48" i="254"/>
  <c r="N80" i="260"/>
  <c r="K86" i="262"/>
  <c r="H80" i="250"/>
  <c r="Q54" i="260"/>
  <c r="Q51" i="264"/>
  <c r="Q110" i="250"/>
  <c r="Q122" i="250" s="1"/>
  <c r="E54" i="260"/>
  <c r="N63" i="264"/>
  <c r="B88" i="260"/>
  <c r="H63" i="260"/>
  <c r="N80" i="250"/>
  <c r="B88" i="262"/>
  <c r="H88" i="260"/>
  <c r="Q51" i="258"/>
  <c r="B63" i="264"/>
  <c r="N80" i="262"/>
  <c r="J48" i="237"/>
  <c r="B63" i="262"/>
  <c r="K52" i="260"/>
  <c r="D82" i="237"/>
  <c r="K86" i="267"/>
  <c r="K51" i="258"/>
  <c r="K85" i="258"/>
  <c r="H55" i="262"/>
  <c r="K53" i="262"/>
  <c r="H63" i="262"/>
  <c r="Q87" i="262"/>
  <c r="K53" i="264"/>
  <c r="Q87" i="264"/>
  <c r="I55" i="260"/>
  <c r="Q61" i="264"/>
  <c r="K85" i="250"/>
  <c r="H63" i="258"/>
  <c r="N72" i="258"/>
  <c r="K52" i="262"/>
  <c r="B80" i="262"/>
  <c r="N80" i="264"/>
  <c r="K71" i="264"/>
  <c r="Q62" i="264"/>
  <c r="I72" i="264"/>
  <c r="P82" i="254"/>
  <c r="B72" i="258"/>
  <c r="N63" i="260"/>
  <c r="B80" i="260"/>
  <c r="O88" i="262"/>
  <c r="I88" i="250"/>
  <c r="Q51" i="250"/>
  <c r="Q86" i="260"/>
  <c r="N72" i="264"/>
  <c r="B63" i="258"/>
  <c r="K53" i="260"/>
  <c r="K54" i="264"/>
  <c r="B63" i="267"/>
  <c r="N55" i="258"/>
  <c r="Q85" i="258"/>
  <c r="B72" i="260"/>
  <c r="N63" i="262"/>
  <c r="Q85" i="260"/>
  <c r="H72" i="250"/>
  <c r="P74" i="237"/>
  <c r="N80" i="258"/>
  <c r="E51" i="264"/>
  <c r="Q87" i="237"/>
  <c r="C63" i="250"/>
  <c r="E86" i="258"/>
  <c r="N55" i="264"/>
  <c r="C88" i="250"/>
  <c r="B88" i="250"/>
  <c r="K87" i="258"/>
  <c r="I88" i="258"/>
  <c r="H88" i="258"/>
  <c r="B55" i="260"/>
  <c r="E51" i="260"/>
  <c r="B55" i="264"/>
  <c r="N72" i="250"/>
  <c r="N88" i="250"/>
  <c r="K87" i="264"/>
  <c r="I88" i="264"/>
  <c r="H88" i="264"/>
  <c r="O88" i="250"/>
  <c r="Q86" i="250"/>
  <c r="N55" i="260"/>
  <c r="Q51" i="260"/>
  <c r="B55" i="258"/>
  <c r="O63" i="260"/>
  <c r="Q51" i="262"/>
  <c r="N55" i="262"/>
  <c r="D79" i="248"/>
  <c r="E79" i="248" s="1"/>
  <c r="Q85" i="250"/>
  <c r="Q87" i="267"/>
  <c r="Q52" i="258"/>
  <c r="H55" i="258"/>
  <c r="Q86" i="258"/>
  <c r="H55" i="260"/>
  <c r="C80" i="260"/>
  <c r="J79" i="260"/>
  <c r="K79" i="260" s="1"/>
  <c r="O88" i="260"/>
  <c r="N88" i="260"/>
  <c r="I55" i="262"/>
  <c r="O63" i="262"/>
  <c r="N88" i="262"/>
  <c r="Q85" i="264"/>
  <c r="E62" i="250"/>
  <c r="B63" i="254"/>
  <c r="N80" i="254"/>
  <c r="Q52" i="260"/>
  <c r="N72" i="260"/>
  <c r="Q87" i="260"/>
  <c r="K51" i="262"/>
  <c r="Q60" i="262"/>
  <c r="C63" i="262"/>
  <c r="N72" i="262"/>
  <c r="I63" i="264"/>
  <c r="E87" i="264"/>
  <c r="O88" i="237"/>
  <c r="I80" i="250"/>
  <c r="C55" i="258"/>
  <c r="O72" i="260"/>
  <c r="Q86" i="262"/>
  <c r="E53" i="264"/>
  <c r="B63" i="237"/>
  <c r="Q86" i="237"/>
  <c r="P74" i="254"/>
  <c r="E87" i="254"/>
  <c r="P82" i="267"/>
  <c r="Q71" i="264"/>
  <c r="K54" i="250"/>
  <c r="E85" i="250"/>
  <c r="B72" i="237"/>
  <c r="B80" i="237"/>
  <c r="E86" i="250"/>
  <c r="D82" i="254"/>
  <c r="H63" i="254"/>
  <c r="N55" i="267"/>
  <c r="E51" i="258"/>
  <c r="Q62" i="258"/>
  <c r="B80" i="258"/>
  <c r="C88" i="258"/>
  <c r="B88" i="258"/>
  <c r="C55" i="260"/>
  <c r="C88" i="260"/>
  <c r="O55" i="262"/>
  <c r="E61" i="262"/>
  <c r="E85" i="262"/>
  <c r="C88" i="262"/>
  <c r="E52" i="264"/>
  <c r="B80" i="264"/>
  <c r="C88" i="264"/>
  <c r="B88" i="264"/>
  <c r="E86" i="264"/>
  <c r="K60" i="250"/>
  <c r="Q70" i="258"/>
  <c r="P82" i="248"/>
  <c r="H63" i="237"/>
  <c r="K52" i="250"/>
  <c r="K53" i="250"/>
  <c r="H88" i="250"/>
  <c r="K87" i="250"/>
  <c r="K87" i="254"/>
  <c r="I55" i="258"/>
  <c r="H80" i="258"/>
  <c r="E85" i="258"/>
  <c r="E52" i="260"/>
  <c r="Q54" i="264"/>
  <c r="H80" i="264"/>
  <c r="E85" i="264"/>
  <c r="K87" i="237"/>
  <c r="K86" i="250"/>
  <c r="Q51" i="267"/>
  <c r="Q62" i="267"/>
  <c r="Q60" i="258"/>
  <c r="K54" i="260"/>
  <c r="K52" i="264"/>
  <c r="B72" i="264"/>
  <c r="O63" i="250"/>
  <c r="N63" i="267"/>
  <c r="K85" i="260"/>
  <c r="I88" i="260"/>
  <c r="I88" i="262"/>
  <c r="H88" i="262"/>
  <c r="K51" i="264"/>
  <c r="H55" i="264"/>
  <c r="K62" i="250"/>
  <c r="J79" i="250"/>
  <c r="K79" i="250" s="1"/>
  <c r="P79" i="254"/>
  <c r="Q79" i="254" s="1"/>
  <c r="P79" i="258"/>
  <c r="Q79" i="258" s="1"/>
  <c r="J79" i="264"/>
  <c r="K79" i="264" s="1"/>
  <c r="J79" i="267"/>
  <c r="K79" i="267" s="1"/>
  <c r="Q60" i="250"/>
  <c r="Q61" i="250"/>
  <c r="C80" i="250"/>
  <c r="O55" i="258"/>
  <c r="C63" i="258"/>
  <c r="H72" i="258"/>
  <c r="Q62" i="262"/>
  <c r="C63" i="264"/>
  <c r="H72" i="264"/>
  <c r="C80" i="264"/>
  <c r="K85" i="264"/>
  <c r="N80" i="237"/>
  <c r="Q52" i="250"/>
  <c r="O80" i="258"/>
  <c r="D79" i="258"/>
  <c r="E79" i="258" s="1"/>
  <c r="H72" i="260"/>
  <c r="O80" i="262"/>
  <c r="Q52" i="264"/>
  <c r="O80" i="264"/>
  <c r="O88" i="264"/>
  <c r="N88" i="264"/>
  <c r="P79" i="250"/>
  <c r="Q79" i="250" s="1"/>
  <c r="P79" i="252"/>
  <c r="Q79" i="252" s="1"/>
  <c r="O88" i="258"/>
  <c r="N88" i="258"/>
  <c r="O55" i="260"/>
  <c r="C55" i="264"/>
  <c r="Q86" i="264"/>
  <c r="B72" i="254"/>
  <c r="E52" i="258"/>
  <c r="E53" i="258"/>
  <c r="E61" i="258"/>
  <c r="Q61" i="260"/>
  <c r="E85" i="260"/>
  <c r="Q52" i="262"/>
  <c r="Q53" i="262"/>
  <c r="E60" i="264"/>
  <c r="E61" i="264"/>
  <c r="E62" i="264"/>
  <c r="K86" i="254"/>
  <c r="D48" i="267"/>
  <c r="N80" i="267"/>
  <c r="Q60" i="260"/>
  <c r="E86" i="260"/>
  <c r="E86" i="262"/>
  <c r="Q61" i="267"/>
  <c r="K52" i="258"/>
  <c r="K62" i="258"/>
  <c r="K86" i="258"/>
  <c r="C63" i="260"/>
  <c r="D65" i="254"/>
  <c r="O63" i="267"/>
  <c r="E70" i="258"/>
  <c r="E60" i="260"/>
  <c r="E62" i="260"/>
  <c r="K86" i="260"/>
  <c r="K85" i="262"/>
  <c r="O55" i="267"/>
  <c r="E87" i="267"/>
  <c r="O80" i="260"/>
  <c r="Q53" i="264"/>
  <c r="B88" i="237"/>
  <c r="B55" i="250"/>
  <c r="B72" i="262"/>
  <c r="E52" i="262"/>
  <c r="G4" i="265"/>
  <c r="J4" i="265"/>
  <c r="K4" i="265"/>
  <c r="L4" i="265"/>
  <c r="M4" i="265"/>
  <c r="I4" i="265"/>
  <c r="E4" i="265"/>
  <c r="E9" i="265" s="1"/>
  <c r="F4" i="265"/>
  <c r="E70" i="262"/>
  <c r="B55" i="262"/>
  <c r="C55" i="262"/>
  <c r="H80" i="260"/>
  <c r="B55" i="267"/>
  <c r="Q60" i="267"/>
  <c r="Q52" i="267"/>
  <c r="B105" i="267"/>
  <c r="D105" i="267" s="1"/>
  <c r="J36" i="267"/>
  <c r="J48" i="267" s="1"/>
  <c r="B97" i="267"/>
  <c r="D97" i="267" s="1"/>
  <c r="C96" i="267"/>
  <c r="B80" i="267"/>
  <c r="I88" i="267"/>
  <c r="H94" i="267"/>
  <c r="H96" i="267" s="1"/>
  <c r="H108" i="267"/>
  <c r="I108" i="267" s="1"/>
  <c r="B72" i="267"/>
  <c r="H65" i="267"/>
  <c r="H82" i="267"/>
  <c r="B88" i="267"/>
  <c r="C88" i="267"/>
  <c r="J38" i="267"/>
  <c r="J65" i="267" s="1"/>
  <c r="C105" i="267"/>
  <c r="D104" i="267"/>
  <c r="C63" i="267"/>
  <c r="O96" i="267"/>
  <c r="N97" i="267"/>
  <c r="P97" i="267" s="1"/>
  <c r="H63" i="267"/>
  <c r="C107" i="267"/>
  <c r="B108" i="267"/>
  <c r="C108" i="267" s="1"/>
  <c r="I80" i="267"/>
  <c r="H72" i="267"/>
  <c r="O88" i="267"/>
  <c r="Q86" i="267"/>
  <c r="E100" i="267"/>
  <c r="E101" i="267" s="1"/>
  <c r="Q54" i="267"/>
  <c r="N72" i="267"/>
  <c r="Q85" i="267"/>
  <c r="K51" i="267"/>
  <c r="H55" i="267"/>
  <c r="P36" i="267"/>
  <c r="P48" i="267" s="1"/>
  <c r="P38" i="267"/>
  <c r="P65" i="267" s="1"/>
  <c r="C55" i="267"/>
  <c r="C80" i="267"/>
  <c r="E85" i="267"/>
  <c r="Q100" i="267"/>
  <c r="Q101" i="267" s="1"/>
  <c r="E52" i="267"/>
  <c r="E53" i="267"/>
  <c r="E54" i="267"/>
  <c r="E61" i="267"/>
  <c r="E62" i="267"/>
  <c r="C72" i="267"/>
  <c r="E86" i="267"/>
  <c r="N90" i="267"/>
  <c r="N92" i="267" s="1"/>
  <c r="J37" i="267"/>
  <c r="J39" i="267"/>
  <c r="J74" i="267" s="1"/>
  <c r="J43" i="267"/>
  <c r="I55" i="267"/>
  <c r="I63" i="267"/>
  <c r="H88" i="267"/>
  <c r="K52" i="267"/>
  <c r="K54" i="267"/>
  <c r="K60" i="267"/>
  <c r="K85" i="267"/>
  <c r="P37" i="267"/>
  <c r="P43" i="267"/>
  <c r="H80" i="267"/>
  <c r="N88" i="267"/>
  <c r="K100" i="267"/>
  <c r="K101" i="267" s="1"/>
  <c r="K69" i="267"/>
  <c r="O72" i="267"/>
  <c r="O107" i="254"/>
  <c r="N108" i="254"/>
  <c r="O108" i="254" s="1"/>
  <c r="B48" i="254"/>
  <c r="D36" i="254"/>
  <c r="D48" i="254" s="1"/>
  <c r="B80" i="254"/>
  <c r="O55" i="254"/>
  <c r="N55" i="254"/>
  <c r="Q51" i="254"/>
  <c r="C88" i="254"/>
  <c r="B88" i="254"/>
  <c r="D57" i="254"/>
  <c r="I55" i="254"/>
  <c r="H72" i="254"/>
  <c r="H80" i="254"/>
  <c r="C104" i="254"/>
  <c r="P57" i="254"/>
  <c r="Q87" i="254"/>
  <c r="O104" i="254"/>
  <c r="N105" i="254"/>
  <c r="P105" i="254" s="1"/>
  <c r="K85" i="254"/>
  <c r="H88" i="254"/>
  <c r="I88" i="254"/>
  <c r="N72" i="254"/>
  <c r="C55" i="254"/>
  <c r="E51" i="254"/>
  <c r="B55" i="254"/>
  <c r="N63" i="254"/>
  <c r="I107" i="254"/>
  <c r="H108" i="254"/>
  <c r="H109" i="254" s="1"/>
  <c r="I109" i="254" s="1"/>
  <c r="O88" i="254"/>
  <c r="H55" i="254"/>
  <c r="O96" i="254"/>
  <c r="N97" i="254"/>
  <c r="P97" i="254" s="1"/>
  <c r="I63" i="254"/>
  <c r="E85" i="254"/>
  <c r="K60" i="254"/>
  <c r="D39" i="254"/>
  <c r="D74" i="254" s="1"/>
  <c r="Q62" i="254"/>
  <c r="N82" i="254"/>
  <c r="E100" i="254"/>
  <c r="E101" i="254" s="1"/>
  <c r="N88" i="254"/>
  <c r="Q70" i="254"/>
  <c r="H48" i="254"/>
  <c r="E52" i="254"/>
  <c r="E53" i="254"/>
  <c r="C63" i="254"/>
  <c r="Q100" i="254"/>
  <c r="Q101" i="254" s="1"/>
  <c r="B108" i="254"/>
  <c r="C108" i="254" s="1"/>
  <c r="J82" i="254"/>
  <c r="E60" i="254"/>
  <c r="E61" i="254"/>
  <c r="B65" i="254"/>
  <c r="Q85" i="254"/>
  <c r="K52" i="254"/>
  <c r="P38" i="254"/>
  <c r="P65" i="254" s="1"/>
  <c r="K62" i="254"/>
  <c r="C80" i="254"/>
  <c r="E86" i="254"/>
  <c r="P43" i="254"/>
  <c r="Q110" i="254" s="1"/>
  <c r="Q122" i="254" s="1"/>
  <c r="P36" i="254"/>
  <c r="P48" i="254" s="1"/>
  <c r="J74" i="254"/>
  <c r="Q52" i="254"/>
  <c r="Q60" i="254"/>
  <c r="Q71" i="254"/>
  <c r="Q86" i="254"/>
  <c r="I96" i="254"/>
  <c r="H97" i="254"/>
  <c r="J97" i="254" s="1"/>
  <c r="K100" i="254"/>
  <c r="K101" i="254" s="1"/>
  <c r="J38" i="254"/>
  <c r="J65" i="254" s="1"/>
  <c r="J42" i="254"/>
  <c r="H74" i="254"/>
  <c r="H102" i="254"/>
  <c r="H104" i="254" s="1"/>
  <c r="H82" i="254"/>
  <c r="H90" i="254"/>
  <c r="H92" i="254" s="1"/>
  <c r="J37" i="254"/>
  <c r="J43" i="254"/>
  <c r="P65" i="252"/>
  <c r="E87" i="252"/>
  <c r="D74" i="252"/>
  <c r="K86" i="252"/>
  <c r="D82" i="252"/>
  <c r="J82" i="252"/>
  <c r="J36" i="252"/>
  <c r="J48" i="252" s="1"/>
  <c r="P48" i="252"/>
  <c r="H94" i="252"/>
  <c r="H96" i="252" s="1"/>
  <c r="I96" i="252" s="1"/>
  <c r="N55" i="252"/>
  <c r="O88" i="252"/>
  <c r="H102" i="252"/>
  <c r="H104" i="252" s="1"/>
  <c r="H105" i="252" s="1"/>
  <c r="J105" i="252" s="1"/>
  <c r="N82" i="252"/>
  <c r="J38" i="252"/>
  <c r="J65" i="252" s="1"/>
  <c r="B98" i="252"/>
  <c r="B100" i="252" s="1"/>
  <c r="B101" i="252" s="1"/>
  <c r="D101" i="252" s="1"/>
  <c r="B72" i="252"/>
  <c r="H80" i="252"/>
  <c r="H63" i="252"/>
  <c r="N63" i="252"/>
  <c r="C88" i="252"/>
  <c r="K87" i="252"/>
  <c r="N80" i="252"/>
  <c r="P82" i="252"/>
  <c r="N57" i="252"/>
  <c r="Q87" i="252"/>
  <c r="B80" i="252"/>
  <c r="H108" i="252"/>
  <c r="I108" i="252" s="1"/>
  <c r="I107" i="252"/>
  <c r="H55" i="252"/>
  <c r="K51" i="252"/>
  <c r="H72" i="252"/>
  <c r="N93" i="252"/>
  <c r="P93" i="252" s="1"/>
  <c r="O92" i="252"/>
  <c r="E51" i="252"/>
  <c r="B55" i="252"/>
  <c r="N72" i="252"/>
  <c r="D57" i="252"/>
  <c r="E108" i="252"/>
  <c r="E120" i="252" s="1"/>
  <c r="E110" i="252"/>
  <c r="E122" i="252" s="1"/>
  <c r="B35" i="252"/>
  <c r="H88" i="252"/>
  <c r="I88" i="252"/>
  <c r="P57" i="252"/>
  <c r="B63" i="252"/>
  <c r="H93" i="252"/>
  <c r="J93" i="252" s="1"/>
  <c r="I92" i="252"/>
  <c r="C63" i="252"/>
  <c r="J37" i="252"/>
  <c r="J39" i="252"/>
  <c r="J74" i="252" s="1"/>
  <c r="J41" i="252"/>
  <c r="J43" i="252"/>
  <c r="N48" i="252"/>
  <c r="I55" i="252"/>
  <c r="I63" i="252"/>
  <c r="K61" i="252"/>
  <c r="O80" i="252"/>
  <c r="K85" i="252"/>
  <c r="C107" i="252"/>
  <c r="Q68" i="252"/>
  <c r="K52" i="252"/>
  <c r="K53" i="252"/>
  <c r="K54" i="252"/>
  <c r="K62" i="252"/>
  <c r="H65" i="252"/>
  <c r="B74" i="252"/>
  <c r="N88" i="252"/>
  <c r="N98" i="252"/>
  <c r="N100" i="252" s="1"/>
  <c r="N101" i="252" s="1"/>
  <c r="P101" i="252" s="1"/>
  <c r="N108" i="252"/>
  <c r="O108" i="252" s="1"/>
  <c r="P39" i="252"/>
  <c r="P74" i="252" s="1"/>
  <c r="P41" i="252"/>
  <c r="E71" i="252"/>
  <c r="B94" i="252"/>
  <c r="B96" i="252" s="1"/>
  <c r="B102" i="252"/>
  <c r="B104" i="252" s="1"/>
  <c r="O72" i="252"/>
  <c r="D36" i="252"/>
  <c r="D48" i="252" s="1"/>
  <c r="D38" i="252"/>
  <c r="D65" i="252" s="1"/>
  <c r="O55" i="252"/>
  <c r="O63" i="252"/>
  <c r="N65" i="252"/>
  <c r="Q85" i="252"/>
  <c r="N94" i="252"/>
  <c r="N96" i="252" s="1"/>
  <c r="N102" i="252"/>
  <c r="N104" i="252" s="1"/>
  <c r="Q51" i="252"/>
  <c r="Q52" i="252"/>
  <c r="Q53" i="252"/>
  <c r="Q54" i="252"/>
  <c r="Q60" i="252"/>
  <c r="Q61" i="252"/>
  <c r="K71" i="252"/>
  <c r="B82" i="252"/>
  <c r="Q86" i="252"/>
  <c r="K100" i="252"/>
  <c r="K101" i="252" s="1"/>
  <c r="B108" i="252"/>
  <c r="C108" i="252" s="1"/>
  <c r="B90" i="252"/>
  <c r="B92" i="252" s="1"/>
  <c r="E54" i="252"/>
  <c r="E85" i="252"/>
  <c r="E86" i="252"/>
  <c r="E52" i="252"/>
  <c r="B57" i="252"/>
  <c r="E60" i="252"/>
  <c r="E62" i="252"/>
  <c r="B88" i="252"/>
  <c r="I104" i="237"/>
  <c r="H105" i="237"/>
  <c r="J105" i="237" s="1"/>
  <c r="O104" i="237"/>
  <c r="N105" i="237"/>
  <c r="P105" i="237" s="1"/>
  <c r="H80" i="237"/>
  <c r="B97" i="237"/>
  <c r="D97" i="237" s="1"/>
  <c r="C96" i="237"/>
  <c r="C107" i="237"/>
  <c r="B108" i="237"/>
  <c r="C108" i="237" s="1"/>
  <c r="E51" i="237"/>
  <c r="C55" i="237"/>
  <c r="B55" i="237"/>
  <c r="H97" i="237"/>
  <c r="J97" i="237" s="1"/>
  <c r="I96" i="237"/>
  <c r="I88" i="237"/>
  <c r="K85" i="237"/>
  <c r="H88" i="237"/>
  <c r="O96" i="237"/>
  <c r="N97" i="237"/>
  <c r="P97" i="237" s="1"/>
  <c r="D57" i="237"/>
  <c r="I107" i="237"/>
  <c r="H108" i="237"/>
  <c r="I108" i="237" s="1"/>
  <c r="N108" i="237"/>
  <c r="O108" i="237" s="1"/>
  <c r="O107" i="237"/>
  <c r="J82" i="237"/>
  <c r="N55" i="237"/>
  <c r="Q51" i="237"/>
  <c r="N93" i="237"/>
  <c r="P93" i="237" s="1"/>
  <c r="N72" i="237"/>
  <c r="P82" i="237"/>
  <c r="B93" i="237"/>
  <c r="D93" i="237" s="1"/>
  <c r="C92" i="237"/>
  <c r="C88" i="237"/>
  <c r="E87" i="237"/>
  <c r="B105" i="237"/>
  <c r="D105" i="237" s="1"/>
  <c r="C104" i="237"/>
  <c r="O55" i="237"/>
  <c r="D36" i="237"/>
  <c r="D48" i="237" s="1"/>
  <c r="D38" i="237"/>
  <c r="D65" i="237" s="1"/>
  <c r="D42" i="237"/>
  <c r="D44" i="237"/>
  <c r="Q52" i="237"/>
  <c r="Q60" i="237"/>
  <c r="Q100" i="237"/>
  <c r="Q101" i="237" s="1"/>
  <c r="H82" i="237"/>
  <c r="E61" i="237"/>
  <c r="J38" i="237"/>
  <c r="J65" i="237" s="1"/>
  <c r="J42" i="237"/>
  <c r="J44" i="237"/>
  <c r="Q71" i="237"/>
  <c r="P36" i="237"/>
  <c r="P48" i="237" s="1"/>
  <c r="P38" i="237"/>
  <c r="P65" i="237" s="1"/>
  <c r="P42" i="237"/>
  <c r="P44" i="237"/>
  <c r="E52" i="237"/>
  <c r="D39" i="237"/>
  <c r="D74" i="237" s="1"/>
  <c r="D41" i="237"/>
  <c r="K86" i="237"/>
  <c r="N88" i="237"/>
  <c r="K61" i="237"/>
  <c r="N82" i="237"/>
  <c r="I80" i="237"/>
  <c r="O80" i="237"/>
  <c r="C63" i="237"/>
  <c r="Q85" i="237"/>
  <c r="K100" i="237"/>
  <c r="K101" i="237" s="1"/>
  <c r="I55" i="237"/>
  <c r="K87" i="248"/>
  <c r="K51" i="248"/>
  <c r="P65" i="248"/>
  <c r="D74" i="248"/>
  <c r="N82" i="248"/>
  <c r="C133" i="248"/>
  <c r="C151" i="248" s="1"/>
  <c r="D82" i="248"/>
  <c r="Q54" i="248"/>
  <c r="N65" i="248"/>
  <c r="H65" i="248"/>
  <c r="H93" i="248"/>
  <c r="J93" i="248" s="1"/>
  <c r="B88" i="248"/>
  <c r="B74" i="248"/>
  <c r="B80" i="248"/>
  <c r="E87" i="248"/>
  <c r="N72" i="248"/>
  <c r="P37" i="248"/>
  <c r="P57" i="248" s="1"/>
  <c r="B98" i="248"/>
  <c r="B100" i="248" s="1"/>
  <c r="E100" i="248" s="1"/>
  <c r="E101" i="248" s="1"/>
  <c r="Q87" i="248"/>
  <c r="K100" i="248"/>
  <c r="K101" i="248" s="1"/>
  <c r="E54" i="248"/>
  <c r="P44" i="248"/>
  <c r="N48" i="248"/>
  <c r="I88" i="248"/>
  <c r="J39" i="248"/>
  <c r="J74" i="248" s="1"/>
  <c r="N94" i="248"/>
  <c r="N96" i="248" s="1"/>
  <c r="N63" i="248"/>
  <c r="P39" i="248"/>
  <c r="P74" i="248" s="1"/>
  <c r="H72" i="248"/>
  <c r="C88" i="248"/>
  <c r="J43" i="248"/>
  <c r="B63" i="248"/>
  <c r="D48" i="248"/>
  <c r="P48" i="248"/>
  <c r="B90" i="248"/>
  <c r="B92" i="248" s="1"/>
  <c r="B93" i="248" s="1"/>
  <c r="D93" i="248" s="1"/>
  <c r="H80" i="248"/>
  <c r="I80" i="248"/>
  <c r="J57" i="248"/>
  <c r="N55" i="248"/>
  <c r="Q51" i="248"/>
  <c r="H97" i="248"/>
  <c r="J97" i="248" s="1"/>
  <c r="I96" i="248"/>
  <c r="I104" i="248"/>
  <c r="H105" i="248"/>
  <c r="J105" i="248" s="1"/>
  <c r="H63" i="248"/>
  <c r="O92" i="248"/>
  <c r="N93" i="248"/>
  <c r="P93" i="248" s="1"/>
  <c r="K61" i="248"/>
  <c r="J41" i="248"/>
  <c r="K52" i="248"/>
  <c r="O88" i="248"/>
  <c r="Q85" i="248"/>
  <c r="N88" i="248"/>
  <c r="P41" i="248"/>
  <c r="O104" i="248"/>
  <c r="N105" i="248"/>
  <c r="P105" i="248" s="1"/>
  <c r="K60" i="248"/>
  <c r="B72" i="248"/>
  <c r="N80" i="248"/>
  <c r="H88" i="248"/>
  <c r="B108" i="248"/>
  <c r="C108" i="248" s="1"/>
  <c r="H55" i="248"/>
  <c r="P43" i="248"/>
  <c r="K85" i="248"/>
  <c r="I93" i="248"/>
  <c r="Q100" i="248"/>
  <c r="Q101" i="248" s="1"/>
  <c r="H57" i="248"/>
  <c r="K62" i="248"/>
  <c r="E86" i="248"/>
  <c r="I107" i="248"/>
  <c r="H108" i="248"/>
  <c r="I108" i="248" s="1"/>
  <c r="N108" i="248"/>
  <c r="O108" i="248" s="1"/>
  <c r="K53" i="248"/>
  <c r="B55" i="248"/>
  <c r="E51" i="248"/>
  <c r="O80" i="248"/>
  <c r="K86" i="248"/>
  <c r="Q52" i="248"/>
  <c r="O63" i="248"/>
  <c r="J36" i="248"/>
  <c r="J48" i="248" s="1"/>
  <c r="J38" i="248"/>
  <c r="J65" i="248" s="1"/>
  <c r="J42" i="248"/>
  <c r="J44" i="248"/>
  <c r="B48" i="248"/>
  <c r="Q60" i="248"/>
  <c r="B94" i="248"/>
  <c r="B96" i="248" s="1"/>
  <c r="B82" i="248"/>
  <c r="Q86" i="248"/>
  <c r="B102" i="248"/>
  <c r="B104" i="248" s="1"/>
  <c r="O55" i="248"/>
  <c r="C55" i="248"/>
  <c r="E52" i="248"/>
  <c r="C63" i="248"/>
  <c r="E62" i="248"/>
  <c r="D38" i="248"/>
  <c r="D65" i="248" s="1"/>
  <c r="K71" i="248"/>
  <c r="D37" i="248"/>
  <c r="E61" i="248"/>
  <c r="Q70" i="248"/>
  <c r="E85" i="248"/>
  <c r="K62" i="237"/>
  <c r="K62" i="262"/>
  <c r="K62" i="264"/>
  <c r="K61" i="258"/>
  <c r="Q61" i="248"/>
  <c r="E60" i="262"/>
  <c r="E60" i="258"/>
  <c r="E60" i="250"/>
  <c r="K60" i="258"/>
  <c r="Q61" i="237"/>
  <c r="E61" i="250"/>
  <c r="E62" i="237"/>
  <c r="K62" i="267"/>
  <c r="Q62" i="260"/>
  <c r="Q62" i="237"/>
  <c r="K62" i="260"/>
  <c r="Q61" i="262"/>
  <c r="K61" i="260"/>
  <c r="Q61" i="254"/>
  <c r="E61" i="252"/>
  <c r="Q61" i="258"/>
  <c r="K61" i="262"/>
  <c r="E60" i="267"/>
  <c r="K60" i="264"/>
  <c r="B72" i="250"/>
  <c r="E70" i="250"/>
  <c r="C55" i="250"/>
  <c r="E52" i="250"/>
  <c r="E54" i="250"/>
  <c r="H72" i="237"/>
  <c r="K70" i="237"/>
  <c r="K51" i="237"/>
  <c r="K52" i="237"/>
  <c r="K54" i="237"/>
  <c r="H55" i="237"/>
  <c r="E85" i="237"/>
  <c r="Q70" i="264"/>
  <c r="E70" i="252"/>
  <c r="K71" i="262"/>
  <c r="Q71" i="248"/>
  <c r="Q71" i="250"/>
  <c r="E71" i="264"/>
  <c r="Q71" i="262"/>
  <c r="K71" i="237"/>
  <c r="K71" i="254"/>
  <c r="E71" i="250"/>
  <c r="K71" i="260"/>
  <c r="K71" i="258"/>
  <c r="Q71" i="258"/>
  <c r="K71" i="267"/>
  <c r="D71" i="248"/>
  <c r="E71" i="248" s="1"/>
  <c r="D71" i="237"/>
  <c r="E71" i="237" s="1"/>
  <c r="D71" i="254"/>
  <c r="E71" i="254" s="1"/>
  <c r="P71" i="267"/>
  <c r="Q71" i="267" s="1"/>
  <c r="D71" i="258"/>
  <c r="E71" i="258" s="1"/>
  <c r="D71" i="262"/>
  <c r="E71" i="262" s="1"/>
  <c r="O72" i="248"/>
  <c r="O72" i="254"/>
  <c r="O72" i="258"/>
  <c r="P71" i="260"/>
  <c r="Q71" i="260" s="1"/>
  <c r="J71" i="250"/>
  <c r="K71" i="250" s="1"/>
  <c r="P71" i="252"/>
  <c r="Q71" i="252" s="1"/>
  <c r="D71" i="267"/>
  <c r="E71" i="267" s="1"/>
  <c r="D71" i="260"/>
  <c r="E71" i="260" s="1"/>
  <c r="D70" i="254"/>
  <c r="E70" i="254" s="1"/>
  <c r="O72" i="264"/>
  <c r="J70" i="267"/>
  <c r="K70" i="267" s="1"/>
  <c r="J70" i="260"/>
  <c r="K70" i="260" s="1"/>
  <c r="D70" i="264"/>
  <c r="E70" i="264" s="1"/>
  <c r="J70" i="262"/>
  <c r="K70" i="262" s="1"/>
  <c r="D70" i="248"/>
  <c r="E70" i="248" s="1"/>
  <c r="C72" i="250"/>
  <c r="J70" i="250"/>
  <c r="K70" i="250" s="1"/>
  <c r="J70" i="252"/>
  <c r="K70" i="252" s="1"/>
  <c r="J70" i="258"/>
  <c r="K70" i="258" s="1"/>
  <c r="J70" i="254"/>
  <c r="K70" i="254" s="1"/>
  <c r="P70" i="267"/>
  <c r="Q70" i="267" s="1"/>
  <c r="P70" i="260"/>
  <c r="Q70" i="260" s="1"/>
  <c r="J70" i="264"/>
  <c r="K70" i="264" s="1"/>
  <c r="P70" i="237"/>
  <c r="Q70" i="237" s="1"/>
  <c r="I72" i="252"/>
  <c r="D70" i="267"/>
  <c r="E70" i="267" s="1"/>
  <c r="D70" i="260"/>
  <c r="E70" i="260" s="1"/>
  <c r="P70" i="262"/>
  <c r="Q70" i="262" s="1"/>
  <c r="J70" i="248"/>
  <c r="K70" i="248" s="1"/>
  <c r="D70" i="237"/>
  <c r="E70" i="237" s="1"/>
  <c r="P70" i="250"/>
  <c r="Q70" i="250" s="1"/>
  <c r="P70" i="252"/>
  <c r="Q70" i="252" s="1"/>
  <c r="E54" i="237"/>
  <c r="E54" i="264"/>
  <c r="Q54" i="258"/>
  <c r="K54" i="262"/>
  <c r="K54" i="254"/>
  <c r="I55" i="250"/>
  <c r="E54" i="258"/>
  <c r="Q54" i="262"/>
  <c r="C55" i="252"/>
  <c r="Q54" i="254"/>
  <c r="Q54" i="250"/>
  <c r="K54" i="248"/>
  <c r="K54" i="258"/>
  <c r="E54" i="262"/>
  <c r="E54" i="254"/>
  <c r="Q54" i="237"/>
  <c r="O55" i="250"/>
  <c r="Q62" i="248"/>
  <c r="C80" i="258"/>
  <c r="D79" i="237"/>
  <c r="E79" i="237" s="1"/>
  <c r="O80" i="250"/>
  <c r="Q62" i="252"/>
  <c r="D79" i="252"/>
  <c r="E79" i="252" s="1"/>
  <c r="D79" i="254"/>
  <c r="E79" i="254" s="1"/>
  <c r="E62" i="258"/>
  <c r="P79" i="260"/>
  <c r="Q79" i="260" s="1"/>
  <c r="Q62" i="250"/>
  <c r="D79" i="250"/>
  <c r="E79" i="250" s="1"/>
  <c r="P79" i="262"/>
  <c r="Q79" i="262" s="1"/>
  <c r="J79" i="248"/>
  <c r="K79" i="248" s="1"/>
  <c r="C80" i="252"/>
  <c r="J79" i="258"/>
  <c r="K79" i="258" s="1"/>
  <c r="D79" i="260"/>
  <c r="E79" i="260" s="1"/>
  <c r="E62" i="254"/>
  <c r="P79" i="267"/>
  <c r="Q79" i="267" s="1"/>
  <c r="D79" i="262"/>
  <c r="E79" i="262" s="1"/>
  <c r="P79" i="264"/>
  <c r="Q79" i="264" s="1"/>
  <c r="I63" i="237"/>
  <c r="I63" i="250"/>
  <c r="J79" i="237"/>
  <c r="K79" i="237" s="1"/>
  <c r="J79" i="252"/>
  <c r="K79" i="252" s="1"/>
  <c r="J79" i="254"/>
  <c r="K79" i="254" s="1"/>
  <c r="D79" i="267"/>
  <c r="E79" i="267" s="1"/>
  <c r="I63" i="262"/>
  <c r="C80" i="262"/>
  <c r="D79" i="264"/>
  <c r="E79" i="264" s="1"/>
  <c r="E62" i="262"/>
  <c r="J78" i="264"/>
  <c r="K78" i="264" s="1"/>
  <c r="D78" i="260"/>
  <c r="E78" i="260" s="1"/>
  <c r="I63" i="248"/>
  <c r="K61" i="267"/>
  <c r="I80" i="254"/>
  <c r="C80" i="248"/>
  <c r="K61" i="254"/>
  <c r="O80" i="254"/>
  <c r="O63" i="237"/>
  <c r="C80" i="237"/>
  <c r="O63" i="258"/>
  <c r="E61" i="260"/>
  <c r="K61" i="264"/>
  <c r="I63" i="260"/>
  <c r="O63" i="264"/>
  <c r="O63" i="254"/>
  <c r="I80" i="252"/>
  <c r="I80" i="260"/>
  <c r="I80" i="262"/>
  <c r="K61" i="250"/>
  <c r="O80" i="267"/>
  <c r="J77" i="254"/>
  <c r="K77" i="254" s="1"/>
  <c r="J77" i="250"/>
  <c r="K77" i="250" s="1"/>
  <c r="P77" i="237"/>
  <c r="Q77" i="237" s="1"/>
  <c r="P77" i="248"/>
  <c r="Q77" i="248" s="1"/>
  <c r="J77" i="264"/>
  <c r="K77" i="264" s="1"/>
  <c r="J77" i="262"/>
  <c r="K77" i="262" s="1"/>
  <c r="J77" i="258"/>
  <c r="K77" i="258" s="1"/>
  <c r="J77" i="267"/>
  <c r="K77" i="267" s="1"/>
  <c r="P77" i="252"/>
  <c r="Q77" i="252" s="1"/>
  <c r="D77" i="260"/>
  <c r="E77" i="260" s="1"/>
  <c r="P77" i="254"/>
  <c r="Q77" i="254" s="1"/>
  <c r="P77" i="250"/>
  <c r="Q77" i="250" s="1"/>
  <c r="P77" i="260"/>
  <c r="Q77" i="260" s="1"/>
  <c r="D77" i="254"/>
  <c r="E77" i="254" s="1"/>
  <c r="D77" i="250"/>
  <c r="E77" i="250" s="1"/>
  <c r="J77" i="237"/>
  <c r="K77" i="237" s="1"/>
  <c r="J77" i="248"/>
  <c r="K77" i="248" s="1"/>
  <c r="D77" i="264"/>
  <c r="E77" i="264" s="1"/>
  <c r="D77" i="262"/>
  <c r="E77" i="262" s="1"/>
  <c r="D77" i="258"/>
  <c r="E77" i="258" s="1"/>
  <c r="D77" i="267"/>
  <c r="E77" i="267" s="1"/>
  <c r="J77" i="252"/>
  <c r="K77" i="252" s="1"/>
  <c r="P77" i="264"/>
  <c r="Q77" i="264" s="1"/>
  <c r="P77" i="262"/>
  <c r="Q77" i="262" s="1"/>
  <c r="P77" i="258"/>
  <c r="Q77" i="258" s="1"/>
  <c r="P77" i="267"/>
  <c r="Q77" i="267" s="1"/>
  <c r="J77" i="260"/>
  <c r="K77" i="260" s="1"/>
  <c r="D77" i="237"/>
  <c r="E77" i="237" s="1"/>
  <c r="D77" i="248"/>
  <c r="E77" i="248" s="1"/>
  <c r="D77" i="252"/>
  <c r="E77" i="252" s="1"/>
  <c r="E60" i="248"/>
  <c r="E60" i="237"/>
  <c r="K60" i="260"/>
  <c r="I63" i="258"/>
  <c r="I80" i="258"/>
  <c r="Q60" i="264"/>
  <c r="I80" i="264"/>
  <c r="K60" i="252"/>
  <c r="K60" i="237"/>
  <c r="K53" i="254"/>
  <c r="K53" i="258"/>
  <c r="Q53" i="260"/>
  <c r="E53" i="252"/>
  <c r="E53" i="262"/>
  <c r="Q53" i="248"/>
  <c r="E53" i="248"/>
  <c r="K53" i="237"/>
  <c r="Q53" i="254"/>
  <c r="Q53" i="258"/>
  <c r="E53" i="260"/>
  <c r="I55" i="248"/>
  <c r="Q53" i="250"/>
  <c r="O55" i="264"/>
  <c r="Q53" i="237"/>
  <c r="E53" i="250"/>
  <c r="E53" i="237"/>
  <c r="Q53" i="267"/>
  <c r="K53" i="267"/>
  <c r="P69" i="260"/>
  <c r="Q69" i="260" s="1"/>
  <c r="P69" i="262"/>
  <c r="Q69" i="262" s="1"/>
  <c r="D69" i="260"/>
  <c r="E69" i="260" s="1"/>
  <c r="P69" i="264"/>
  <c r="Q69" i="264" s="1"/>
  <c r="D69" i="237"/>
  <c r="E69" i="237" s="1"/>
  <c r="D69" i="262"/>
  <c r="E69" i="262" s="1"/>
  <c r="I72" i="250"/>
  <c r="C72" i="260"/>
  <c r="D69" i="264"/>
  <c r="E69" i="264" s="1"/>
  <c r="C72" i="237"/>
  <c r="P69" i="252"/>
  <c r="Q69" i="252" s="1"/>
  <c r="C72" i="262"/>
  <c r="J69" i="248"/>
  <c r="K69" i="248" s="1"/>
  <c r="D69" i="267"/>
  <c r="E69" i="267" s="1"/>
  <c r="P69" i="258"/>
  <c r="Q69" i="258" s="1"/>
  <c r="C72" i="264"/>
  <c r="D69" i="252"/>
  <c r="E69" i="252" s="1"/>
  <c r="J69" i="254"/>
  <c r="K69" i="254" s="1"/>
  <c r="J69" i="260"/>
  <c r="K69" i="260" s="1"/>
  <c r="I72" i="237"/>
  <c r="J69" i="237"/>
  <c r="K69" i="237" s="1"/>
  <c r="D69" i="258"/>
  <c r="E69" i="258" s="1"/>
  <c r="I72" i="262"/>
  <c r="J69" i="262"/>
  <c r="K69" i="262" s="1"/>
  <c r="J69" i="250"/>
  <c r="K69" i="250" s="1"/>
  <c r="P69" i="250"/>
  <c r="Q69" i="250" s="1"/>
  <c r="J69" i="264"/>
  <c r="K69" i="264" s="1"/>
  <c r="C72" i="258"/>
  <c r="J69" i="252"/>
  <c r="K69" i="252" s="1"/>
  <c r="P69" i="254"/>
  <c r="Q69" i="254" s="1"/>
  <c r="D69" i="248"/>
  <c r="E69" i="248" s="1"/>
  <c r="P69" i="237"/>
  <c r="Q69" i="237" s="1"/>
  <c r="J69" i="258"/>
  <c r="K69" i="258" s="1"/>
  <c r="D69" i="254"/>
  <c r="E69" i="254" s="1"/>
  <c r="P69" i="267"/>
  <c r="Q69" i="267" s="1"/>
  <c r="P69" i="248"/>
  <c r="Q69" i="248" s="1"/>
  <c r="O72" i="237"/>
  <c r="D69" i="250"/>
  <c r="E69" i="250" s="1"/>
  <c r="I72" i="267"/>
  <c r="J68" i="248"/>
  <c r="K68" i="248" s="1"/>
  <c r="P68" i="237"/>
  <c r="Q68" i="237" s="1"/>
  <c r="D68" i="267"/>
  <c r="E68" i="267" s="1"/>
  <c r="J68" i="250"/>
  <c r="K68" i="250" s="1"/>
  <c r="D68" i="248"/>
  <c r="E68" i="248" s="1"/>
  <c r="P68" i="250"/>
  <c r="Q68" i="250" s="1"/>
  <c r="C72" i="248"/>
  <c r="D68" i="237"/>
  <c r="E68" i="237" s="1"/>
  <c r="P68" i="248"/>
  <c r="Q68" i="248" s="1"/>
  <c r="I72" i="248"/>
  <c r="I72" i="254"/>
  <c r="I72" i="258"/>
  <c r="C72" i="252"/>
  <c r="P68" i="264"/>
  <c r="Q68" i="264" s="1"/>
  <c r="J68" i="262"/>
  <c r="K68" i="262" s="1"/>
  <c r="P68" i="258"/>
  <c r="Q68" i="258" s="1"/>
  <c r="J68" i="264"/>
  <c r="K68" i="264" s="1"/>
  <c r="J68" i="260"/>
  <c r="K68" i="260" s="1"/>
  <c r="D68" i="258"/>
  <c r="E68" i="258" s="1"/>
  <c r="P68" i="262"/>
  <c r="Q68" i="262" s="1"/>
  <c r="J68" i="267"/>
  <c r="K68" i="267" s="1"/>
  <c r="D68" i="260"/>
  <c r="E68" i="260" s="1"/>
  <c r="D68" i="264"/>
  <c r="E68" i="264" s="1"/>
  <c r="J68" i="258"/>
  <c r="K68" i="258" s="1"/>
  <c r="D68" i="262"/>
  <c r="E68" i="262" s="1"/>
  <c r="P68" i="254"/>
  <c r="Q68" i="254" s="1"/>
  <c r="P68" i="267"/>
  <c r="Q68" i="267" s="1"/>
  <c r="J68" i="252"/>
  <c r="K68" i="252" s="1"/>
  <c r="P68" i="260"/>
  <c r="Q68" i="260" s="1"/>
  <c r="J68" i="254"/>
  <c r="K68" i="254" s="1"/>
  <c r="J68" i="237"/>
  <c r="K68" i="237" s="1"/>
  <c r="D68" i="250"/>
  <c r="E68" i="250" s="1"/>
  <c r="O72" i="250"/>
  <c r="D68" i="252"/>
  <c r="E68" i="252" s="1"/>
  <c r="C72" i="254"/>
  <c r="D68" i="254"/>
  <c r="E68" i="254" s="1"/>
  <c r="I72" i="260"/>
  <c r="O72" i="262"/>
  <c r="P78" i="237" l="1"/>
  <c r="Q78" i="237" s="1"/>
  <c r="D78" i="262"/>
  <c r="E78" i="262" s="1"/>
  <c r="J78" i="248"/>
  <c r="K78" i="248" s="1"/>
  <c r="J78" i="267"/>
  <c r="K78" i="267" s="1"/>
  <c r="J78" i="262"/>
  <c r="K78" i="262" s="1"/>
  <c r="K80" i="262" s="1"/>
  <c r="D78" i="264"/>
  <c r="E78" i="264" s="1"/>
  <c r="P78" i="254"/>
  <c r="Q78" i="254" s="1"/>
  <c r="Q80" i="254" s="1"/>
  <c r="P81" i="254" s="1"/>
  <c r="P78" i="248"/>
  <c r="Q78" i="248" s="1"/>
  <c r="Q80" i="248" s="1"/>
  <c r="J78" i="260"/>
  <c r="K78" i="260" s="1"/>
  <c r="P78" i="258"/>
  <c r="Q78" i="258" s="1"/>
  <c r="J78" i="254"/>
  <c r="K78" i="254" s="1"/>
  <c r="K80" i="254" s="1"/>
  <c r="J81" i="254" s="1"/>
  <c r="D78" i="267"/>
  <c r="E78" i="267" s="1"/>
  <c r="E80" i="267" s="1"/>
  <c r="D81" i="267" s="1"/>
  <c r="P78" i="260"/>
  <c r="Q78" i="260" s="1"/>
  <c r="Q80" i="260" s="1"/>
  <c r="P78" i="250"/>
  <c r="Q78" i="250" s="1"/>
  <c r="P78" i="252"/>
  <c r="Q78" i="252" s="1"/>
  <c r="D78" i="252"/>
  <c r="E78" i="252" s="1"/>
  <c r="J78" i="250"/>
  <c r="K78" i="250" s="1"/>
  <c r="K80" i="250" s="1"/>
  <c r="J81" i="250" s="1"/>
  <c r="B35" i="267"/>
  <c r="C104" i="262"/>
  <c r="C105" i="262" s="1"/>
  <c r="P78" i="267"/>
  <c r="Q78" i="267" s="1"/>
  <c r="Q80" i="267" s="1"/>
  <c r="P81" i="267" s="1"/>
  <c r="D78" i="250"/>
  <c r="E78" i="250" s="1"/>
  <c r="D78" i="248"/>
  <c r="E78" i="248" s="1"/>
  <c r="J78" i="237"/>
  <c r="K78" i="237" s="1"/>
  <c r="K80" i="237" s="1"/>
  <c r="J81" i="237" s="1"/>
  <c r="D78" i="237"/>
  <c r="E78" i="237" s="1"/>
  <c r="E80" i="237" s="1"/>
  <c r="D81" i="237" s="1"/>
  <c r="D78" i="254"/>
  <c r="E78" i="254" s="1"/>
  <c r="E80" i="254" s="1"/>
  <c r="D81" i="254" s="1"/>
  <c r="J78" i="258"/>
  <c r="K78" i="258" s="1"/>
  <c r="K80" i="258" s="1"/>
  <c r="J81" i="258" s="1"/>
  <c r="P78" i="262"/>
  <c r="Q78" i="262" s="1"/>
  <c r="Q80" i="262" s="1"/>
  <c r="D78" i="258"/>
  <c r="E78" i="258" s="1"/>
  <c r="E80" i="258" s="1"/>
  <c r="P78" i="264"/>
  <c r="Q78" i="264" s="1"/>
  <c r="Q80" i="264" s="1"/>
  <c r="P81" i="264" s="1"/>
  <c r="C75" i="258"/>
  <c r="B25" i="260"/>
  <c r="D16" i="260" s="1"/>
  <c r="B7" i="264"/>
  <c r="C14" i="265" s="1"/>
  <c r="B7" i="250"/>
  <c r="C14" i="288" s="1"/>
  <c r="B25" i="262"/>
  <c r="D16" i="262" s="1"/>
  <c r="B7" i="252"/>
  <c r="C14" i="286" s="1"/>
  <c r="B25" i="267"/>
  <c r="D16" i="267" s="1"/>
  <c r="B25" i="254"/>
  <c r="D16" i="254" s="1"/>
  <c r="B7" i="262"/>
  <c r="C14" i="274" s="1"/>
  <c r="B7" i="260"/>
  <c r="B7" i="267"/>
  <c r="C14" i="281" s="1"/>
  <c r="B7" i="254"/>
  <c r="C14" i="284" s="1"/>
  <c r="B25" i="258"/>
  <c r="D16" i="258" s="1"/>
  <c r="B7" i="258"/>
  <c r="C14" i="279" s="1"/>
  <c r="J6" i="276"/>
  <c r="G74" i="140"/>
  <c r="H4" i="276"/>
  <c r="K5" i="276" s="1"/>
  <c r="J6" i="290"/>
  <c r="J6" i="286"/>
  <c r="G68" i="140"/>
  <c r="H4" i="290"/>
  <c r="K5" i="290" s="1"/>
  <c r="G70" i="140"/>
  <c r="H4" i="286"/>
  <c r="K5" i="286" s="1"/>
  <c r="J6" i="279"/>
  <c r="J6" i="284"/>
  <c r="G73" i="140"/>
  <c r="H4" i="279"/>
  <c r="G71" i="140"/>
  <c r="H4" i="284"/>
  <c r="J6" i="291"/>
  <c r="J6" i="274"/>
  <c r="G67" i="140"/>
  <c r="H4" i="291"/>
  <c r="G75" i="140"/>
  <c r="H4" i="274"/>
  <c r="J6" i="288"/>
  <c r="J6" i="281"/>
  <c r="G69" i="140"/>
  <c r="H4" i="288"/>
  <c r="K5" i="288" s="1"/>
  <c r="G72" i="140"/>
  <c r="H4" i="281"/>
  <c r="G57" i="289"/>
  <c r="G56" i="287"/>
  <c r="G55" i="285"/>
  <c r="G56" i="283"/>
  <c r="G55" i="280"/>
  <c r="G55" i="278"/>
  <c r="B35" i="260"/>
  <c r="E39" i="265"/>
  <c r="C151" i="264"/>
  <c r="B25" i="264" s="1"/>
  <c r="D16" i="264" s="1"/>
  <c r="C151" i="250"/>
  <c r="C151" i="252"/>
  <c r="C151" i="237"/>
  <c r="B25" i="248"/>
  <c r="C32" i="291" s="1"/>
  <c r="G55" i="273"/>
  <c r="O136" i="264"/>
  <c r="O137" i="264"/>
  <c r="I136" i="264"/>
  <c r="I137" i="264"/>
  <c r="C137" i="264"/>
  <c r="O142" i="262"/>
  <c r="O136" i="262"/>
  <c r="O137" i="262"/>
  <c r="O141" i="262"/>
  <c r="O139" i="262"/>
  <c r="O145" i="262"/>
  <c r="O134" i="262"/>
  <c r="O138" i="262"/>
  <c r="O144" i="262"/>
  <c r="O143" i="262"/>
  <c r="I137" i="262"/>
  <c r="I136" i="262"/>
  <c r="I134" i="262"/>
  <c r="I144" i="262"/>
  <c r="I142" i="262"/>
  <c r="I138" i="262"/>
  <c r="I139" i="262"/>
  <c r="I141" i="262"/>
  <c r="I143" i="262"/>
  <c r="I145" i="262"/>
  <c r="N35" i="260"/>
  <c r="O137" i="260"/>
  <c r="B11" i="260" s="1"/>
  <c r="O136" i="260"/>
  <c r="O134" i="260"/>
  <c r="B8" i="260" s="1"/>
  <c r="O143" i="260"/>
  <c r="B17" i="260" s="1"/>
  <c r="O144" i="260"/>
  <c r="B18" i="260" s="1"/>
  <c r="O142" i="260"/>
  <c r="B16" i="260" s="1"/>
  <c r="O138" i="260"/>
  <c r="B12" i="260" s="1"/>
  <c r="O139" i="260"/>
  <c r="B13" i="260" s="1"/>
  <c r="O145" i="260"/>
  <c r="B19" i="260" s="1"/>
  <c r="O141" i="260"/>
  <c r="B15" i="260" s="1"/>
  <c r="O142" i="258"/>
  <c r="O137" i="258"/>
  <c r="O136" i="258"/>
  <c r="O134" i="258"/>
  <c r="O138" i="258"/>
  <c r="O139" i="258"/>
  <c r="O143" i="258"/>
  <c r="O141" i="258"/>
  <c r="O145" i="258"/>
  <c r="O144" i="258"/>
  <c r="I136" i="258"/>
  <c r="I137" i="258"/>
  <c r="I134" i="258"/>
  <c r="I138" i="258"/>
  <c r="I139" i="258"/>
  <c r="I141" i="258"/>
  <c r="I143" i="258"/>
  <c r="I142" i="258"/>
  <c r="I144" i="258"/>
  <c r="I145" i="258"/>
  <c r="I142" i="267"/>
  <c r="I137" i="267"/>
  <c r="I136" i="267"/>
  <c r="I144" i="267"/>
  <c r="I145" i="267"/>
  <c r="I141" i="267"/>
  <c r="I134" i="267"/>
  <c r="I143" i="267"/>
  <c r="I139" i="267"/>
  <c r="I138" i="267"/>
  <c r="H93" i="267"/>
  <c r="J93" i="267" s="1"/>
  <c r="O141" i="267"/>
  <c r="O137" i="267"/>
  <c r="O136" i="267"/>
  <c r="O139" i="267"/>
  <c r="O142" i="267"/>
  <c r="O143" i="267"/>
  <c r="O144" i="267"/>
  <c r="O134" i="267"/>
  <c r="O138" i="267"/>
  <c r="O145" i="267"/>
  <c r="I142" i="254"/>
  <c r="I137" i="254"/>
  <c r="I136" i="254"/>
  <c r="I145" i="254"/>
  <c r="I141" i="254"/>
  <c r="I143" i="254"/>
  <c r="I144" i="254"/>
  <c r="I134" i="254"/>
  <c r="I138" i="254"/>
  <c r="I139" i="254"/>
  <c r="O137" i="254"/>
  <c r="O136" i="254"/>
  <c r="O143" i="254"/>
  <c r="O138" i="254"/>
  <c r="O144" i="254"/>
  <c r="O145" i="254"/>
  <c r="O141" i="254"/>
  <c r="O142" i="254"/>
  <c r="O134" i="254"/>
  <c r="O139" i="254"/>
  <c r="O137" i="252"/>
  <c r="O136" i="252"/>
  <c r="O141" i="252"/>
  <c r="O134" i="252"/>
  <c r="O145" i="252"/>
  <c r="O143" i="252"/>
  <c r="O138" i="252"/>
  <c r="O139" i="252"/>
  <c r="O144" i="252"/>
  <c r="O142" i="252"/>
  <c r="C137" i="252"/>
  <c r="I142" i="252"/>
  <c r="I137" i="252"/>
  <c r="I136" i="252"/>
  <c r="I134" i="252"/>
  <c r="I144" i="252"/>
  <c r="I141" i="252"/>
  <c r="I145" i="252"/>
  <c r="I139" i="252"/>
  <c r="I138" i="252"/>
  <c r="I143" i="252"/>
  <c r="O141" i="250"/>
  <c r="O137" i="250"/>
  <c r="O136" i="250"/>
  <c r="O143" i="250"/>
  <c r="O144" i="250"/>
  <c r="O145" i="250"/>
  <c r="O139" i="250"/>
  <c r="O134" i="250"/>
  <c r="O138" i="250"/>
  <c r="O142" i="250"/>
  <c r="I144" i="250"/>
  <c r="I137" i="250"/>
  <c r="I136" i="250"/>
  <c r="I145" i="250"/>
  <c r="I138" i="250"/>
  <c r="I141" i="250"/>
  <c r="I143" i="250"/>
  <c r="I139" i="250"/>
  <c r="I142" i="250"/>
  <c r="I134" i="250"/>
  <c r="C137" i="250"/>
  <c r="C137" i="237"/>
  <c r="B11" i="237" s="1"/>
  <c r="I137" i="248"/>
  <c r="I136" i="248"/>
  <c r="O137" i="248"/>
  <c r="O136" i="248"/>
  <c r="C137" i="248"/>
  <c r="C138" i="248"/>
  <c r="C142" i="264"/>
  <c r="C141" i="264"/>
  <c r="C143" i="264"/>
  <c r="C134" i="264"/>
  <c r="C138" i="264"/>
  <c r="C139" i="264"/>
  <c r="C144" i="264"/>
  <c r="C145" i="264"/>
  <c r="I141" i="264"/>
  <c r="I144" i="264"/>
  <c r="I134" i="264"/>
  <c r="I142" i="264"/>
  <c r="I138" i="264"/>
  <c r="I145" i="264"/>
  <c r="I143" i="264"/>
  <c r="I139" i="264"/>
  <c r="O141" i="264"/>
  <c r="O142" i="264"/>
  <c r="O145" i="264"/>
  <c r="O138" i="264"/>
  <c r="O143" i="264"/>
  <c r="O134" i="264"/>
  <c r="O139" i="264"/>
  <c r="O144" i="264"/>
  <c r="H105" i="264"/>
  <c r="J105" i="264" s="1"/>
  <c r="C104" i="264"/>
  <c r="D104" i="264" s="1"/>
  <c r="E104" i="264" s="1"/>
  <c r="E100" i="262"/>
  <c r="E101" i="262" s="1"/>
  <c r="H35" i="262"/>
  <c r="D11" i="262" s="1"/>
  <c r="B109" i="262"/>
  <c r="C109" i="262" s="1"/>
  <c r="E109" i="262" s="1"/>
  <c r="E121" i="262" s="1"/>
  <c r="K110" i="262"/>
  <c r="K122" i="262" s="1"/>
  <c r="H109" i="262"/>
  <c r="I109" i="262" s="1"/>
  <c r="K109" i="262" s="1"/>
  <c r="K121" i="262" s="1"/>
  <c r="Q109" i="262"/>
  <c r="Q121" i="262" s="1"/>
  <c r="K108" i="262"/>
  <c r="K120" i="262" s="1"/>
  <c r="Q108" i="262"/>
  <c r="Q120" i="262" s="1"/>
  <c r="J57" i="262"/>
  <c r="I58" i="262" s="1"/>
  <c r="P57" i="260"/>
  <c r="O58" i="260" s="1"/>
  <c r="E108" i="260"/>
  <c r="E120" i="260" s="1"/>
  <c r="Q110" i="260"/>
  <c r="Q122" i="260" s="1"/>
  <c r="Q109" i="260"/>
  <c r="Q121" i="260" s="1"/>
  <c r="Q108" i="260"/>
  <c r="Q120" i="260" s="1"/>
  <c r="K100" i="258"/>
  <c r="K101" i="258" s="1"/>
  <c r="O104" i="258"/>
  <c r="P104" i="258" s="1"/>
  <c r="Q104" i="258" s="1"/>
  <c r="C104" i="258"/>
  <c r="C105" i="258" s="1"/>
  <c r="K110" i="258"/>
  <c r="K122" i="258" s="1"/>
  <c r="E110" i="258"/>
  <c r="E122" i="258" s="1"/>
  <c r="B109" i="258"/>
  <c r="C109" i="258" s="1"/>
  <c r="E109" i="258" s="1"/>
  <c r="E121" i="258" s="1"/>
  <c r="E108" i="258"/>
  <c r="E120" i="258" s="1"/>
  <c r="I104" i="258"/>
  <c r="J104" i="258" s="1"/>
  <c r="Q100" i="258"/>
  <c r="Q101" i="258" s="1"/>
  <c r="K108" i="258"/>
  <c r="K120" i="258" s="1"/>
  <c r="J74" i="258"/>
  <c r="I75" i="258" s="1"/>
  <c r="B35" i="258"/>
  <c r="D11" i="258" s="1"/>
  <c r="N109" i="267"/>
  <c r="O109" i="267" s="1"/>
  <c r="Q109" i="267" s="1"/>
  <c r="Q121" i="267" s="1"/>
  <c r="E110" i="267"/>
  <c r="E122" i="267" s="1"/>
  <c r="N105" i="267"/>
  <c r="P105" i="267" s="1"/>
  <c r="D57" i="267"/>
  <c r="C58" i="267" s="1"/>
  <c r="H105" i="267"/>
  <c r="J105" i="267" s="1"/>
  <c r="I108" i="254"/>
  <c r="K108" i="254" s="1"/>
  <c r="K120" i="254" s="1"/>
  <c r="B93" i="254"/>
  <c r="D93" i="254" s="1"/>
  <c r="O92" i="254"/>
  <c r="O93" i="254" s="1"/>
  <c r="C142" i="252"/>
  <c r="C139" i="252"/>
  <c r="C143" i="252"/>
  <c r="C145" i="252"/>
  <c r="C138" i="252"/>
  <c r="C144" i="252"/>
  <c r="C134" i="252"/>
  <c r="C141" i="252"/>
  <c r="C141" i="250"/>
  <c r="C138" i="250"/>
  <c r="C139" i="250"/>
  <c r="C144" i="250"/>
  <c r="C145" i="250"/>
  <c r="C134" i="250"/>
  <c r="C143" i="250"/>
  <c r="C142" i="250"/>
  <c r="K108" i="250"/>
  <c r="K120" i="250" s="1"/>
  <c r="C92" i="250"/>
  <c r="D92" i="250" s="1"/>
  <c r="B93" i="250"/>
  <c r="K110" i="250"/>
  <c r="K122" i="250" s="1"/>
  <c r="E109" i="250"/>
  <c r="E121" i="250" s="1"/>
  <c r="E108" i="250"/>
  <c r="E120" i="250" s="1"/>
  <c r="H93" i="237"/>
  <c r="J93" i="237" s="1"/>
  <c r="I93" i="237"/>
  <c r="E100" i="237"/>
  <c r="E101" i="237" s="1"/>
  <c r="C141" i="237"/>
  <c r="B15" i="237" s="1"/>
  <c r="C22" i="290" s="1"/>
  <c r="C142" i="237"/>
  <c r="B16" i="237" s="1"/>
  <c r="C23" i="290" s="1"/>
  <c r="C143" i="237"/>
  <c r="B17" i="237" s="1"/>
  <c r="C24" i="290" s="1"/>
  <c r="C144" i="237"/>
  <c r="B18" i="237" s="1"/>
  <c r="C25" i="290" s="1"/>
  <c r="C145" i="237"/>
  <c r="B19" i="237" s="1"/>
  <c r="C26" i="290" s="1"/>
  <c r="C138" i="237"/>
  <c r="B12" i="237" s="1"/>
  <c r="C19" i="290" s="1"/>
  <c r="C134" i="237"/>
  <c r="B8" i="237" s="1"/>
  <c r="C15" i="290" s="1"/>
  <c r="C139" i="237"/>
  <c r="B13" i="237" s="1"/>
  <c r="C20" i="290" s="1"/>
  <c r="I139" i="248"/>
  <c r="I134" i="248"/>
  <c r="I142" i="248"/>
  <c r="I141" i="248"/>
  <c r="I145" i="248"/>
  <c r="I138" i="248"/>
  <c r="I143" i="248"/>
  <c r="I144" i="248"/>
  <c r="O142" i="248"/>
  <c r="O139" i="248"/>
  <c r="O134" i="248"/>
  <c r="O141" i="248"/>
  <c r="O143" i="248"/>
  <c r="O145" i="248"/>
  <c r="O144" i="248"/>
  <c r="O138" i="248"/>
  <c r="K110" i="237"/>
  <c r="K122" i="237" s="1"/>
  <c r="J57" i="237"/>
  <c r="I58" i="237" s="1"/>
  <c r="N35" i="237"/>
  <c r="K108" i="237"/>
  <c r="K120" i="237" s="1"/>
  <c r="I105" i="260"/>
  <c r="J104" i="262"/>
  <c r="K104" i="262" s="1"/>
  <c r="C105" i="250"/>
  <c r="C105" i="260"/>
  <c r="O105" i="264"/>
  <c r="I105" i="264"/>
  <c r="O105" i="262"/>
  <c r="E104" i="267"/>
  <c r="E105" i="267" s="1"/>
  <c r="E116" i="267" s="1"/>
  <c r="P96" i="264"/>
  <c r="Q96" i="264" s="1"/>
  <c r="C97" i="250"/>
  <c r="O97" i="262"/>
  <c r="J96" i="250"/>
  <c r="K96" i="250" s="1"/>
  <c r="P92" i="250"/>
  <c r="Q92" i="250" s="1"/>
  <c r="D92" i="258"/>
  <c r="E92" i="258" s="1"/>
  <c r="J96" i="260"/>
  <c r="K96" i="260" s="1"/>
  <c r="P96" i="260"/>
  <c r="D96" i="262"/>
  <c r="E96" i="262" s="1"/>
  <c r="O97" i="258"/>
  <c r="J96" i="264"/>
  <c r="K96" i="264" s="1"/>
  <c r="K97" i="264" s="1"/>
  <c r="J96" i="262"/>
  <c r="K96" i="262" s="1"/>
  <c r="J92" i="262"/>
  <c r="K92" i="262" s="1"/>
  <c r="O93" i="264"/>
  <c r="K92" i="237"/>
  <c r="K93" i="237" s="1"/>
  <c r="I93" i="250"/>
  <c r="D92" i="262"/>
  <c r="E92" i="262" s="1"/>
  <c r="J92" i="264"/>
  <c r="K92" i="264" s="1"/>
  <c r="J96" i="258"/>
  <c r="K96" i="258" s="1"/>
  <c r="P92" i="260"/>
  <c r="Q92" i="260" s="1"/>
  <c r="K93" i="248"/>
  <c r="B62" i="140"/>
  <c r="E18" i="270" s="1"/>
  <c r="H62" i="140" a="1"/>
  <c r="H62" i="140" s="1"/>
  <c r="C136" i="267" s="1"/>
  <c r="G62" i="140" a="1"/>
  <c r="G62" i="140" s="1"/>
  <c r="C136" i="254" s="1"/>
  <c r="L62" i="140" a="1"/>
  <c r="L62" i="140" s="1"/>
  <c r="C136" i="264" s="1"/>
  <c r="F62" i="140" a="1"/>
  <c r="F62" i="140" s="1"/>
  <c r="C136" i="252" s="1"/>
  <c r="K62" i="140" a="1"/>
  <c r="K62" i="140" s="1"/>
  <c r="C136" i="262" s="1"/>
  <c r="E62" i="140" a="1"/>
  <c r="E62" i="140" s="1"/>
  <c r="C136" i="250" s="1"/>
  <c r="J62" i="140" a="1"/>
  <c r="J62" i="140" s="1"/>
  <c r="D62" i="140" a="1"/>
  <c r="D62" i="140" s="1"/>
  <c r="I62" i="140" a="1"/>
  <c r="I62" i="140" s="1"/>
  <c r="C136" i="258" s="1"/>
  <c r="C62" i="140" a="1"/>
  <c r="C62" i="140" s="1"/>
  <c r="C136" i="248" s="1"/>
  <c r="I97" i="262"/>
  <c r="O58" i="250"/>
  <c r="I75" i="262"/>
  <c r="C81" i="250"/>
  <c r="I97" i="258"/>
  <c r="I93" i="262"/>
  <c r="C64" i="250"/>
  <c r="C58" i="262"/>
  <c r="O75" i="260"/>
  <c r="C66" i="262"/>
  <c r="C56" i="250"/>
  <c r="C97" i="262"/>
  <c r="P96" i="262"/>
  <c r="Q96" i="262" s="1"/>
  <c r="D104" i="260"/>
  <c r="E104" i="260" s="1"/>
  <c r="C64" i="264"/>
  <c r="I49" i="260"/>
  <c r="I58" i="260"/>
  <c r="C49" i="262"/>
  <c r="C64" i="260"/>
  <c r="I49" i="237"/>
  <c r="P96" i="258"/>
  <c r="Q96" i="258" s="1"/>
  <c r="O97" i="260"/>
  <c r="I66" i="264"/>
  <c r="I49" i="262"/>
  <c r="E63" i="258"/>
  <c r="D64" i="258" s="1"/>
  <c r="C81" i="260"/>
  <c r="K63" i="267"/>
  <c r="J64" i="267" s="1"/>
  <c r="C58" i="258"/>
  <c r="O66" i="254"/>
  <c r="C64" i="267"/>
  <c r="O49" i="258"/>
  <c r="I64" i="264"/>
  <c r="C93" i="258"/>
  <c r="P104" i="262"/>
  <c r="Q104" i="262" s="1"/>
  <c r="C75" i="254"/>
  <c r="O64" i="258"/>
  <c r="O66" i="260"/>
  <c r="C49" i="237"/>
  <c r="O66" i="267"/>
  <c r="O81" i="260"/>
  <c r="O64" i="264"/>
  <c r="O66" i="264"/>
  <c r="C96" i="264"/>
  <c r="B109" i="264"/>
  <c r="C109" i="264" s="1"/>
  <c r="E109" i="264" s="1"/>
  <c r="E121" i="264" s="1"/>
  <c r="C81" i="264"/>
  <c r="P104" i="264"/>
  <c r="I49" i="264"/>
  <c r="P92" i="264"/>
  <c r="Q92" i="264" s="1"/>
  <c r="N109" i="264"/>
  <c r="O109" i="264" s="1"/>
  <c r="Q109" i="264" s="1"/>
  <c r="Q121" i="264" s="1"/>
  <c r="K108" i="264"/>
  <c r="K120" i="264" s="1"/>
  <c r="O75" i="264"/>
  <c r="K110" i="264"/>
  <c r="K122" i="264" s="1"/>
  <c r="Q110" i="264"/>
  <c r="Q122" i="264" s="1"/>
  <c r="I97" i="264"/>
  <c r="C56" i="264"/>
  <c r="E100" i="264"/>
  <c r="E101" i="264" s="1"/>
  <c r="J104" i="264"/>
  <c r="H35" i="264"/>
  <c r="I93" i="264"/>
  <c r="Q100" i="264"/>
  <c r="Q101" i="264" s="1"/>
  <c r="Q108" i="264"/>
  <c r="Q120" i="264" s="1"/>
  <c r="E110" i="264"/>
  <c r="E122" i="264" s="1"/>
  <c r="C92" i="264"/>
  <c r="B93" i="264"/>
  <c r="H109" i="264"/>
  <c r="I109" i="264" s="1"/>
  <c r="K109" i="264" s="1"/>
  <c r="K121" i="264" s="1"/>
  <c r="B35" i="264"/>
  <c r="D11" i="264" s="1"/>
  <c r="E108" i="264"/>
  <c r="E120" i="264" s="1"/>
  <c r="P57" i="264"/>
  <c r="O58" i="264" s="1"/>
  <c r="E38" i="265"/>
  <c r="C75" i="264"/>
  <c r="I58" i="264"/>
  <c r="Q55" i="264"/>
  <c r="P56" i="264" s="1"/>
  <c r="C73" i="264"/>
  <c r="O97" i="264"/>
  <c r="Q63" i="264"/>
  <c r="P64" i="264" s="1"/>
  <c r="D57" i="264"/>
  <c r="C58" i="264" s="1"/>
  <c r="I105" i="262"/>
  <c r="Q110" i="262"/>
  <c r="Q122" i="262" s="1"/>
  <c r="Q100" i="262"/>
  <c r="Q101" i="262" s="1"/>
  <c r="O56" i="262"/>
  <c r="C93" i="262"/>
  <c r="N93" i="262"/>
  <c r="P93" i="262" s="1"/>
  <c r="O92" i="262"/>
  <c r="C75" i="262"/>
  <c r="P57" i="262"/>
  <c r="O58" i="262" s="1"/>
  <c r="H93" i="260"/>
  <c r="I92" i="260"/>
  <c r="J104" i="260"/>
  <c r="H97" i="260"/>
  <c r="J97" i="260" s="1"/>
  <c r="B109" i="260"/>
  <c r="C109" i="260" s="1"/>
  <c r="E109" i="260" s="1"/>
  <c r="E121" i="260" s="1"/>
  <c r="D74" i="260"/>
  <c r="C75" i="260" s="1"/>
  <c r="C92" i="260"/>
  <c r="B93" i="260"/>
  <c r="I75" i="260"/>
  <c r="I56" i="260"/>
  <c r="K108" i="260"/>
  <c r="K120" i="260" s="1"/>
  <c r="K109" i="260"/>
  <c r="K121" i="260" s="1"/>
  <c r="I97" i="260"/>
  <c r="C58" i="260"/>
  <c r="C49" i="260"/>
  <c r="O93" i="260"/>
  <c r="E110" i="260"/>
  <c r="E122" i="260" s="1"/>
  <c r="K110" i="260"/>
  <c r="K122" i="260" s="1"/>
  <c r="B97" i="260"/>
  <c r="D97" i="260" s="1"/>
  <c r="C96" i="260"/>
  <c r="O104" i="260"/>
  <c r="N105" i="260"/>
  <c r="P105" i="260" s="1"/>
  <c r="C49" i="258"/>
  <c r="B97" i="258"/>
  <c r="C96" i="258"/>
  <c r="O92" i="258"/>
  <c r="N93" i="258"/>
  <c r="P93" i="258" s="1"/>
  <c r="H109" i="258"/>
  <c r="I109" i="258" s="1"/>
  <c r="K109" i="258" s="1"/>
  <c r="K121" i="258" s="1"/>
  <c r="N109" i="258"/>
  <c r="O109" i="258" s="1"/>
  <c r="Q109" i="258" s="1"/>
  <c r="Q121" i="258" s="1"/>
  <c r="O66" i="258"/>
  <c r="C64" i="258"/>
  <c r="O75" i="258"/>
  <c r="H93" i="258"/>
  <c r="J93" i="258" s="1"/>
  <c r="I92" i="258"/>
  <c r="I49" i="258"/>
  <c r="C56" i="258"/>
  <c r="C92" i="267"/>
  <c r="I64" i="267"/>
  <c r="E108" i="267"/>
  <c r="E120" i="267" s="1"/>
  <c r="B109" i="254"/>
  <c r="C109" i="254" s="1"/>
  <c r="E109" i="254" s="1"/>
  <c r="E121" i="254" s="1"/>
  <c r="E110" i="254"/>
  <c r="E122" i="254" s="1"/>
  <c r="C58" i="250"/>
  <c r="O93" i="250"/>
  <c r="N109" i="250"/>
  <c r="O109" i="250" s="1"/>
  <c r="Q109" i="250" s="1"/>
  <c r="Q121" i="250" s="1"/>
  <c r="I83" i="250"/>
  <c r="O97" i="250"/>
  <c r="O64" i="250"/>
  <c r="B35" i="250"/>
  <c r="D11" i="250" s="1"/>
  <c r="D104" i="250"/>
  <c r="E104" i="250" s="1"/>
  <c r="I97" i="250"/>
  <c r="I66" i="250"/>
  <c r="I56" i="250"/>
  <c r="E110" i="250"/>
  <c r="E122" i="250" s="1"/>
  <c r="H35" i="250"/>
  <c r="J92" i="250"/>
  <c r="K92" i="250" s="1"/>
  <c r="J57" i="250"/>
  <c r="I58" i="250" s="1"/>
  <c r="O104" i="250"/>
  <c r="N105" i="250"/>
  <c r="P105" i="250" s="1"/>
  <c r="I104" i="250"/>
  <c r="H105" i="250"/>
  <c r="J105" i="250" s="1"/>
  <c r="H109" i="250"/>
  <c r="I109" i="250" s="1"/>
  <c r="K109" i="250" s="1"/>
  <c r="K121" i="250" s="1"/>
  <c r="D96" i="250"/>
  <c r="E96" i="250" s="1"/>
  <c r="O49" i="250"/>
  <c r="Q108" i="237"/>
  <c r="Q120" i="237" s="1"/>
  <c r="H35" i="237"/>
  <c r="I81" i="237"/>
  <c r="N109" i="237"/>
  <c r="O109" i="237" s="1"/>
  <c r="Q109" i="237" s="1"/>
  <c r="Q121" i="237" s="1"/>
  <c r="Q110" i="237"/>
  <c r="Q122" i="237" s="1"/>
  <c r="H109" i="237"/>
  <c r="I109" i="237" s="1"/>
  <c r="K109" i="237" s="1"/>
  <c r="K121" i="237" s="1"/>
  <c r="C89" i="237"/>
  <c r="P57" i="237"/>
  <c r="O58" i="237" s="1"/>
  <c r="C134" i="248"/>
  <c r="C144" i="248"/>
  <c r="C141" i="248"/>
  <c r="C142" i="248"/>
  <c r="C143" i="248"/>
  <c r="O81" i="258"/>
  <c r="I64" i="250"/>
  <c r="Q63" i="260"/>
  <c r="O56" i="260"/>
  <c r="C58" i="254"/>
  <c r="O81" i="262"/>
  <c r="K55" i="264"/>
  <c r="J56" i="264" s="1"/>
  <c r="C58" i="237"/>
  <c r="Q88" i="250"/>
  <c r="P89" i="250" s="1"/>
  <c r="O64" i="262"/>
  <c r="O56" i="237"/>
  <c r="O56" i="267"/>
  <c r="O64" i="267"/>
  <c r="O75" i="262"/>
  <c r="I83" i="254"/>
  <c r="K88" i="258"/>
  <c r="J89" i="258" s="1"/>
  <c r="K55" i="250"/>
  <c r="J56" i="250" s="1"/>
  <c r="O64" i="260"/>
  <c r="E63" i="264"/>
  <c r="C73" i="260"/>
  <c r="Q63" i="258"/>
  <c r="Q88" i="237"/>
  <c r="P89" i="237" s="1"/>
  <c r="K88" i="250"/>
  <c r="J89" i="250" s="1"/>
  <c r="K55" i="260"/>
  <c r="J56" i="260" s="1"/>
  <c r="K63" i="258"/>
  <c r="J64" i="258" s="1"/>
  <c r="Q63" i="262"/>
  <c r="I81" i="250"/>
  <c r="O49" i="260"/>
  <c r="K88" i="267"/>
  <c r="J89" i="267" s="1"/>
  <c r="I75" i="237"/>
  <c r="O49" i="267"/>
  <c r="K88" i="264"/>
  <c r="J89" i="264" s="1"/>
  <c r="Q88" i="258"/>
  <c r="P89" i="258" s="1"/>
  <c r="Q88" i="262"/>
  <c r="P89" i="262" s="1"/>
  <c r="E88" i="267"/>
  <c r="D89" i="267" s="1"/>
  <c r="E63" i="260"/>
  <c r="O56" i="250"/>
  <c r="I56" i="264"/>
  <c r="E88" i="250"/>
  <c r="D89" i="250" s="1"/>
  <c r="I83" i="248"/>
  <c r="E63" i="250"/>
  <c r="I75" i="250"/>
  <c r="C64" i="254"/>
  <c r="K80" i="264"/>
  <c r="J81" i="264" s="1"/>
  <c r="C64" i="237"/>
  <c r="C81" i="254"/>
  <c r="K88" i="262"/>
  <c r="J89" i="262" s="1"/>
  <c r="I73" i="267"/>
  <c r="O83" i="237"/>
  <c r="O73" i="267"/>
  <c r="Q63" i="267"/>
  <c r="O73" i="260"/>
  <c r="E88" i="258"/>
  <c r="D89" i="258" s="1"/>
  <c r="Q88" i="260"/>
  <c r="P89" i="260" s="1"/>
  <c r="O89" i="262"/>
  <c r="O81" i="264"/>
  <c r="K55" i="262"/>
  <c r="J56" i="262" s="1"/>
  <c r="O49" i="262"/>
  <c r="E88" i="260"/>
  <c r="D89" i="260" s="1"/>
  <c r="K88" i="254"/>
  <c r="J89" i="254" s="1"/>
  <c r="I49" i="267"/>
  <c r="K88" i="260"/>
  <c r="J89" i="260" s="1"/>
  <c r="I89" i="250"/>
  <c r="O49" i="237"/>
  <c r="K55" i="254"/>
  <c r="J56" i="254" s="1"/>
  <c r="Q55" i="260"/>
  <c r="P56" i="260" s="1"/>
  <c r="C75" i="252"/>
  <c r="O75" i="237"/>
  <c r="E55" i="260"/>
  <c r="D56" i="260" s="1"/>
  <c r="O73" i="254"/>
  <c r="I73" i="262"/>
  <c r="Q55" i="267"/>
  <c r="P56" i="267" s="1"/>
  <c r="K63" i="250"/>
  <c r="E88" i="254"/>
  <c r="D89" i="254" s="1"/>
  <c r="Q88" i="264"/>
  <c r="P89" i="264" s="1"/>
  <c r="Q55" i="250"/>
  <c r="P56" i="250" s="1"/>
  <c r="O73" i="248"/>
  <c r="I73" i="264"/>
  <c r="O83" i="262"/>
  <c r="E88" i="264"/>
  <c r="D89" i="264" s="1"/>
  <c r="C73" i="237"/>
  <c r="O73" i="264"/>
  <c r="C49" i="252"/>
  <c r="Q88" i="254"/>
  <c r="P89" i="254" s="1"/>
  <c r="C49" i="264"/>
  <c r="C81" i="262"/>
  <c r="E63" i="262"/>
  <c r="C139" i="248"/>
  <c r="O89" i="237"/>
  <c r="C89" i="252"/>
  <c r="O56" i="258"/>
  <c r="K55" i="258"/>
  <c r="J56" i="258" s="1"/>
  <c r="C64" i="262"/>
  <c r="C81" i="248"/>
  <c r="E55" i="258"/>
  <c r="D56" i="258" s="1"/>
  <c r="I56" i="237"/>
  <c r="I56" i="262"/>
  <c r="I64" i="262"/>
  <c r="O81" i="250"/>
  <c r="C83" i="237"/>
  <c r="O49" i="252"/>
  <c r="C81" i="267"/>
  <c r="C56" i="260"/>
  <c r="O89" i="264"/>
  <c r="O83" i="264"/>
  <c r="I89" i="262"/>
  <c r="I83" i="262"/>
  <c r="I56" i="258"/>
  <c r="C83" i="260"/>
  <c r="C89" i="260"/>
  <c r="O89" i="258"/>
  <c r="O83" i="258"/>
  <c r="I89" i="260"/>
  <c r="I83" i="260"/>
  <c r="O73" i="258"/>
  <c r="K63" i="237"/>
  <c r="Q55" i="262"/>
  <c r="P56" i="262" s="1"/>
  <c r="E55" i="254"/>
  <c r="D56" i="254" s="1"/>
  <c r="C75" i="267"/>
  <c r="E88" i="262"/>
  <c r="D89" i="262" s="1"/>
  <c r="O73" i="237"/>
  <c r="E80" i="260"/>
  <c r="D81" i="260" s="1"/>
  <c r="O56" i="254"/>
  <c r="C49" i="267"/>
  <c r="C89" i="258"/>
  <c r="C83" i="258"/>
  <c r="O89" i="250"/>
  <c r="O83" i="250"/>
  <c r="C89" i="250"/>
  <c r="C83" i="250"/>
  <c r="O64" i="252"/>
  <c r="C89" i="264"/>
  <c r="C83" i="264"/>
  <c r="O89" i="260"/>
  <c r="O83" i="260"/>
  <c r="C66" i="264"/>
  <c r="Q55" i="237"/>
  <c r="P56" i="237" s="1"/>
  <c r="I81" i="262"/>
  <c r="K63" i="254"/>
  <c r="C75" i="250"/>
  <c r="I89" i="254"/>
  <c r="I83" i="264"/>
  <c r="I89" i="264"/>
  <c r="I83" i="258"/>
  <c r="I89" i="258"/>
  <c r="O81" i="267"/>
  <c r="Q63" i="250"/>
  <c r="Q55" i="258"/>
  <c r="P56" i="258" s="1"/>
  <c r="I64" i="254"/>
  <c r="K55" i="267"/>
  <c r="J56" i="267" s="1"/>
  <c r="E55" i="264"/>
  <c r="D56" i="264" s="1"/>
  <c r="K63" i="262"/>
  <c r="Q88" i="267"/>
  <c r="P89" i="267" s="1"/>
  <c r="C83" i="262"/>
  <c r="C89" i="262"/>
  <c r="E88" i="237"/>
  <c r="D89" i="237" s="1"/>
  <c r="C73" i="250"/>
  <c r="I73" i="237"/>
  <c r="F9" i="265"/>
  <c r="E6" i="265"/>
  <c r="F5" i="265"/>
  <c r="C56" i="262"/>
  <c r="E55" i="262"/>
  <c r="D56" i="262" s="1"/>
  <c r="I81" i="260"/>
  <c r="C73" i="267"/>
  <c r="C66" i="267"/>
  <c r="E55" i="267"/>
  <c r="D56" i="267" s="1"/>
  <c r="C56" i="267"/>
  <c r="D96" i="267"/>
  <c r="C97" i="267"/>
  <c r="N35" i="267"/>
  <c r="Q108" i="267"/>
  <c r="Q120" i="267" s="1"/>
  <c r="Q110" i="267"/>
  <c r="Q122" i="267" s="1"/>
  <c r="P57" i="267"/>
  <c r="O58" i="267" s="1"/>
  <c r="I81" i="267"/>
  <c r="I75" i="267"/>
  <c r="O105" i="267"/>
  <c r="P104" i="267"/>
  <c r="Q104" i="267" s="1"/>
  <c r="K108" i="267"/>
  <c r="K120" i="267" s="1"/>
  <c r="K110" i="267"/>
  <c r="K122" i="267" s="1"/>
  <c r="J57" i="267"/>
  <c r="I58" i="267" s="1"/>
  <c r="H35" i="267"/>
  <c r="B109" i="267"/>
  <c r="C109" i="267" s="1"/>
  <c r="E109" i="267" s="1"/>
  <c r="E121" i="267" s="1"/>
  <c r="J104" i="267"/>
  <c r="K104" i="267" s="1"/>
  <c r="I105" i="267"/>
  <c r="I56" i="267"/>
  <c r="J92" i="267"/>
  <c r="I93" i="267"/>
  <c r="N93" i="267"/>
  <c r="P93" i="267" s="1"/>
  <c r="O92" i="267"/>
  <c r="O89" i="267"/>
  <c r="O83" i="267"/>
  <c r="C83" i="267"/>
  <c r="C89" i="267"/>
  <c r="H109" i="267"/>
  <c r="I109" i="267" s="1"/>
  <c r="K109" i="267" s="1"/>
  <c r="K121" i="267" s="1"/>
  <c r="E63" i="267"/>
  <c r="O97" i="267"/>
  <c r="P96" i="267"/>
  <c r="H97" i="267"/>
  <c r="J97" i="267" s="1"/>
  <c r="I96" i="267"/>
  <c r="I83" i="267"/>
  <c r="I89" i="267"/>
  <c r="O97" i="254"/>
  <c r="P96" i="254"/>
  <c r="Q96" i="254" s="1"/>
  <c r="O105" i="254"/>
  <c r="P104" i="254"/>
  <c r="C105" i="254"/>
  <c r="D104" i="254"/>
  <c r="E104" i="254" s="1"/>
  <c r="Q55" i="254"/>
  <c r="P56" i="254" s="1"/>
  <c r="C56" i="254"/>
  <c r="C49" i="254"/>
  <c r="Q108" i="254"/>
  <c r="Q120" i="254" s="1"/>
  <c r="B35" i="254"/>
  <c r="C93" i="254"/>
  <c r="D92" i="254"/>
  <c r="I81" i="254"/>
  <c r="I56" i="254"/>
  <c r="C96" i="254"/>
  <c r="B97" i="254"/>
  <c r="N35" i="254"/>
  <c r="E63" i="254"/>
  <c r="I49" i="254"/>
  <c r="O89" i="254"/>
  <c r="O83" i="254"/>
  <c r="E108" i="254"/>
  <c r="E120" i="254" s="1"/>
  <c r="N109" i="254"/>
  <c r="O109" i="254" s="1"/>
  <c r="Q109" i="254" s="1"/>
  <c r="Q121" i="254" s="1"/>
  <c r="O49" i="254"/>
  <c r="Q63" i="254"/>
  <c r="C89" i="254"/>
  <c r="C83" i="254"/>
  <c r="I104" i="254"/>
  <c r="H105" i="254"/>
  <c r="J105" i="254" s="1"/>
  <c r="H93" i="254"/>
  <c r="J93" i="254" s="1"/>
  <c r="I92" i="254"/>
  <c r="J96" i="254"/>
  <c r="I97" i="254"/>
  <c r="K109" i="254"/>
  <c r="K121" i="254" s="1"/>
  <c r="H35" i="254"/>
  <c r="K110" i="254"/>
  <c r="K122" i="254" s="1"/>
  <c r="J57" i="254"/>
  <c r="I58" i="254" s="1"/>
  <c r="H97" i="252"/>
  <c r="J97" i="252" s="1"/>
  <c r="I81" i="252"/>
  <c r="E88" i="252"/>
  <c r="D89" i="252" s="1"/>
  <c r="C83" i="252"/>
  <c r="N109" i="252"/>
  <c r="O109" i="252" s="1"/>
  <c r="Q109" i="252" s="1"/>
  <c r="Q121" i="252" s="1"/>
  <c r="O56" i="252"/>
  <c r="I104" i="252"/>
  <c r="O73" i="252"/>
  <c r="I56" i="252"/>
  <c r="O83" i="252"/>
  <c r="Q88" i="252"/>
  <c r="P89" i="252" s="1"/>
  <c r="K88" i="252"/>
  <c r="J89" i="252" s="1"/>
  <c r="E55" i="252"/>
  <c r="D56" i="252" s="1"/>
  <c r="O81" i="252"/>
  <c r="C58" i="252"/>
  <c r="Q100" i="252"/>
  <c r="Q101" i="252" s="1"/>
  <c r="O89" i="252"/>
  <c r="Q110" i="252"/>
  <c r="Q122" i="252" s="1"/>
  <c r="Q55" i="252"/>
  <c r="P56" i="252" s="1"/>
  <c r="N35" i="252"/>
  <c r="I73" i="252"/>
  <c r="K55" i="252"/>
  <c r="J56" i="252" s="1"/>
  <c r="C56" i="252"/>
  <c r="E100" i="252"/>
  <c r="E101" i="252" s="1"/>
  <c r="C104" i="252"/>
  <c r="B105" i="252"/>
  <c r="D105" i="252" s="1"/>
  <c r="I75" i="252"/>
  <c r="I49" i="252"/>
  <c r="C92" i="252"/>
  <c r="B93" i="252"/>
  <c r="N105" i="252"/>
  <c r="P105" i="252" s="1"/>
  <c r="O104" i="252"/>
  <c r="C96" i="252"/>
  <c r="B97" i="252"/>
  <c r="D97" i="252" s="1"/>
  <c r="Q108" i="252"/>
  <c r="Q120" i="252" s="1"/>
  <c r="B109" i="252"/>
  <c r="C109" i="252" s="1"/>
  <c r="J96" i="252"/>
  <c r="K96" i="252" s="1"/>
  <c r="I97" i="252"/>
  <c r="H109" i="252"/>
  <c r="I109" i="252" s="1"/>
  <c r="K109" i="252" s="1"/>
  <c r="K121" i="252" s="1"/>
  <c r="K110" i="252"/>
  <c r="K122" i="252" s="1"/>
  <c r="J57" i="252"/>
  <c r="I58" i="252" s="1"/>
  <c r="H35" i="252"/>
  <c r="D24" i="252" s="1"/>
  <c r="K108" i="252"/>
  <c r="K120" i="252" s="1"/>
  <c r="N97" i="252"/>
  <c r="P97" i="252" s="1"/>
  <c r="O96" i="252"/>
  <c r="Q63" i="252"/>
  <c r="O58" i="252"/>
  <c r="C64" i="252"/>
  <c r="I83" i="252"/>
  <c r="I89" i="252"/>
  <c r="P92" i="252"/>
  <c r="Q92" i="252" s="1"/>
  <c r="O93" i="252"/>
  <c r="I64" i="252"/>
  <c r="O66" i="252"/>
  <c r="E63" i="252"/>
  <c r="I93" i="252"/>
  <c r="J92" i="252"/>
  <c r="K63" i="252"/>
  <c r="O75" i="252"/>
  <c r="C105" i="237"/>
  <c r="D104" i="237"/>
  <c r="E104" i="237" s="1"/>
  <c r="B109" i="237"/>
  <c r="C109" i="237" s="1"/>
  <c r="P92" i="237"/>
  <c r="O93" i="237"/>
  <c r="P96" i="237"/>
  <c r="O97" i="237"/>
  <c r="C75" i="237"/>
  <c r="C97" i="237"/>
  <c r="D96" i="237"/>
  <c r="I89" i="237"/>
  <c r="I83" i="237"/>
  <c r="E109" i="237"/>
  <c r="E121" i="237" s="1"/>
  <c r="J96" i="237"/>
  <c r="K96" i="237" s="1"/>
  <c r="I97" i="237"/>
  <c r="E110" i="237"/>
  <c r="E122" i="237" s="1"/>
  <c r="E108" i="237"/>
  <c r="E120" i="237" s="1"/>
  <c r="O105" i="237"/>
  <c r="P104" i="237"/>
  <c r="Q80" i="237"/>
  <c r="P81" i="237" s="1"/>
  <c r="O81" i="237"/>
  <c r="Q63" i="237"/>
  <c r="K88" i="237"/>
  <c r="J89" i="237" s="1"/>
  <c r="C56" i="237"/>
  <c r="D92" i="237"/>
  <c r="E92" i="237" s="1"/>
  <c r="C93" i="237"/>
  <c r="C81" i="237"/>
  <c r="E55" i="237"/>
  <c r="D56" i="237" s="1"/>
  <c r="B35" i="237"/>
  <c r="D11" i="237" s="1"/>
  <c r="J104" i="237"/>
  <c r="K104" i="237" s="1"/>
  <c r="I105" i="237"/>
  <c r="O75" i="248"/>
  <c r="O56" i="248"/>
  <c r="E88" i="248"/>
  <c r="D89" i="248" s="1"/>
  <c r="O58" i="248"/>
  <c r="E55" i="248"/>
  <c r="D56" i="248" s="1"/>
  <c r="C145" i="248"/>
  <c r="Q88" i="248"/>
  <c r="P89" i="248" s="1"/>
  <c r="K55" i="248"/>
  <c r="J56" i="248" s="1"/>
  <c r="C83" i="248"/>
  <c r="B7" i="248"/>
  <c r="C14" i="291" s="1"/>
  <c r="K108" i="248"/>
  <c r="K120" i="248" s="1"/>
  <c r="C64" i="248"/>
  <c r="C89" i="248"/>
  <c r="I81" i="248"/>
  <c r="K72" i="248"/>
  <c r="J73" i="248" s="1"/>
  <c r="N35" i="248"/>
  <c r="I75" i="248"/>
  <c r="B101" i="248"/>
  <c r="D101" i="248" s="1"/>
  <c r="C49" i="248"/>
  <c r="I89" i="248"/>
  <c r="Q55" i="248"/>
  <c r="P56" i="248" s="1"/>
  <c r="C73" i="248"/>
  <c r="B109" i="248"/>
  <c r="C109" i="248" s="1"/>
  <c r="C92" i="248"/>
  <c r="H35" i="248"/>
  <c r="K88" i="248"/>
  <c r="J89" i="248" s="1"/>
  <c r="K110" i="248"/>
  <c r="K122" i="248" s="1"/>
  <c r="O49" i="248"/>
  <c r="E63" i="248"/>
  <c r="D64" i="248" s="1"/>
  <c r="Q63" i="248"/>
  <c r="C56" i="248"/>
  <c r="K63" i="248"/>
  <c r="O96" i="248"/>
  <c r="N97" i="248"/>
  <c r="P97" i="248" s="1"/>
  <c r="Q108" i="248"/>
  <c r="Q120" i="248" s="1"/>
  <c r="O93" i="248"/>
  <c r="P92" i="248"/>
  <c r="Q92" i="248" s="1"/>
  <c r="P104" i="248"/>
  <c r="Q104" i="248" s="1"/>
  <c r="O105" i="248"/>
  <c r="H109" i="248"/>
  <c r="I109" i="248" s="1"/>
  <c r="K109" i="248" s="1"/>
  <c r="K121" i="248" s="1"/>
  <c r="E109" i="248"/>
  <c r="E121" i="248" s="1"/>
  <c r="E108" i="248"/>
  <c r="E120" i="248" s="1"/>
  <c r="E110" i="248"/>
  <c r="E122" i="248" s="1"/>
  <c r="B35" i="248"/>
  <c r="D57" i="248"/>
  <c r="C58" i="248" s="1"/>
  <c r="O89" i="248"/>
  <c r="O83" i="248"/>
  <c r="C96" i="248"/>
  <c r="B97" i="248"/>
  <c r="D97" i="248" s="1"/>
  <c r="B105" i="248"/>
  <c r="D105" i="248" s="1"/>
  <c r="C104" i="248"/>
  <c r="Q110" i="248"/>
  <c r="Q122" i="248" s="1"/>
  <c r="N109" i="248"/>
  <c r="O109" i="248" s="1"/>
  <c r="Q109" i="248" s="1"/>
  <c r="Q121" i="248" s="1"/>
  <c r="J104" i="248"/>
  <c r="K104" i="248" s="1"/>
  <c r="I105" i="248"/>
  <c r="J96" i="248"/>
  <c r="K96" i="248" s="1"/>
  <c r="I97" i="248"/>
  <c r="I148" i="248" s="1"/>
  <c r="O66" i="248"/>
  <c r="O81" i="248"/>
  <c r="O64" i="248"/>
  <c r="E63" i="237"/>
  <c r="K63" i="260"/>
  <c r="K63" i="264"/>
  <c r="C66" i="250"/>
  <c r="E55" i="250"/>
  <c r="D56" i="250" s="1"/>
  <c r="C49" i="250"/>
  <c r="I66" i="237"/>
  <c r="K55" i="237"/>
  <c r="J56" i="237" s="1"/>
  <c r="K72" i="267"/>
  <c r="J73" i="267" s="1"/>
  <c r="Q72" i="260"/>
  <c r="P73" i="260" s="1"/>
  <c r="C66" i="260"/>
  <c r="I66" i="262"/>
  <c r="C66" i="237"/>
  <c r="I66" i="252"/>
  <c r="Q72" i="252"/>
  <c r="I73" i="250"/>
  <c r="K72" i="237"/>
  <c r="K72" i="260"/>
  <c r="J73" i="260" s="1"/>
  <c r="Q72" i="254"/>
  <c r="Q72" i="248"/>
  <c r="P73" i="248" s="1"/>
  <c r="K72" i="258"/>
  <c r="I49" i="250"/>
  <c r="I64" i="260"/>
  <c r="K80" i="252"/>
  <c r="C81" i="258"/>
  <c r="C75" i="248"/>
  <c r="O75" i="250"/>
  <c r="C81" i="252"/>
  <c r="E80" i="264"/>
  <c r="D81" i="264" s="1"/>
  <c r="I64" i="237"/>
  <c r="O64" i="237"/>
  <c r="Q80" i="252"/>
  <c r="P81" i="252" s="1"/>
  <c r="K80" i="267"/>
  <c r="O58" i="258"/>
  <c r="E80" i="248"/>
  <c r="D81" i="248" s="1"/>
  <c r="K80" i="248"/>
  <c r="O75" i="254"/>
  <c r="O81" i="254"/>
  <c r="I64" i="248"/>
  <c r="I58" i="248"/>
  <c r="O75" i="267"/>
  <c r="E80" i="250"/>
  <c r="Q80" i="258"/>
  <c r="Q80" i="250"/>
  <c r="K80" i="260"/>
  <c r="J81" i="260" s="1"/>
  <c r="O64" i="254"/>
  <c r="O58" i="254"/>
  <c r="E80" i="262"/>
  <c r="D81" i="262" s="1"/>
  <c r="I75" i="254"/>
  <c r="E80" i="252"/>
  <c r="D81" i="252" s="1"/>
  <c r="I64" i="258"/>
  <c r="I58" i="258"/>
  <c r="I81" i="264"/>
  <c r="I75" i="264"/>
  <c r="I81" i="258"/>
  <c r="I56" i="248"/>
  <c r="I49" i="248"/>
  <c r="O49" i="264"/>
  <c r="O56" i="264"/>
  <c r="E72" i="264"/>
  <c r="D73" i="264" s="1"/>
  <c r="E72" i="252"/>
  <c r="E72" i="258"/>
  <c r="D73" i="258" s="1"/>
  <c r="C66" i="258"/>
  <c r="C73" i="258"/>
  <c r="E72" i="260"/>
  <c r="D73" i="260" s="1"/>
  <c r="Q72" i="262"/>
  <c r="K72" i="250"/>
  <c r="J73" i="250" s="1"/>
  <c r="E72" i="250"/>
  <c r="D73" i="250" s="1"/>
  <c r="K72" i="254"/>
  <c r="E72" i="237"/>
  <c r="I66" i="267"/>
  <c r="K72" i="264"/>
  <c r="J73" i="264" s="1"/>
  <c r="K72" i="252"/>
  <c r="Q72" i="258"/>
  <c r="Q72" i="250"/>
  <c r="P73" i="250" s="1"/>
  <c r="C73" i="262"/>
  <c r="Q72" i="267"/>
  <c r="P73" i="267" s="1"/>
  <c r="K72" i="262"/>
  <c r="O66" i="237"/>
  <c r="E72" i="248"/>
  <c r="E72" i="254"/>
  <c r="Q72" i="264"/>
  <c r="P73" i="264" s="1"/>
  <c r="E72" i="267"/>
  <c r="D73" i="267" s="1"/>
  <c r="E72" i="262"/>
  <c r="Q72" i="237"/>
  <c r="P73" i="237" s="1"/>
  <c r="C66" i="248"/>
  <c r="I66" i="254"/>
  <c r="I73" i="254"/>
  <c r="I73" i="258"/>
  <c r="I66" i="258"/>
  <c r="I66" i="248"/>
  <c r="I73" i="248"/>
  <c r="O66" i="250"/>
  <c r="O73" i="250"/>
  <c r="I73" i="260"/>
  <c r="I66" i="260"/>
  <c r="O66" i="262"/>
  <c r="O73" i="262"/>
  <c r="C73" i="252"/>
  <c r="C66" i="252"/>
  <c r="C73" i="254"/>
  <c r="C66" i="254"/>
  <c r="D104" i="262" l="1"/>
  <c r="E104" i="262" s="1"/>
  <c r="E105" i="262" s="1"/>
  <c r="E116" i="262" s="1"/>
  <c r="D11" i="252"/>
  <c r="D11" i="254"/>
  <c r="D24" i="260"/>
  <c r="D11" i="260"/>
  <c r="D11" i="267"/>
  <c r="B8" i="254"/>
  <c r="C15" i="284" s="1"/>
  <c r="B13" i="262"/>
  <c r="C20" i="274" s="1"/>
  <c r="F20" i="274" s="1"/>
  <c r="B15" i="267"/>
  <c r="C22" i="281" s="1"/>
  <c r="I22" i="281" s="1"/>
  <c r="B11" i="258"/>
  <c r="O148" i="254"/>
  <c r="O105" i="258"/>
  <c r="P92" i="254"/>
  <c r="Q92" i="254" s="1"/>
  <c r="Q93" i="254" s="1"/>
  <c r="B13" i="254"/>
  <c r="C20" i="284" s="1"/>
  <c r="F20" i="284" s="1"/>
  <c r="I148" i="250"/>
  <c r="D104" i="258"/>
  <c r="E104" i="258" s="1"/>
  <c r="E105" i="258" s="1"/>
  <c r="E116" i="258" s="1"/>
  <c r="O148" i="250"/>
  <c r="I148" i="262"/>
  <c r="C32" i="274"/>
  <c r="B8" i="267"/>
  <c r="C15" i="281" s="1"/>
  <c r="B11" i="254"/>
  <c r="B19" i="267"/>
  <c r="C26" i="281" s="1"/>
  <c r="J26" i="281" s="1"/>
  <c r="B12" i="267"/>
  <c r="C19" i="281" s="1"/>
  <c r="B17" i="262"/>
  <c r="C24" i="274" s="1"/>
  <c r="B18" i="262"/>
  <c r="C25" i="274" s="1"/>
  <c r="B10" i="264"/>
  <c r="C140" i="264" s="1"/>
  <c r="B14" i="264" s="1"/>
  <c r="B8" i="264"/>
  <c r="C15" i="265" s="1"/>
  <c r="B16" i="258"/>
  <c r="C23" i="279" s="1"/>
  <c r="B13" i="258"/>
  <c r="C20" i="279" s="1"/>
  <c r="G20" i="279" s="1"/>
  <c r="B8" i="262"/>
  <c r="C15" i="274" s="1"/>
  <c r="B12" i="258"/>
  <c r="C19" i="279" s="1"/>
  <c r="B10" i="252"/>
  <c r="B17" i="267"/>
  <c r="C24" i="281" s="1"/>
  <c r="B8" i="258"/>
  <c r="C15" i="279" s="1"/>
  <c r="B18" i="267"/>
  <c r="C25" i="281" s="1"/>
  <c r="B15" i="250"/>
  <c r="C22" i="288" s="1"/>
  <c r="G22" i="288" s="1"/>
  <c r="B17" i="254"/>
  <c r="C24" i="284" s="1"/>
  <c r="B13" i="267"/>
  <c r="C20" i="281" s="1"/>
  <c r="G20" i="281" s="1"/>
  <c r="B15" i="262"/>
  <c r="C22" i="274" s="1"/>
  <c r="F22" i="274" s="1"/>
  <c r="B19" i="262"/>
  <c r="C26" i="274" s="1"/>
  <c r="J26" i="274" s="1"/>
  <c r="C32" i="284"/>
  <c r="B15" i="252"/>
  <c r="C22" i="286" s="1"/>
  <c r="I22" i="286" s="1"/>
  <c r="B15" i="254"/>
  <c r="C22" i="284" s="1"/>
  <c r="F22" i="284" s="1"/>
  <c r="B11" i="267"/>
  <c r="C18" i="281" s="1"/>
  <c r="C32" i="281"/>
  <c r="B8" i="252"/>
  <c r="C15" i="286" s="1"/>
  <c r="B18" i="264"/>
  <c r="C25" i="265" s="1"/>
  <c r="B16" i="267"/>
  <c r="C23" i="281" s="1"/>
  <c r="B12" i="262"/>
  <c r="C19" i="274" s="1"/>
  <c r="B17" i="258"/>
  <c r="C24" i="279" s="1"/>
  <c r="B18" i="254"/>
  <c r="C25" i="284" s="1"/>
  <c r="B19" i="254"/>
  <c r="C26" i="284" s="1"/>
  <c r="F26" i="284" s="1"/>
  <c r="B10" i="262"/>
  <c r="C17" i="274" s="1"/>
  <c r="J17" i="274" s="1"/>
  <c r="B13" i="264"/>
  <c r="C20" i="265" s="1"/>
  <c r="F20" i="265" s="1"/>
  <c r="B19" i="258"/>
  <c r="C26" i="279" s="1"/>
  <c r="I26" i="279" s="1"/>
  <c r="B16" i="262"/>
  <c r="C23" i="274" s="1"/>
  <c r="B17" i="250"/>
  <c r="C24" i="288" s="1"/>
  <c r="B11" i="264"/>
  <c r="C18" i="265" s="1"/>
  <c r="B15" i="258"/>
  <c r="C22" i="279" s="1"/>
  <c r="F22" i="279" s="1"/>
  <c r="B11" i="262"/>
  <c r="B18" i="258"/>
  <c r="C25" i="279" s="1"/>
  <c r="B16" i="254"/>
  <c r="C23" i="284" s="1"/>
  <c r="C32" i="279"/>
  <c r="B19" i="250"/>
  <c r="C26" i="288" s="1"/>
  <c r="F26" i="288" s="1"/>
  <c r="B12" i="254"/>
  <c r="C19" i="284" s="1"/>
  <c r="B11" i="250"/>
  <c r="B25" i="237"/>
  <c r="D16" i="237" s="1"/>
  <c r="B10" i="254"/>
  <c r="C140" i="254" s="1"/>
  <c r="B14" i="254" s="1"/>
  <c r="B17" i="252"/>
  <c r="C24" i="286" s="1"/>
  <c r="B17" i="264"/>
  <c r="C24" i="265" s="1"/>
  <c r="B19" i="264"/>
  <c r="C26" i="265" s="1"/>
  <c r="F26" i="265" s="1"/>
  <c r="B12" i="252"/>
  <c r="C19" i="286" s="1"/>
  <c r="B16" i="250"/>
  <c r="C23" i="288" s="1"/>
  <c r="B10" i="267"/>
  <c r="C17" i="281" s="1"/>
  <c r="J17" i="281" s="1"/>
  <c r="B8" i="250"/>
  <c r="C15" i="288" s="1"/>
  <c r="B13" i="252"/>
  <c r="C20" i="286" s="1"/>
  <c r="F20" i="286" s="1"/>
  <c r="B15" i="264"/>
  <c r="C22" i="265" s="1"/>
  <c r="F22" i="265" s="1"/>
  <c r="B25" i="250"/>
  <c r="D16" i="250" s="1"/>
  <c r="B10" i="250"/>
  <c r="B16" i="252"/>
  <c r="C23" i="286" s="1"/>
  <c r="B16" i="264"/>
  <c r="C23" i="265" s="1"/>
  <c r="B18" i="250"/>
  <c r="C25" i="288" s="1"/>
  <c r="B19" i="252"/>
  <c r="C26" i="286" s="1"/>
  <c r="H26" i="286" s="1"/>
  <c r="B13" i="250"/>
  <c r="C20" i="288" s="1"/>
  <c r="I20" i="288" s="1"/>
  <c r="B18" i="252"/>
  <c r="C25" i="286" s="1"/>
  <c r="B12" i="264"/>
  <c r="C19" i="265" s="1"/>
  <c r="B25" i="252"/>
  <c r="D16" i="252" s="1"/>
  <c r="B10" i="258"/>
  <c r="C140" i="258" s="1"/>
  <c r="B14" i="258" s="1"/>
  <c r="B12" i="250"/>
  <c r="C19" i="288" s="1"/>
  <c r="B11" i="252"/>
  <c r="C136" i="260"/>
  <c r="I136" i="260"/>
  <c r="O136" i="237"/>
  <c r="I136" i="237"/>
  <c r="C136" i="237"/>
  <c r="K5" i="281"/>
  <c r="K5" i="274"/>
  <c r="J12" i="276"/>
  <c r="J41" i="276"/>
  <c r="J40" i="276"/>
  <c r="F16" i="281"/>
  <c r="G16" i="281"/>
  <c r="H16" i="281"/>
  <c r="I16" i="281"/>
  <c r="J16" i="281"/>
  <c r="K16" i="281"/>
  <c r="L16" i="281"/>
  <c r="M16" i="281"/>
  <c r="N16" i="281"/>
  <c r="O16" i="281"/>
  <c r="P16" i="281"/>
  <c r="Q16" i="281"/>
  <c r="R16" i="281"/>
  <c r="S16" i="281"/>
  <c r="T16" i="281"/>
  <c r="U16" i="281"/>
  <c r="V16" i="281"/>
  <c r="W16" i="281"/>
  <c r="X16" i="281"/>
  <c r="J41" i="281"/>
  <c r="J40" i="281"/>
  <c r="J12" i="281"/>
  <c r="F16" i="274"/>
  <c r="G16" i="274"/>
  <c r="H16" i="274"/>
  <c r="I16" i="274"/>
  <c r="J16" i="274"/>
  <c r="K16" i="274"/>
  <c r="L16" i="274"/>
  <c r="M16" i="274"/>
  <c r="N16" i="274"/>
  <c r="O16" i="274"/>
  <c r="P16" i="274"/>
  <c r="Q16" i="274"/>
  <c r="R16" i="274"/>
  <c r="S16" i="274"/>
  <c r="T16" i="274"/>
  <c r="U16" i="274"/>
  <c r="V16" i="274"/>
  <c r="W16" i="274"/>
  <c r="X16" i="274"/>
  <c r="J40" i="274"/>
  <c r="J41" i="274"/>
  <c r="J12" i="274"/>
  <c r="F16" i="284"/>
  <c r="G16" i="284"/>
  <c r="H16" i="284"/>
  <c r="I16" i="284"/>
  <c r="J16" i="284"/>
  <c r="K16" i="284"/>
  <c r="L16" i="284"/>
  <c r="M16" i="284"/>
  <c r="N16" i="284"/>
  <c r="O16" i="284"/>
  <c r="P16" i="284"/>
  <c r="Q16" i="284"/>
  <c r="R16" i="284"/>
  <c r="S16" i="284"/>
  <c r="T16" i="284"/>
  <c r="U16" i="284"/>
  <c r="V16" i="284"/>
  <c r="W16" i="284"/>
  <c r="X16" i="284"/>
  <c r="F16" i="286"/>
  <c r="G16" i="286"/>
  <c r="H16" i="286"/>
  <c r="I16" i="286"/>
  <c r="J16" i="286"/>
  <c r="K16" i="286"/>
  <c r="L16" i="286"/>
  <c r="M16" i="286"/>
  <c r="N16" i="286"/>
  <c r="O16" i="286"/>
  <c r="P16" i="286"/>
  <c r="Q16" i="286"/>
  <c r="R16" i="286"/>
  <c r="S16" i="286"/>
  <c r="T16" i="286"/>
  <c r="U16" i="286"/>
  <c r="V16" i="286"/>
  <c r="W16" i="286"/>
  <c r="X16" i="286"/>
  <c r="K16" i="276"/>
  <c r="L16" i="276"/>
  <c r="M16" i="276"/>
  <c r="N16" i="276"/>
  <c r="O16" i="276"/>
  <c r="P16" i="276"/>
  <c r="Q16" i="276"/>
  <c r="R16" i="276"/>
  <c r="S16" i="276"/>
  <c r="T16" i="276"/>
  <c r="U16" i="276"/>
  <c r="V16" i="276"/>
  <c r="W16" i="276"/>
  <c r="X16" i="276"/>
  <c r="J16" i="276"/>
  <c r="H16" i="276"/>
  <c r="F16" i="276"/>
  <c r="G16" i="276"/>
  <c r="I16" i="276"/>
  <c r="I72" i="140"/>
  <c r="I4" i="281"/>
  <c r="V6" i="281" s="1"/>
  <c r="I75" i="140"/>
  <c r="I4" i="274"/>
  <c r="I71" i="140"/>
  <c r="I4" i="284"/>
  <c r="S6" i="284" s="1"/>
  <c r="J41" i="284"/>
  <c r="J12" i="284"/>
  <c r="J40" i="284"/>
  <c r="I70" i="140"/>
  <c r="I4" i="286"/>
  <c r="J40" i="286"/>
  <c r="J12" i="286"/>
  <c r="J41" i="286"/>
  <c r="I74" i="140"/>
  <c r="I4" i="276"/>
  <c r="F16" i="288"/>
  <c r="G16" i="288"/>
  <c r="H16" i="288"/>
  <c r="I16" i="288"/>
  <c r="J16" i="288"/>
  <c r="K16" i="288"/>
  <c r="L16" i="288"/>
  <c r="M16" i="288"/>
  <c r="N16" i="288"/>
  <c r="O16" i="288"/>
  <c r="P16" i="288"/>
  <c r="Q16" i="288"/>
  <c r="R16" i="288"/>
  <c r="S16" i="288"/>
  <c r="T16" i="288"/>
  <c r="U16" i="288"/>
  <c r="V16" i="288"/>
  <c r="W16" i="288"/>
  <c r="X16" i="288"/>
  <c r="F16" i="291"/>
  <c r="G16" i="291"/>
  <c r="H16" i="291"/>
  <c r="I16" i="291"/>
  <c r="J16" i="291"/>
  <c r="K16" i="291"/>
  <c r="L16" i="291"/>
  <c r="M16" i="291"/>
  <c r="N16" i="291"/>
  <c r="O16" i="291"/>
  <c r="P16" i="291"/>
  <c r="Q16" i="291"/>
  <c r="R16" i="291"/>
  <c r="S16" i="291"/>
  <c r="T16" i="291"/>
  <c r="U16" i="291"/>
  <c r="V16" i="291"/>
  <c r="W16" i="291"/>
  <c r="X16" i="291"/>
  <c r="F16" i="279"/>
  <c r="G16" i="279"/>
  <c r="H16" i="279"/>
  <c r="I16" i="279"/>
  <c r="J16" i="279"/>
  <c r="K16" i="279"/>
  <c r="L16" i="279"/>
  <c r="M16" i="279"/>
  <c r="N16" i="279"/>
  <c r="O16" i="279"/>
  <c r="P16" i="279"/>
  <c r="Q16" i="279"/>
  <c r="R16" i="279"/>
  <c r="S16" i="279"/>
  <c r="T16" i="279"/>
  <c r="U16" i="279"/>
  <c r="V16" i="279"/>
  <c r="W16" i="279"/>
  <c r="X16" i="279"/>
  <c r="K5" i="284"/>
  <c r="F26" i="290"/>
  <c r="F20" i="290"/>
  <c r="F22" i="290"/>
  <c r="F16" i="290"/>
  <c r="G22" i="290"/>
  <c r="G16" i="290"/>
  <c r="G20" i="290"/>
  <c r="G26" i="290"/>
  <c r="H16" i="290"/>
  <c r="H22" i="290"/>
  <c r="H26" i="290"/>
  <c r="H20" i="290"/>
  <c r="I22" i="290"/>
  <c r="I16" i="290"/>
  <c r="I26" i="290"/>
  <c r="I20" i="290"/>
  <c r="J26" i="290"/>
  <c r="J20" i="290"/>
  <c r="J22" i="290"/>
  <c r="J16" i="290"/>
  <c r="K16" i="290"/>
  <c r="L16" i="290"/>
  <c r="M16" i="290"/>
  <c r="N16" i="290"/>
  <c r="O16" i="290"/>
  <c r="P16" i="290"/>
  <c r="Q16" i="290"/>
  <c r="R16" i="290"/>
  <c r="S16" i="290"/>
  <c r="T16" i="290"/>
  <c r="U16" i="290"/>
  <c r="V16" i="290"/>
  <c r="W16" i="290"/>
  <c r="X16" i="290"/>
  <c r="I69" i="140"/>
  <c r="I4" i="288"/>
  <c r="I67" i="140"/>
  <c r="I4" i="291"/>
  <c r="K5" i="291"/>
  <c r="I73" i="140"/>
  <c r="I4" i="279"/>
  <c r="S6" i="279" s="1"/>
  <c r="K5" i="279"/>
  <c r="I68" i="140"/>
  <c r="I4" i="290"/>
  <c r="J40" i="290"/>
  <c r="J41" i="290"/>
  <c r="J12" i="290"/>
  <c r="J40" i="279"/>
  <c r="J12" i="279"/>
  <c r="J41" i="279"/>
  <c r="J40" i="288"/>
  <c r="J12" i="288"/>
  <c r="J41" i="288"/>
  <c r="J12" i="291"/>
  <c r="J41" i="291"/>
  <c r="J40" i="291"/>
  <c r="C18" i="290"/>
  <c r="B10" i="248"/>
  <c r="C140" i="248" s="1"/>
  <c r="B14" i="248" s="1"/>
  <c r="B11" i="248"/>
  <c r="G58" i="289"/>
  <c r="G57" i="287"/>
  <c r="G56" i="285"/>
  <c r="G57" i="283"/>
  <c r="G56" i="280"/>
  <c r="G56" i="278"/>
  <c r="C26" i="276"/>
  <c r="C22" i="276"/>
  <c r="C20" i="276"/>
  <c r="C19" i="276"/>
  <c r="C23" i="276"/>
  <c r="C25" i="276"/>
  <c r="C24" i="276"/>
  <c r="C15" i="276"/>
  <c r="C18" i="276"/>
  <c r="C32" i="276"/>
  <c r="C14" i="276"/>
  <c r="F7" i="265"/>
  <c r="F10" i="265" s="1"/>
  <c r="F11" i="265" s="1"/>
  <c r="F28" i="265"/>
  <c r="F23" i="265"/>
  <c r="F16" i="265"/>
  <c r="F24" i="265"/>
  <c r="F30" i="265"/>
  <c r="D16" i="248"/>
  <c r="C32" i="265"/>
  <c r="G56" i="273"/>
  <c r="E41" i="265"/>
  <c r="E40" i="265"/>
  <c r="C148" i="262"/>
  <c r="O148" i="260"/>
  <c r="I148" i="252"/>
  <c r="C93" i="250"/>
  <c r="C148" i="250" s="1"/>
  <c r="I148" i="237"/>
  <c r="O148" i="237"/>
  <c r="O148" i="264"/>
  <c r="I148" i="264"/>
  <c r="C105" i="264"/>
  <c r="I105" i="258"/>
  <c r="K104" i="258"/>
  <c r="K105" i="258" s="1"/>
  <c r="K116" i="258" s="1"/>
  <c r="C148" i="237"/>
  <c r="B8" i="248"/>
  <c r="C15" i="291" s="1"/>
  <c r="Q105" i="258"/>
  <c r="Q116" i="258" s="1"/>
  <c r="E105" i="254"/>
  <c r="E116" i="254" s="1"/>
  <c r="Q104" i="254"/>
  <c r="Q105" i="254" s="1"/>
  <c r="Q116" i="254" s="1"/>
  <c r="Q105" i="262"/>
  <c r="Q116" i="262" s="1"/>
  <c r="E105" i="250"/>
  <c r="E116" i="250" s="1"/>
  <c r="K104" i="264"/>
  <c r="K105" i="264" s="1"/>
  <c r="K116" i="264" s="1"/>
  <c r="K104" i="260"/>
  <c r="K105" i="260" s="1"/>
  <c r="K116" i="260" s="1"/>
  <c r="K105" i="237"/>
  <c r="K116" i="237" s="1"/>
  <c r="Q104" i="264"/>
  <c r="Q105" i="264" s="1"/>
  <c r="Q116" i="264" s="1"/>
  <c r="K105" i="262"/>
  <c r="K116" i="262" s="1"/>
  <c r="Q105" i="267"/>
  <c r="Q116" i="267" s="1"/>
  <c r="Q105" i="248"/>
  <c r="Q116" i="248" s="1"/>
  <c r="E105" i="237"/>
  <c r="E116" i="237" s="1"/>
  <c r="J104" i="252"/>
  <c r="K104" i="252" s="1"/>
  <c r="E105" i="260"/>
  <c r="E116" i="260" s="1"/>
  <c r="K105" i="267"/>
  <c r="K116" i="267" s="1"/>
  <c r="K105" i="248"/>
  <c r="K116" i="248" s="1"/>
  <c r="Q104" i="237"/>
  <c r="Q105" i="237" s="1"/>
  <c r="Q116" i="237" s="1"/>
  <c r="E105" i="264"/>
  <c r="Q93" i="260"/>
  <c r="Q93" i="264"/>
  <c r="K97" i="260"/>
  <c r="K97" i="237"/>
  <c r="I149" i="237" s="1"/>
  <c r="K92" i="267"/>
  <c r="K93" i="267" s="1"/>
  <c r="Q93" i="250"/>
  <c r="O149" i="250" s="1"/>
  <c r="Q96" i="237"/>
  <c r="Q97" i="237" s="1"/>
  <c r="Q97" i="262"/>
  <c r="Q96" i="267"/>
  <c r="Q97" i="267" s="1"/>
  <c r="D92" i="248"/>
  <c r="E92" i="248" s="1"/>
  <c r="E93" i="248" s="1"/>
  <c r="Q93" i="252"/>
  <c r="Q97" i="254"/>
  <c r="K93" i="262"/>
  <c r="K96" i="254"/>
  <c r="K97" i="254" s="1"/>
  <c r="Q92" i="237"/>
  <c r="Q93" i="237" s="1"/>
  <c r="Q93" i="248"/>
  <c r="E97" i="250"/>
  <c r="P92" i="258"/>
  <c r="Q92" i="258" s="1"/>
  <c r="Q93" i="258" s="1"/>
  <c r="Q97" i="258"/>
  <c r="K93" i="264"/>
  <c r="I149" i="264" s="1"/>
  <c r="E97" i="262"/>
  <c r="E92" i="254"/>
  <c r="E93" i="254" s="1"/>
  <c r="K97" i="258"/>
  <c r="K93" i="250"/>
  <c r="Q97" i="264"/>
  <c r="K97" i="262"/>
  <c r="K97" i="250"/>
  <c r="K92" i="252"/>
  <c r="K93" i="252" s="1"/>
  <c r="E93" i="237"/>
  <c r="D92" i="267"/>
  <c r="E93" i="258"/>
  <c r="K97" i="248"/>
  <c r="I149" i="248" s="1"/>
  <c r="K97" i="252"/>
  <c r="E93" i="262"/>
  <c r="E92" i="250"/>
  <c r="E93" i="250" s="1"/>
  <c r="Q96" i="260"/>
  <c r="Q97" i="260" s="1"/>
  <c r="E96" i="267"/>
  <c r="E97" i="267" s="1"/>
  <c r="E96" i="237"/>
  <c r="E97" i="237" s="1"/>
  <c r="H162" i="267"/>
  <c r="H163" i="267" s="1"/>
  <c r="H164" i="267" s="1"/>
  <c r="B162" i="258"/>
  <c r="B163" i="258" s="1"/>
  <c r="B164" i="258" s="1"/>
  <c r="C93" i="267"/>
  <c r="C148" i="267" s="1"/>
  <c r="C97" i="264"/>
  <c r="D96" i="264"/>
  <c r="E96" i="264" s="1"/>
  <c r="N162" i="264"/>
  <c r="N163" i="264" s="1"/>
  <c r="N164" i="264" s="1"/>
  <c r="D64" i="264"/>
  <c r="B162" i="264"/>
  <c r="G9" i="265"/>
  <c r="C93" i="264"/>
  <c r="D92" i="264"/>
  <c r="J64" i="264"/>
  <c r="H162" i="264"/>
  <c r="F6" i="265"/>
  <c r="F17" i="265" s="1"/>
  <c r="F21" i="265" s="1"/>
  <c r="O93" i="262"/>
  <c r="O148" i="262" s="1"/>
  <c r="P92" i="262"/>
  <c r="D64" i="262"/>
  <c r="B162" i="262"/>
  <c r="J64" i="262"/>
  <c r="H162" i="262"/>
  <c r="P64" i="262"/>
  <c r="N162" i="262"/>
  <c r="J64" i="260"/>
  <c r="H162" i="260"/>
  <c r="D92" i="260"/>
  <c r="E92" i="260" s="1"/>
  <c r="C93" i="260"/>
  <c r="P64" i="260"/>
  <c r="N162" i="260"/>
  <c r="P104" i="260"/>
  <c r="O105" i="260"/>
  <c r="C97" i="260"/>
  <c r="D96" i="260"/>
  <c r="E96" i="260" s="1"/>
  <c r="E97" i="260" s="1"/>
  <c r="I93" i="260"/>
  <c r="I148" i="260" s="1"/>
  <c r="J92" i="260"/>
  <c r="K92" i="260" s="1"/>
  <c r="D64" i="260"/>
  <c r="B162" i="260"/>
  <c r="P64" i="258"/>
  <c r="N162" i="258"/>
  <c r="J92" i="258"/>
  <c r="K92" i="258" s="1"/>
  <c r="I93" i="258"/>
  <c r="I148" i="258" s="1"/>
  <c r="Q114" i="258"/>
  <c r="O93" i="258"/>
  <c r="O148" i="258" s="1"/>
  <c r="C97" i="258"/>
  <c r="C148" i="258" s="1"/>
  <c r="D96" i="258"/>
  <c r="H162" i="258"/>
  <c r="N162" i="267"/>
  <c r="D64" i="267"/>
  <c r="B162" i="267"/>
  <c r="P64" i="254"/>
  <c r="N162" i="254"/>
  <c r="D64" i="254"/>
  <c r="B162" i="254"/>
  <c r="J64" i="254"/>
  <c r="H162" i="254"/>
  <c r="D64" i="252"/>
  <c r="B162" i="252"/>
  <c r="B163" i="252" s="1"/>
  <c r="B164" i="252" s="1"/>
  <c r="J64" i="252"/>
  <c r="H162" i="252"/>
  <c r="P64" i="252"/>
  <c r="N162" i="252"/>
  <c r="J64" i="250"/>
  <c r="H162" i="250"/>
  <c r="P64" i="250"/>
  <c r="N162" i="250"/>
  <c r="D64" i="250"/>
  <c r="B162" i="250"/>
  <c r="P104" i="250"/>
  <c r="Q104" i="250" s="1"/>
  <c r="O105" i="250"/>
  <c r="J104" i="250"/>
  <c r="I105" i="250"/>
  <c r="D64" i="237"/>
  <c r="B162" i="237"/>
  <c r="J64" i="237"/>
  <c r="H162" i="237"/>
  <c r="P64" i="237"/>
  <c r="N162" i="237"/>
  <c r="D24" i="248"/>
  <c r="J64" i="248"/>
  <c r="H162" i="248"/>
  <c r="P64" i="248"/>
  <c r="N162" i="248"/>
  <c r="E114" i="254"/>
  <c r="P64" i="267"/>
  <c r="K114" i="254"/>
  <c r="K114" i="258"/>
  <c r="K114" i="262"/>
  <c r="Q114" i="262"/>
  <c r="Q114" i="254"/>
  <c r="Q114" i="260"/>
  <c r="E114" i="252"/>
  <c r="E114" i="262"/>
  <c r="E114" i="237"/>
  <c r="B12" i="248"/>
  <c r="C19" i="291" s="1"/>
  <c r="B16" i="248"/>
  <c r="C23" i="291" s="1"/>
  <c r="B17" i="248"/>
  <c r="C24" i="291" s="1"/>
  <c r="E12" i="265"/>
  <c r="E13" i="265" s="1"/>
  <c r="G5" i="265"/>
  <c r="J96" i="267"/>
  <c r="K96" i="267" s="1"/>
  <c r="I97" i="267"/>
  <c r="I148" i="267" s="1"/>
  <c r="P92" i="267"/>
  <c r="Q92" i="267" s="1"/>
  <c r="O93" i="267"/>
  <c r="O148" i="267" s="1"/>
  <c r="C97" i="254"/>
  <c r="C148" i="254" s="1"/>
  <c r="D96" i="254"/>
  <c r="E96" i="254" s="1"/>
  <c r="I93" i="254"/>
  <c r="I148" i="254" s="1"/>
  <c r="J92" i="254"/>
  <c r="K92" i="254" s="1"/>
  <c r="J104" i="254"/>
  <c r="K104" i="254" s="1"/>
  <c r="I105" i="254"/>
  <c r="J81" i="252"/>
  <c r="Q114" i="252"/>
  <c r="I105" i="252"/>
  <c r="K114" i="252"/>
  <c r="C93" i="252"/>
  <c r="D92" i="252"/>
  <c r="O105" i="252"/>
  <c r="P104" i="252"/>
  <c r="D104" i="252"/>
  <c r="C105" i="252"/>
  <c r="O97" i="252"/>
  <c r="O148" i="252" s="1"/>
  <c r="P96" i="252"/>
  <c r="D96" i="252"/>
  <c r="E96" i="252" s="1"/>
  <c r="C97" i="252"/>
  <c r="B13" i="248"/>
  <c r="C20" i="291" s="1"/>
  <c r="F20" i="291" s="1"/>
  <c r="B19" i="248"/>
  <c r="C26" i="291" s="1"/>
  <c r="F26" i="291" s="1"/>
  <c r="E114" i="248"/>
  <c r="B15" i="248"/>
  <c r="C22" i="291" s="1"/>
  <c r="F22" i="291" s="1"/>
  <c r="C93" i="248"/>
  <c r="K114" i="248"/>
  <c r="P96" i="248"/>
  <c r="O97" i="248"/>
  <c r="O148" i="248" s="1"/>
  <c r="C105" i="248"/>
  <c r="D104" i="248"/>
  <c r="E104" i="248" s="1"/>
  <c r="C97" i="248"/>
  <c r="D96" i="248"/>
  <c r="E96" i="248" s="1"/>
  <c r="E97" i="248" s="1"/>
  <c r="D11" i="248"/>
  <c r="K114" i="237"/>
  <c r="J73" i="258"/>
  <c r="K114" i="267"/>
  <c r="J73" i="237"/>
  <c r="K114" i="260"/>
  <c r="K114" i="264"/>
  <c r="P73" i="252"/>
  <c r="D73" i="262"/>
  <c r="Q114" i="248"/>
  <c r="Q114" i="264"/>
  <c r="P73" i="254"/>
  <c r="D73" i="237"/>
  <c r="E114" i="267"/>
  <c r="P73" i="262"/>
  <c r="Q114" i="237"/>
  <c r="E114" i="260"/>
  <c r="D73" i="252"/>
  <c r="J73" i="252"/>
  <c r="E114" i="264"/>
  <c r="P73" i="258"/>
  <c r="Q114" i="267"/>
  <c r="J81" i="248"/>
  <c r="P81" i="250"/>
  <c r="D81" i="258"/>
  <c r="P81" i="260"/>
  <c r="P81" i="248"/>
  <c r="J81" i="262"/>
  <c r="P81" i="262"/>
  <c r="P81" i="258"/>
  <c r="B162" i="248"/>
  <c r="D81" i="250"/>
  <c r="J81" i="267"/>
  <c r="D73" i="248"/>
  <c r="K114" i="250"/>
  <c r="Q114" i="250"/>
  <c r="E114" i="250"/>
  <c r="J73" i="254"/>
  <c r="D73" i="254"/>
  <c r="J73" i="262"/>
  <c r="E114" i="258"/>
  <c r="G20" i="274" l="1"/>
  <c r="F22" i="281"/>
  <c r="H22" i="281"/>
  <c r="J20" i="274"/>
  <c r="I20" i="274"/>
  <c r="G22" i="281"/>
  <c r="H20" i="274"/>
  <c r="J20" i="284"/>
  <c r="H20" i="284"/>
  <c r="J22" i="281"/>
  <c r="I20" i="284"/>
  <c r="G20" i="284"/>
  <c r="B22" i="250"/>
  <c r="C29" i="288" s="1"/>
  <c r="I26" i="281"/>
  <c r="I22" i="288"/>
  <c r="F26" i="281"/>
  <c r="H22" i="288"/>
  <c r="F22" i="288"/>
  <c r="B22" i="258"/>
  <c r="C29" i="279" s="1"/>
  <c r="B22" i="267"/>
  <c r="C29" i="281" s="1"/>
  <c r="J22" i="288"/>
  <c r="B22" i="237"/>
  <c r="C29" i="290" s="1"/>
  <c r="C148" i="264"/>
  <c r="B22" i="264" s="1"/>
  <c r="C29" i="265" s="1"/>
  <c r="B22" i="262"/>
  <c r="C29" i="274" s="1"/>
  <c r="C149" i="262"/>
  <c r="B22" i="254"/>
  <c r="C29" i="284" s="1"/>
  <c r="C148" i="252"/>
  <c r="B22" i="252" s="1"/>
  <c r="C29" i="286" s="1"/>
  <c r="F26" i="274"/>
  <c r="C17" i="265"/>
  <c r="I20" i="281"/>
  <c r="G26" i="281"/>
  <c r="H26" i="281"/>
  <c r="F20" i="281"/>
  <c r="I20" i="286"/>
  <c r="H20" i="281"/>
  <c r="F20" i="279"/>
  <c r="I26" i="284"/>
  <c r="I26" i="288"/>
  <c r="I26" i="274"/>
  <c r="J20" i="279"/>
  <c r="H26" i="288"/>
  <c r="H20" i="291"/>
  <c r="G20" i="286"/>
  <c r="H26" i="274"/>
  <c r="I20" i="279"/>
  <c r="H20" i="279"/>
  <c r="H22" i="274"/>
  <c r="H22" i="279"/>
  <c r="G26" i="286"/>
  <c r="J26" i="286"/>
  <c r="H26" i="279"/>
  <c r="G22" i="286"/>
  <c r="I22" i="284"/>
  <c r="C17" i="284"/>
  <c r="J17" i="284" s="1"/>
  <c r="F22" i="286"/>
  <c r="J22" i="286"/>
  <c r="H22" i="291"/>
  <c r="H22" i="284"/>
  <c r="C17" i="279"/>
  <c r="J17" i="279" s="1"/>
  <c r="J26" i="279"/>
  <c r="G26" i="288"/>
  <c r="J26" i="284"/>
  <c r="J22" i="274"/>
  <c r="G26" i="274"/>
  <c r="J20" i="281"/>
  <c r="H26" i="291"/>
  <c r="G26" i="279"/>
  <c r="H22" i="286"/>
  <c r="G26" i="284"/>
  <c r="G22" i="274"/>
  <c r="C32" i="288"/>
  <c r="F26" i="279"/>
  <c r="G22" i="284"/>
  <c r="C140" i="262"/>
  <c r="B14" i="262" s="1"/>
  <c r="J26" i="288"/>
  <c r="H20" i="286"/>
  <c r="J22" i="284"/>
  <c r="H26" i="284"/>
  <c r="J22" i="291"/>
  <c r="I22" i="274"/>
  <c r="J22" i="279"/>
  <c r="G22" i="279"/>
  <c r="I20" i="291"/>
  <c r="B10" i="237"/>
  <c r="C17" i="290" s="1"/>
  <c r="J17" i="290" s="1"/>
  <c r="I22" i="279"/>
  <c r="J20" i="286"/>
  <c r="H20" i="288"/>
  <c r="C140" i="267"/>
  <c r="B14" i="267" s="1"/>
  <c r="C21" i="281" s="1"/>
  <c r="J21" i="281" s="1"/>
  <c r="J20" i="291"/>
  <c r="G22" i="291"/>
  <c r="F26" i="286"/>
  <c r="B10" i="260"/>
  <c r="G20" i="288"/>
  <c r="J26" i="291"/>
  <c r="G20" i="291"/>
  <c r="F20" i="288"/>
  <c r="G26" i="291"/>
  <c r="J20" i="288"/>
  <c r="I22" i="291"/>
  <c r="I26" i="291"/>
  <c r="C32" i="290"/>
  <c r="I26" i="286"/>
  <c r="C32" i="286"/>
  <c r="C18" i="274"/>
  <c r="F34" i="265"/>
  <c r="V6" i="290"/>
  <c r="S41" i="279"/>
  <c r="S40" i="279"/>
  <c r="S17" i="279"/>
  <c r="S21" i="279" s="1"/>
  <c r="J68" i="140"/>
  <c r="K4" i="290"/>
  <c r="W5" i="290" s="1"/>
  <c r="S6" i="288"/>
  <c r="B16" i="288"/>
  <c r="D16" i="288" s="1"/>
  <c r="J70" i="140"/>
  <c r="K4" i="286"/>
  <c r="T5" i="286" s="1"/>
  <c r="B16" i="274"/>
  <c r="D16" i="274" s="1"/>
  <c r="J69" i="140"/>
  <c r="K4" i="288"/>
  <c r="T5" i="288" s="1"/>
  <c r="B16" i="290"/>
  <c r="D16" i="290" s="1"/>
  <c r="V6" i="276"/>
  <c r="J72" i="140"/>
  <c r="K4" i="281"/>
  <c r="W5" i="281" s="1"/>
  <c r="B16" i="286"/>
  <c r="D16" i="286" s="1"/>
  <c r="V6" i="274"/>
  <c r="S17" i="284"/>
  <c r="S21" i="284" s="1"/>
  <c r="S40" i="284"/>
  <c r="S41" i="284"/>
  <c r="J74" i="140"/>
  <c r="K4" i="276"/>
  <c r="U23" i="276" s="1"/>
  <c r="B16" i="284"/>
  <c r="D16" i="284" s="1"/>
  <c r="V6" i="291"/>
  <c r="J67" i="140"/>
  <c r="K4" i="291"/>
  <c r="B16" i="279"/>
  <c r="D16" i="279" s="1"/>
  <c r="V41" i="281"/>
  <c r="V17" i="281"/>
  <c r="V21" i="281" s="1"/>
  <c r="V40" i="281"/>
  <c r="J71" i="140"/>
  <c r="K4" i="284"/>
  <c r="B16" i="291"/>
  <c r="D16" i="291" s="1"/>
  <c r="J73" i="140"/>
  <c r="K4" i="279"/>
  <c r="S6" i="286"/>
  <c r="B16" i="276"/>
  <c r="D16" i="276" s="1"/>
  <c r="J75" i="140"/>
  <c r="K4" i="274"/>
  <c r="B16" i="281"/>
  <c r="D16" i="281" s="1"/>
  <c r="C17" i="286"/>
  <c r="J17" i="286" s="1"/>
  <c r="C18" i="291"/>
  <c r="C21" i="284"/>
  <c r="C18" i="288"/>
  <c r="C21" i="291"/>
  <c r="C18" i="286"/>
  <c r="C21" i="279"/>
  <c r="C17" i="288"/>
  <c r="J17" i="288" s="1"/>
  <c r="C17" i="291"/>
  <c r="J17" i="291" s="1"/>
  <c r="C18" i="279"/>
  <c r="C18" i="284"/>
  <c r="G59" i="289"/>
  <c r="G58" i="287"/>
  <c r="G57" i="285"/>
  <c r="G58" i="283"/>
  <c r="G57" i="280"/>
  <c r="O149" i="237"/>
  <c r="G57" i="278"/>
  <c r="F20" i="276"/>
  <c r="G20" i="276"/>
  <c r="H20" i="276"/>
  <c r="I20" i="276"/>
  <c r="J20" i="276"/>
  <c r="F22" i="276"/>
  <c r="G22" i="276"/>
  <c r="H22" i="276"/>
  <c r="I22" i="276"/>
  <c r="J22" i="276"/>
  <c r="F26" i="276"/>
  <c r="G26" i="276"/>
  <c r="H26" i="276"/>
  <c r="I26" i="276"/>
  <c r="J26" i="276"/>
  <c r="G30" i="265"/>
  <c r="G28" i="265"/>
  <c r="G26" i="265"/>
  <c r="G24" i="265"/>
  <c r="G22" i="265"/>
  <c r="G23" i="265"/>
  <c r="G20" i="265"/>
  <c r="G16" i="265"/>
  <c r="C140" i="252"/>
  <c r="B14" i="252" s="1"/>
  <c r="E13" i="270"/>
  <c r="O149" i="264"/>
  <c r="O149" i="254"/>
  <c r="G57" i="273"/>
  <c r="F12" i="265"/>
  <c r="F13" i="265" s="1"/>
  <c r="F40" i="265"/>
  <c r="C21" i="265"/>
  <c r="I149" i="262"/>
  <c r="C148" i="260"/>
  <c r="B22" i="260" s="1"/>
  <c r="O149" i="260"/>
  <c r="O149" i="258"/>
  <c r="I149" i="252"/>
  <c r="I149" i="250"/>
  <c r="C140" i="250"/>
  <c r="B14" i="250" s="1"/>
  <c r="C149" i="250"/>
  <c r="C149" i="237"/>
  <c r="K115" i="250"/>
  <c r="Q115" i="254"/>
  <c r="Q117" i="254" s="1"/>
  <c r="E115" i="237"/>
  <c r="E117" i="237" s="1"/>
  <c r="E104" i="252"/>
  <c r="E105" i="252" s="1"/>
  <c r="E116" i="252" s="1"/>
  <c r="K104" i="250"/>
  <c r="K105" i="250" s="1"/>
  <c r="K116" i="250" s="1"/>
  <c r="E116" i="264"/>
  <c r="D105" i="264"/>
  <c r="K105" i="252"/>
  <c r="K116" i="252" s="1"/>
  <c r="Q105" i="250"/>
  <c r="Q116" i="250" s="1"/>
  <c r="E105" i="248"/>
  <c r="E116" i="248" s="1"/>
  <c r="Q104" i="252"/>
  <c r="Q105" i="252" s="1"/>
  <c r="Q116" i="252" s="1"/>
  <c r="K105" i="254"/>
  <c r="K116" i="254" s="1"/>
  <c r="Q104" i="260"/>
  <c r="Q105" i="260" s="1"/>
  <c r="Q116" i="260" s="1"/>
  <c r="Q115" i="237"/>
  <c r="Q117" i="237" s="1"/>
  <c r="K115" i="237"/>
  <c r="K117" i="237" s="1"/>
  <c r="K115" i="264"/>
  <c r="K117" i="264" s="1"/>
  <c r="K123" i="264" s="1"/>
  <c r="K115" i="248"/>
  <c r="K117" i="248" s="1"/>
  <c r="C149" i="248"/>
  <c r="E115" i="248"/>
  <c r="K115" i="252"/>
  <c r="D93" i="250"/>
  <c r="E115" i="250"/>
  <c r="E117" i="250" s="1"/>
  <c r="Q115" i="250"/>
  <c r="E97" i="264"/>
  <c r="E115" i="262"/>
  <c r="E117" i="262" s="1"/>
  <c r="E123" i="262" s="1"/>
  <c r="E93" i="260"/>
  <c r="E96" i="258"/>
  <c r="E97" i="258" s="1"/>
  <c r="C149" i="258" s="1"/>
  <c r="Q92" i="262"/>
  <c r="Q93" i="262" s="1"/>
  <c r="O149" i="262" s="1"/>
  <c r="E97" i="252"/>
  <c r="K97" i="267"/>
  <c r="K115" i="267" s="1"/>
  <c r="K117" i="267" s="1"/>
  <c r="Q115" i="260"/>
  <c r="Q93" i="267"/>
  <c r="O149" i="267" s="1"/>
  <c r="E97" i="254"/>
  <c r="D97" i="254" s="1"/>
  <c r="K93" i="258"/>
  <c r="E92" i="252"/>
  <c r="E93" i="252" s="1"/>
  <c r="Q96" i="248"/>
  <c r="Q97" i="248" s="1"/>
  <c r="O149" i="248" s="1"/>
  <c r="Q115" i="264"/>
  <c r="Q117" i="264" s="1"/>
  <c r="Q123" i="264" s="1"/>
  <c r="K115" i="262"/>
  <c r="K117" i="262" s="1"/>
  <c r="K123" i="262" s="1"/>
  <c r="E92" i="264"/>
  <c r="E93" i="264" s="1"/>
  <c r="Q96" i="252"/>
  <c r="Q97" i="252" s="1"/>
  <c r="O149" i="252" s="1"/>
  <c r="K93" i="260"/>
  <c r="K93" i="254"/>
  <c r="I149" i="254" s="1"/>
  <c r="E92" i="267"/>
  <c r="E93" i="267" s="1"/>
  <c r="C149" i="267" s="1"/>
  <c r="B163" i="248"/>
  <c r="B164" i="248" s="1"/>
  <c r="F41" i="265"/>
  <c r="H5" i="265"/>
  <c r="G7" i="265"/>
  <c r="G34" i="265" s="1"/>
  <c r="B163" i="264"/>
  <c r="B164" i="264" s="1"/>
  <c r="H163" i="264"/>
  <c r="H164" i="264" s="1"/>
  <c r="H9" i="265"/>
  <c r="G6" i="265"/>
  <c r="G17" i="265" s="1"/>
  <c r="G21" i="265" s="1"/>
  <c r="B163" i="262"/>
  <c r="B164" i="262" s="1"/>
  <c r="N163" i="262"/>
  <c r="N164" i="262" s="1"/>
  <c r="H163" i="262"/>
  <c r="H164" i="262" s="1"/>
  <c r="N163" i="260"/>
  <c r="N164" i="260" s="1"/>
  <c r="B163" i="260"/>
  <c r="B164" i="260" s="1"/>
  <c r="H163" i="260"/>
  <c r="H164" i="260" s="1"/>
  <c r="Q115" i="258"/>
  <c r="Q117" i="258" s="1"/>
  <c r="Q123" i="258" s="1"/>
  <c r="N163" i="258"/>
  <c r="N164" i="258" s="1"/>
  <c r="H163" i="258"/>
  <c r="H164" i="258" s="1"/>
  <c r="B163" i="267"/>
  <c r="B164" i="267" s="1"/>
  <c r="N163" i="267"/>
  <c r="N164" i="267" s="1"/>
  <c r="N163" i="254"/>
  <c r="N164" i="254" s="1"/>
  <c r="B163" i="254"/>
  <c r="B164" i="254" s="1"/>
  <c r="H163" i="254"/>
  <c r="H164" i="254" s="1"/>
  <c r="H163" i="252"/>
  <c r="H164" i="252" s="1"/>
  <c r="N163" i="252"/>
  <c r="N164" i="252" s="1"/>
  <c r="N163" i="250"/>
  <c r="N164" i="250" s="1"/>
  <c r="H163" i="250"/>
  <c r="H164" i="250" s="1"/>
  <c r="B163" i="250"/>
  <c r="B164" i="250" s="1"/>
  <c r="N163" i="237"/>
  <c r="N164" i="237" s="1"/>
  <c r="H163" i="237"/>
  <c r="H164" i="237" s="1"/>
  <c r="B163" i="237"/>
  <c r="B164" i="237" s="1"/>
  <c r="N163" i="248"/>
  <c r="N164" i="248" s="1"/>
  <c r="H163" i="248"/>
  <c r="H164" i="248" s="1"/>
  <c r="C148" i="248"/>
  <c r="B22" i="248" s="1"/>
  <c r="C29" i="291" s="1"/>
  <c r="D9" i="252" l="1"/>
  <c r="K128" i="248"/>
  <c r="I147" i="248" s="1"/>
  <c r="I150" i="248" s="1"/>
  <c r="I154" i="248" s="1"/>
  <c r="K123" i="248"/>
  <c r="K124" i="248" s="1"/>
  <c r="E123" i="250"/>
  <c r="E124" i="250" s="1"/>
  <c r="K125" i="237"/>
  <c r="K123" i="237"/>
  <c r="E125" i="237"/>
  <c r="E123" i="237"/>
  <c r="E124" i="237" s="1"/>
  <c r="K128" i="267"/>
  <c r="I147" i="267" s="1"/>
  <c r="K123" i="267"/>
  <c r="K124" i="267" s="1"/>
  <c r="Q125" i="254"/>
  <c r="Q123" i="254"/>
  <c r="Q124" i="254" s="1"/>
  <c r="Q126" i="254" s="1"/>
  <c r="Q128" i="237"/>
  <c r="O147" i="237" s="1"/>
  <c r="Q123" i="237"/>
  <c r="Q124" i="237" s="1"/>
  <c r="I140" i="237"/>
  <c r="J21" i="284"/>
  <c r="D9" i="250"/>
  <c r="D9" i="258"/>
  <c r="D9" i="254"/>
  <c r="D9" i="262"/>
  <c r="D9" i="237"/>
  <c r="D9" i="267"/>
  <c r="B23" i="237"/>
  <c r="C30" i="290" s="1"/>
  <c r="B23" i="262"/>
  <c r="B23" i="250"/>
  <c r="C30" i="288" s="1"/>
  <c r="J21" i="279"/>
  <c r="C140" i="237"/>
  <c r="O140" i="237"/>
  <c r="D9" i="260"/>
  <c r="D9" i="264"/>
  <c r="C140" i="260"/>
  <c r="I140" i="260"/>
  <c r="C17" i="276"/>
  <c r="J17" i="276" s="1"/>
  <c r="N24" i="276"/>
  <c r="L24" i="276"/>
  <c r="W5" i="276"/>
  <c r="Q23" i="276"/>
  <c r="T24" i="276"/>
  <c r="R24" i="276"/>
  <c r="N23" i="276"/>
  <c r="T23" i="276"/>
  <c r="Q24" i="276"/>
  <c r="L23" i="276"/>
  <c r="P23" i="276"/>
  <c r="P24" i="276"/>
  <c r="S23" i="276"/>
  <c r="R23" i="276"/>
  <c r="S24" i="276"/>
  <c r="O23" i="276"/>
  <c r="O24" i="276"/>
  <c r="M24" i="276"/>
  <c r="M23" i="276"/>
  <c r="K24" i="276"/>
  <c r="K23" i="276"/>
  <c r="V24" i="276"/>
  <c r="V23" i="276"/>
  <c r="U24" i="276"/>
  <c r="V17" i="276"/>
  <c r="V21" i="276" s="1"/>
  <c r="V41" i="276"/>
  <c r="V40" i="276"/>
  <c r="I23" i="284"/>
  <c r="R23" i="284"/>
  <c r="F23" i="284"/>
  <c r="L23" i="284"/>
  <c r="O24" i="284"/>
  <c r="R24" i="284"/>
  <c r="U23" i="284"/>
  <c r="X23" i="284"/>
  <c r="F24" i="284"/>
  <c r="L24" i="284"/>
  <c r="G23" i="284"/>
  <c r="P24" i="284"/>
  <c r="G24" i="284"/>
  <c r="M24" i="284"/>
  <c r="S23" i="284"/>
  <c r="V24" i="284"/>
  <c r="J24" i="284"/>
  <c r="M23" i="284"/>
  <c r="P23" i="284"/>
  <c r="J23" i="284"/>
  <c r="S24" i="284"/>
  <c r="V23" i="284"/>
  <c r="H24" i="284"/>
  <c r="W24" i="284"/>
  <c r="H23" i="284"/>
  <c r="K23" i="284"/>
  <c r="N24" i="284"/>
  <c r="Q23" i="284"/>
  <c r="T24" i="284"/>
  <c r="K24" i="284"/>
  <c r="N23" i="284"/>
  <c r="Q24" i="284"/>
  <c r="T23" i="284"/>
  <c r="W23" i="284"/>
  <c r="I24" i="284"/>
  <c r="O23" i="284"/>
  <c r="U24" i="284"/>
  <c r="X24" i="284"/>
  <c r="J7" i="284"/>
  <c r="V7" i="284"/>
  <c r="F7" i="284"/>
  <c r="W7" i="284"/>
  <c r="T7" i="284"/>
  <c r="K7" i="284"/>
  <c r="U7" i="284"/>
  <c r="I7" i="284"/>
  <c r="G7" i="284"/>
  <c r="H7" i="284"/>
  <c r="X7" i="284"/>
  <c r="T5" i="284"/>
  <c r="L4" i="284"/>
  <c r="L5" i="284" s="1"/>
  <c r="V17" i="291"/>
  <c r="V21" i="291" s="1"/>
  <c r="V41" i="291"/>
  <c r="V40" i="291"/>
  <c r="L4" i="291"/>
  <c r="M6" i="291" s="1"/>
  <c r="I23" i="281"/>
  <c r="R24" i="281"/>
  <c r="X23" i="281"/>
  <c r="F24" i="281"/>
  <c r="L24" i="281"/>
  <c r="O23" i="281"/>
  <c r="U24" i="281"/>
  <c r="X24" i="281"/>
  <c r="I24" i="281"/>
  <c r="O24" i="281"/>
  <c r="U23" i="281"/>
  <c r="G24" i="281"/>
  <c r="J23" i="281"/>
  <c r="M24" i="281"/>
  <c r="P24" i="281"/>
  <c r="S23" i="281"/>
  <c r="G23" i="281"/>
  <c r="J24" i="281"/>
  <c r="S24" i="281"/>
  <c r="M23" i="281"/>
  <c r="P23" i="281"/>
  <c r="V23" i="281"/>
  <c r="V24" i="281"/>
  <c r="K24" i="281"/>
  <c r="Q24" i="281"/>
  <c r="T23" i="281"/>
  <c r="W23" i="281"/>
  <c r="H24" i="281"/>
  <c r="N23" i="281"/>
  <c r="H23" i="281"/>
  <c r="K23" i="281"/>
  <c r="N24" i="281"/>
  <c r="Q23" i="281"/>
  <c r="W24" i="281"/>
  <c r="T24" i="281"/>
  <c r="F23" i="281"/>
  <c r="L23" i="281"/>
  <c r="R23" i="281"/>
  <c r="I7" i="281"/>
  <c r="G7" i="281"/>
  <c r="H7" i="281"/>
  <c r="F7" i="281"/>
  <c r="J7" i="281"/>
  <c r="W7" i="281"/>
  <c r="X7" i="281"/>
  <c r="S40" i="286"/>
  <c r="S41" i="286"/>
  <c r="S17" i="286"/>
  <c r="S21" i="286" s="1"/>
  <c r="L4" i="281"/>
  <c r="G5" i="281" s="1"/>
  <c r="J24" i="290"/>
  <c r="M24" i="290"/>
  <c r="P23" i="290"/>
  <c r="V23" i="290"/>
  <c r="G23" i="290"/>
  <c r="J23" i="290"/>
  <c r="S23" i="290"/>
  <c r="G24" i="290"/>
  <c r="M23" i="290"/>
  <c r="P24" i="290"/>
  <c r="S24" i="290"/>
  <c r="V24" i="290"/>
  <c r="H23" i="290"/>
  <c r="K24" i="290"/>
  <c r="N23" i="290"/>
  <c r="Q23" i="290"/>
  <c r="W23" i="290"/>
  <c r="H24" i="290"/>
  <c r="T23" i="290"/>
  <c r="K23" i="290"/>
  <c r="N24" i="290"/>
  <c r="Q24" i="290"/>
  <c r="W24" i="290"/>
  <c r="T24" i="290"/>
  <c r="I23" i="290"/>
  <c r="L24" i="290"/>
  <c r="O24" i="290"/>
  <c r="U23" i="290"/>
  <c r="X24" i="290"/>
  <c r="F23" i="290"/>
  <c r="O23" i="290"/>
  <c r="R24" i="290"/>
  <c r="F24" i="290"/>
  <c r="I24" i="290"/>
  <c r="U24" i="290"/>
  <c r="X23" i="290"/>
  <c r="L23" i="290"/>
  <c r="R23" i="290"/>
  <c r="J7" i="290"/>
  <c r="K7" i="290" s="1"/>
  <c r="L7" i="290" s="1"/>
  <c r="M7" i="290" s="1"/>
  <c r="F7" i="290"/>
  <c r="H7" i="290"/>
  <c r="W7" i="290"/>
  <c r="X7" i="290"/>
  <c r="I7" i="290"/>
  <c r="G7" i="290"/>
  <c r="L4" i="290"/>
  <c r="M5" i="290" s="1"/>
  <c r="J23" i="279"/>
  <c r="M24" i="279"/>
  <c r="P24" i="279"/>
  <c r="M23" i="279"/>
  <c r="V24" i="279"/>
  <c r="G24" i="279"/>
  <c r="P23" i="279"/>
  <c r="S23" i="279"/>
  <c r="V23" i="279"/>
  <c r="H24" i="279"/>
  <c r="N23" i="279"/>
  <c r="T24" i="279"/>
  <c r="T23" i="279"/>
  <c r="W23" i="279"/>
  <c r="H23" i="279"/>
  <c r="K23" i="279"/>
  <c r="N24" i="279"/>
  <c r="Q23" i="279"/>
  <c r="K24" i="279"/>
  <c r="Q24" i="279"/>
  <c r="W24" i="279"/>
  <c r="I24" i="279"/>
  <c r="L23" i="279"/>
  <c r="U24" i="279"/>
  <c r="X23" i="279"/>
  <c r="F24" i="279"/>
  <c r="I23" i="279"/>
  <c r="L24" i="279"/>
  <c r="O23" i="279"/>
  <c r="R24" i="279"/>
  <c r="U23" i="279"/>
  <c r="X24" i="279"/>
  <c r="F23" i="279"/>
  <c r="O24" i="279"/>
  <c r="R23" i="279"/>
  <c r="G23" i="279"/>
  <c r="J24" i="279"/>
  <c r="S24" i="279"/>
  <c r="X7" i="279"/>
  <c r="I7" i="279"/>
  <c r="F7" i="279"/>
  <c r="G7" i="279"/>
  <c r="U7" i="279"/>
  <c r="T5" i="279"/>
  <c r="V7" i="279"/>
  <c r="H7" i="279"/>
  <c r="J7" i="279"/>
  <c r="K7" i="279" s="1"/>
  <c r="L7" i="279" s="1"/>
  <c r="M7" i="279" s="1"/>
  <c r="T7" i="279"/>
  <c r="W7" i="279"/>
  <c r="F24" i="274"/>
  <c r="R24" i="274"/>
  <c r="X23" i="274"/>
  <c r="I24" i="274"/>
  <c r="O23" i="274"/>
  <c r="X24" i="274"/>
  <c r="L23" i="274"/>
  <c r="R23" i="274"/>
  <c r="U23" i="274"/>
  <c r="G24" i="274"/>
  <c r="J23" i="274"/>
  <c r="S23" i="274"/>
  <c r="V23" i="274"/>
  <c r="J24" i="274"/>
  <c r="M24" i="274"/>
  <c r="P23" i="274"/>
  <c r="G23" i="274"/>
  <c r="V24" i="274"/>
  <c r="M23" i="274"/>
  <c r="P24" i="274"/>
  <c r="S24" i="274"/>
  <c r="K23" i="274"/>
  <c r="T23" i="274"/>
  <c r="W23" i="274"/>
  <c r="H24" i="274"/>
  <c r="Q24" i="274"/>
  <c r="H23" i="274"/>
  <c r="K24" i="274"/>
  <c r="N23" i="274"/>
  <c r="T24" i="274"/>
  <c r="N24" i="274"/>
  <c r="Q23" i="274"/>
  <c r="W24" i="274"/>
  <c r="F23" i="274"/>
  <c r="I23" i="274"/>
  <c r="L24" i="274"/>
  <c r="O24" i="274"/>
  <c r="U24" i="274"/>
  <c r="F7" i="274"/>
  <c r="H7" i="274"/>
  <c r="I7" i="274"/>
  <c r="W7" i="274"/>
  <c r="G7" i="274"/>
  <c r="J7" i="274"/>
  <c r="K7" i="274" s="1"/>
  <c r="L7" i="274" s="1"/>
  <c r="M7" i="274" s="1"/>
  <c r="X7" i="274"/>
  <c r="L4" i="279"/>
  <c r="K6" i="279" s="1"/>
  <c r="L4" i="274"/>
  <c r="R6" i="274" s="1"/>
  <c r="W5" i="274"/>
  <c r="T5" i="274"/>
  <c r="W5" i="291"/>
  <c r="G24" i="288"/>
  <c r="M24" i="288"/>
  <c r="S23" i="288"/>
  <c r="V23" i="288"/>
  <c r="G23" i="288"/>
  <c r="J24" i="288"/>
  <c r="J23" i="288"/>
  <c r="M23" i="288"/>
  <c r="P24" i="288"/>
  <c r="S24" i="288"/>
  <c r="N23" i="288"/>
  <c r="T23" i="288"/>
  <c r="Q23" i="288"/>
  <c r="T24" i="288"/>
  <c r="W24" i="288"/>
  <c r="H23" i="288"/>
  <c r="K23" i="288"/>
  <c r="Q24" i="288"/>
  <c r="H24" i="288"/>
  <c r="K24" i="288"/>
  <c r="N24" i="288"/>
  <c r="W23" i="288"/>
  <c r="L23" i="288"/>
  <c r="R24" i="288"/>
  <c r="U23" i="288"/>
  <c r="X23" i="288"/>
  <c r="F24" i="288"/>
  <c r="I24" i="288"/>
  <c r="F23" i="288"/>
  <c r="L24" i="288"/>
  <c r="O23" i="288"/>
  <c r="R23" i="288"/>
  <c r="U24" i="288"/>
  <c r="X24" i="288"/>
  <c r="I23" i="288"/>
  <c r="O24" i="288"/>
  <c r="P23" i="288"/>
  <c r="V24" i="288"/>
  <c r="X7" i="288"/>
  <c r="G7" i="288"/>
  <c r="V7" i="288"/>
  <c r="J7" i="288"/>
  <c r="H7" i="288"/>
  <c r="W7" i="288"/>
  <c r="F7" i="288"/>
  <c r="T7" i="288"/>
  <c r="I7" i="288"/>
  <c r="U7" i="288"/>
  <c r="X23" i="276"/>
  <c r="F24" i="276"/>
  <c r="X24" i="276"/>
  <c r="F23" i="276"/>
  <c r="I24" i="276"/>
  <c r="I23" i="276"/>
  <c r="J24" i="276"/>
  <c r="G23" i="276"/>
  <c r="G24" i="276"/>
  <c r="J23" i="276"/>
  <c r="W24" i="276"/>
  <c r="H24" i="276"/>
  <c r="W23" i="276"/>
  <c r="H23" i="276"/>
  <c r="W7" i="276"/>
  <c r="F7" i="276"/>
  <c r="G7" i="276"/>
  <c r="X7" i="276"/>
  <c r="J7" i="276"/>
  <c r="K7" i="276" s="1"/>
  <c r="H7" i="276"/>
  <c r="I7" i="276"/>
  <c r="L4" i="288"/>
  <c r="I5" i="288" s="1"/>
  <c r="S40" i="288"/>
  <c r="S41" i="288"/>
  <c r="S17" i="288"/>
  <c r="S21" i="288" s="1"/>
  <c r="L4" i="276"/>
  <c r="U5" i="276" s="1"/>
  <c r="I24" i="286"/>
  <c r="L24" i="286"/>
  <c r="O24" i="286"/>
  <c r="R23" i="286"/>
  <c r="U23" i="286"/>
  <c r="F23" i="286"/>
  <c r="X24" i="286"/>
  <c r="F24" i="286"/>
  <c r="I23" i="286"/>
  <c r="O23" i="286"/>
  <c r="R24" i="286"/>
  <c r="J23" i="286"/>
  <c r="G24" i="286"/>
  <c r="M24" i="286"/>
  <c r="P23" i="286"/>
  <c r="S24" i="286"/>
  <c r="V23" i="286"/>
  <c r="J24" i="286"/>
  <c r="S23" i="286"/>
  <c r="V24" i="286"/>
  <c r="G23" i="286"/>
  <c r="M23" i="286"/>
  <c r="P24" i="286"/>
  <c r="H23" i="286"/>
  <c r="N23" i="286"/>
  <c r="Q24" i="286"/>
  <c r="T24" i="286"/>
  <c r="W23" i="286"/>
  <c r="K24" i="286"/>
  <c r="T23" i="286"/>
  <c r="H24" i="286"/>
  <c r="N24" i="286"/>
  <c r="Q23" i="286"/>
  <c r="K23" i="286"/>
  <c r="W24" i="286"/>
  <c r="L23" i="286"/>
  <c r="U24" i="286"/>
  <c r="X23" i="286"/>
  <c r="H7" i="286"/>
  <c r="F7" i="286"/>
  <c r="J7" i="286"/>
  <c r="K7" i="286" s="1"/>
  <c r="V7" i="286"/>
  <c r="W7" i="286"/>
  <c r="T7" i="286"/>
  <c r="G7" i="286"/>
  <c r="I7" i="286"/>
  <c r="U7" i="286"/>
  <c r="X7" i="286"/>
  <c r="V40" i="290"/>
  <c r="V17" i="290"/>
  <c r="V21" i="290" s="1"/>
  <c r="V41" i="290"/>
  <c r="G23" i="291"/>
  <c r="M23" i="291"/>
  <c r="P24" i="291"/>
  <c r="V23" i="291"/>
  <c r="J24" i="291"/>
  <c r="M24" i="291"/>
  <c r="P23" i="291"/>
  <c r="S23" i="291"/>
  <c r="V24" i="291"/>
  <c r="H24" i="291"/>
  <c r="N23" i="291"/>
  <c r="Q24" i="291"/>
  <c r="W24" i="291"/>
  <c r="H23" i="291"/>
  <c r="Q23" i="291"/>
  <c r="T24" i="291"/>
  <c r="W23" i="291"/>
  <c r="K24" i="291"/>
  <c r="T23" i="291"/>
  <c r="K23" i="291"/>
  <c r="N24" i="291"/>
  <c r="F24" i="291"/>
  <c r="L23" i="291"/>
  <c r="O24" i="291"/>
  <c r="X23" i="291"/>
  <c r="F23" i="291"/>
  <c r="I24" i="291"/>
  <c r="L24" i="291"/>
  <c r="R24" i="291"/>
  <c r="U23" i="291"/>
  <c r="X24" i="291"/>
  <c r="I23" i="291"/>
  <c r="O23" i="291"/>
  <c r="R23" i="291"/>
  <c r="U24" i="291"/>
  <c r="G24" i="291"/>
  <c r="J23" i="291"/>
  <c r="S24" i="291"/>
  <c r="I7" i="291"/>
  <c r="X7" i="291"/>
  <c r="G7" i="291"/>
  <c r="H7" i="291"/>
  <c r="J7" i="291"/>
  <c r="K7" i="291" s="1"/>
  <c r="W7" i="291"/>
  <c r="F7" i="291"/>
  <c r="V17" i="274"/>
  <c r="V21" i="274" s="1"/>
  <c r="V41" i="274"/>
  <c r="V40" i="274"/>
  <c r="L4" i="286"/>
  <c r="C21" i="286"/>
  <c r="J21" i="286" s="1"/>
  <c r="C21" i="274"/>
  <c r="J21" i="274" s="1"/>
  <c r="J21" i="291"/>
  <c r="G60" i="289"/>
  <c r="G59" i="287"/>
  <c r="G58" i="285"/>
  <c r="G59" i="283"/>
  <c r="G58" i="280"/>
  <c r="G58" i="278"/>
  <c r="C29" i="276"/>
  <c r="F31" i="265"/>
  <c r="F18" i="265"/>
  <c r="F14" i="265"/>
  <c r="I9" i="265"/>
  <c r="J9" i="265" s="1"/>
  <c r="H26" i="265"/>
  <c r="H24" i="265"/>
  <c r="H22" i="265"/>
  <c r="H30" i="265"/>
  <c r="H28" i="265"/>
  <c r="H23" i="265"/>
  <c r="H20" i="265"/>
  <c r="H16" i="265"/>
  <c r="F25" i="265"/>
  <c r="F15" i="265"/>
  <c r="F32" i="265"/>
  <c r="F19" i="265"/>
  <c r="G58" i="273"/>
  <c r="G41" i="265"/>
  <c r="G40" i="265"/>
  <c r="G10" i="265"/>
  <c r="G11" i="265" s="1"/>
  <c r="C149" i="264"/>
  <c r="J93" i="260"/>
  <c r="I149" i="260"/>
  <c r="D93" i="260"/>
  <c r="C149" i="260"/>
  <c r="K115" i="258"/>
  <c r="K117" i="258" s="1"/>
  <c r="I149" i="258"/>
  <c r="B23" i="258" s="1"/>
  <c r="I149" i="267"/>
  <c r="C149" i="254"/>
  <c r="B23" i="254" s="1"/>
  <c r="C30" i="284" s="1"/>
  <c r="C149" i="252"/>
  <c r="B23" i="252" s="1"/>
  <c r="C30" i="286" s="1"/>
  <c r="K117" i="252"/>
  <c r="K117" i="250"/>
  <c r="H158" i="248"/>
  <c r="H157" i="248"/>
  <c r="K115" i="254"/>
  <c r="K117" i="254" s="1"/>
  <c r="E115" i="260"/>
  <c r="E117" i="260" s="1"/>
  <c r="Q115" i="262"/>
  <c r="Q117" i="262" s="1"/>
  <c r="Q115" i="252"/>
  <c r="Q117" i="252" s="1"/>
  <c r="Q123" i="252" s="1"/>
  <c r="Q117" i="260"/>
  <c r="E117" i="248"/>
  <c r="Q117" i="250"/>
  <c r="K125" i="262"/>
  <c r="K128" i="262"/>
  <c r="I147" i="262" s="1"/>
  <c r="E115" i="258"/>
  <c r="E117" i="258" s="1"/>
  <c r="D97" i="258"/>
  <c r="K128" i="264"/>
  <c r="I147" i="264" s="1"/>
  <c r="K125" i="264"/>
  <c r="E115" i="254"/>
  <c r="E117" i="254" s="1"/>
  <c r="E115" i="264"/>
  <c r="E117" i="264" s="1"/>
  <c r="D93" i="264"/>
  <c r="E125" i="262"/>
  <c r="E128" i="262"/>
  <c r="C147" i="262" s="1"/>
  <c r="E124" i="262"/>
  <c r="E115" i="267"/>
  <c r="E117" i="267" s="1"/>
  <c r="D93" i="267"/>
  <c r="Q124" i="264"/>
  <c r="Q125" i="264"/>
  <c r="Q128" i="264"/>
  <c r="O147" i="264" s="1"/>
  <c r="Q115" i="248"/>
  <c r="Q117" i="248" s="1"/>
  <c r="B23" i="248"/>
  <c r="C30" i="291" s="1"/>
  <c r="E115" i="252"/>
  <c r="E117" i="252" s="1"/>
  <c r="D93" i="252"/>
  <c r="K115" i="260"/>
  <c r="K117" i="260" s="1"/>
  <c r="Q115" i="267"/>
  <c r="Q117" i="267" s="1"/>
  <c r="K124" i="262"/>
  <c r="K124" i="264"/>
  <c r="E128" i="250"/>
  <c r="C147" i="250" s="1"/>
  <c r="E125" i="250"/>
  <c r="D9" i="248"/>
  <c r="F8" i="265"/>
  <c r="H7" i="265"/>
  <c r="H34" i="265" s="1"/>
  <c r="H6" i="265"/>
  <c r="H17" i="265" s="1"/>
  <c r="H21" i="265" s="1"/>
  <c r="I5" i="265"/>
  <c r="G12" i="265"/>
  <c r="Q128" i="258"/>
  <c r="O147" i="258" s="1"/>
  <c r="O150" i="258" s="1"/>
  <c r="O154" i="258" s="1"/>
  <c r="Q125" i="258"/>
  <c r="Q124" i="258"/>
  <c r="Q128" i="254"/>
  <c r="O147" i="254" s="1"/>
  <c r="K124" i="237"/>
  <c r="K126" i="237" s="1"/>
  <c r="K125" i="267"/>
  <c r="K128" i="237"/>
  <c r="I147" i="237" s="1"/>
  <c r="E128" i="237"/>
  <c r="C147" i="237" s="1"/>
  <c r="Q125" i="237"/>
  <c r="K125" i="248"/>
  <c r="E126" i="237" l="1"/>
  <c r="I150" i="267"/>
  <c r="I154" i="267" s="1"/>
  <c r="K125" i="254"/>
  <c r="K123" i="254"/>
  <c r="K123" i="250"/>
  <c r="K124" i="250" s="1"/>
  <c r="E125" i="267"/>
  <c r="E123" i="267"/>
  <c r="Q125" i="248"/>
  <c r="Q123" i="248"/>
  <c r="Q124" i="248" s="1"/>
  <c r="E125" i="258"/>
  <c r="E123" i="258"/>
  <c r="Q125" i="250"/>
  <c r="Q123" i="250"/>
  <c r="Q124" i="250" s="1"/>
  <c r="K123" i="260"/>
  <c r="K124" i="260" s="1"/>
  <c r="Q125" i="260"/>
  <c r="Q123" i="260"/>
  <c r="K123" i="252"/>
  <c r="K124" i="252" s="1"/>
  <c r="K128" i="258"/>
  <c r="I147" i="258" s="1"/>
  <c r="I150" i="258" s="1"/>
  <c r="I154" i="258" s="1"/>
  <c r="H158" i="258" s="1"/>
  <c r="K123" i="258"/>
  <c r="E126" i="250"/>
  <c r="E129" i="250" s="1"/>
  <c r="B171" i="250" s="1"/>
  <c r="Q123" i="262"/>
  <c r="Q124" i="262" s="1"/>
  <c r="Q128" i="267"/>
  <c r="O147" i="267" s="1"/>
  <c r="O150" i="267" s="1"/>
  <c r="O154" i="267" s="1"/>
  <c r="N158" i="267" s="1"/>
  <c r="Q123" i="267"/>
  <c r="Q124" i="267" s="1"/>
  <c r="E128" i="248"/>
  <c r="C147" i="248" s="1"/>
  <c r="C150" i="248" s="1"/>
  <c r="C154" i="248" s="1"/>
  <c r="B157" i="248" s="1"/>
  <c r="E123" i="248"/>
  <c r="E124" i="248" s="1"/>
  <c r="E123" i="252"/>
  <c r="E124" i="252" s="1"/>
  <c r="E128" i="264"/>
  <c r="C147" i="264" s="1"/>
  <c r="E123" i="264"/>
  <c r="E124" i="264" s="1"/>
  <c r="E123" i="254"/>
  <c r="E124" i="254" s="1"/>
  <c r="E125" i="260"/>
  <c r="E123" i="260"/>
  <c r="I150" i="237"/>
  <c r="I154" i="237" s="1"/>
  <c r="H157" i="237" s="1"/>
  <c r="B41" i="291"/>
  <c r="B41" i="286"/>
  <c r="B41" i="290"/>
  <c r="B41" i="265"/>
  <c r="B41" i="284"/>
  <c r="B41" i="279"/>
  <c r="B41" i="288"/>
  <c r="B41" i="274"/>
  <c r="B41" i="281"/>
  <c r="B21" i="237"/>
  <c r="C28" i="290" s="1"/>
  <c r="W28" i="290" s="1"/>
  <c r="B14" i="237"/>
  <c r="C21" i="290" s="1"/>
  <c r="J21" i="290" s="1"/>
  <c r="O150" i="237"/>
  <c r="O154" i="237" s="1"/>
  <c r="N157" i="237" s="1"/>
  <c r="B23" i="260"/>
  <c r="K125" i="250"/>
  <c r="B23" i="264"/>
  <c r="C30" i="265" s="1"/>
  <c r="B21" i="264"/>
  <c r="C28" i="265" s="1"/>
  <c r="B23" i="267"/>
  <c r="C30" i="281" s="1"/>
  <c r="W30" i="281" s="1"/>
  <c r="B14" i="260"/>
  <c r="C21" i="276" s="1"/>
  <c r="J21" i="276" s="1"/>
  <c r="I7" i="265"/>
  <c r="I34" i="265" s="1"/>
  <c r="R5" i="274"/>
  <c r="P6" i="288"/>
  <c r="Q5" i="288"/>
  <c r="N5" i="288"/>
  <c r="G5" i="288"/>
  <c r="M5" i="288"/>
  <c r="X5" i="290"/>
  <c r="P5" i="290"/>
  <c r="Q5" i="291"/>
  <c r="E6" i="291"/>
  <c r="E40" i="291" s="1"/>
  <c r="H6" i="291"/>
  <c r="H17" i="291" s="1"/>
  <c r="H21" i="291" s="1"/>
  <c r="Q6" i="291"/>
  <c r="Q40" i="291" s="1"/>
  <c r="S5" i="291"/>
  <c r="P6" i="291"/>
  <c r="P40" i="291" s="1"/>
  <c r="V5" i="274"/>
  <c r="H6" i="274"/>
  <c r="S5" i="290"/>
  <c r="R6" i="276"/>
  <c r="N5" i="274"/>
  <c r="U6" i="290"/>
  <c r="P6" i="274"/>
  <c r="G6" i="274"/>
  <c r="G41" i="274" s="1"/>
  <c r="X6" i="274"/>
  <c r="X12" i="274" s="1"/>
  <c r="S6" i="274"/>
  <c r="S12" i="274" s="1"/>
  <c r="L6" i="276"/>
  <c r="L12" i="276" s="1"/>
  <c r="R6" i="290"/>
  <c r="G6" i="290"/>
  <c r="G17" i="290" s="1"/>
  <c r="G21" i="290" s="1"/>
  <c r="Q6" i="274"/>
  <c r="B23" i="276"/>
  <c r="D23" i="276" s="1"/>
  <c r="S5" i="274"/>
  <c r="M6" i="274"/>
  <c r="M40" i="274" s="1"/>
  <c r="O5" i="290"/>
  <c r="U6" i="274"/>
  <c r="H5" i="290"/>
  <c r="F6" i="290"/>
  <c r="F40" i="290" s="1"/>
  <c r="W6" i="274"/>
  <c r="W17" i="274" s="1"/>
  <c r="W21" i="274" s="1"/>
  <c r="I5" i="274"/>
  <c r="I6" i="274"/>
  <c r="I12" i="274" s="1"/>
  <c r="R5" i="290"/>
  <c r="T6" i="274"/>
  <c r="Q5" i="274"/>
  <c r="K6" i="290"/>
  <c r="J5" i="290"/>
  <c r="H5" i="274"/>
  <c r="K6" i="274"/>
  <c r="K41" i="274" s="1"/>
  <c r="G5" i="274"/>
  <c r="V5" i="290"/>
  <c r="O6" i="274"/>
  <c r="O40" i="274" s="1"/>
  <c r="I5" i="276"/>
  <c r="E6" i="274"/>
  <c r="J5" i="274"/>
  <c r="Q5" i="290"/>
  <c r="W6" i="284"/>
  <c r="W41" i="284" s="1"/>
  <c r="N6" i="284"/>
  <c r="N41" i="284" s="1"/>
  <c r="F6" i="284"/>
  <c r="F8" i="284" s="1"/>
  <c r="B24" i="288"/>
  <c r="D24" i="288" s="1"/>
  <c r="P5" i="276"/>
  <c r="U5" i="284"/>
  <c r="M6" i="284"/>
  <c r="M17" i="284" s="1"/>
  <c r="M21" i="284" s="1"/>
  <c r="L6" i="284"/>
  <c r="L40" i="284" s="1"/>
  <c r="G6" i="284"/>
  <c r="G40" i="284" s="1"/>
  <c r="G5" i="284"/>
  <c r="T5" i="290"/>
  <c r="Q5" i="276"/>
  <c r="I6" i="281"/>
  <c r="O6" i="284"/>
  <c r="O17" i="284" s="1"/>
  <c r="O21" i="284" s="1"/>
  <c r="K6" i="276"/>
  <c r="K40" i="276" s="1"/>
  <c r="B24" i="276"/>
  <c r="D24" i="276" s="1"/>
  <c r="S6" i="281"/>
  <c r="S40" i="281" s="1"/>
  <c r="Q6" i="284"/>
  <c r="Q40" i="284" s="1"/>
  <c r="W5" i="284"/>
  <c r="N6" i="276"/>
  <c r="N17" i="276" s="1"/>
  <c r="N21" i="276" s="1"/>
  <c r="L6" i="288"/>
  <c r="P6" i="281"/>
  <c r="Q5" i="284"/>
  <c r="H5" i="281"/>
  <c r="H5" i="284"/>
  <c r="O5" i="284"/>
  <c r="X6" i="284"/>
  <c r="X12" i="284" s="1"/>
  <c r="N5" i="284"/>
  <c r="J5" i="284"/>
  <c r="P5" i="284"/>
  <c r="P6" i="284"/>
  <c r="P17" i="284" s="1"/>
  <c r="P21" i="284" s="1"/>
  <c r="T6" i="284"/>
  <c r="T40" i="284" s="1"/>
  <c r="S5" i="284"/>
  <c r="W6" i="276"/>
  <c r="L5" i="274"/>
  <c r="K6" i="284"/>
  <c r="M5" i="284"/>
  <c r="G5" i="290"/>
  <c r="R5" i="284"/>
  <c r="K10" i="276"/>
  <c r="K34" i="276"/>
  <c r="K22" i="276"/>
  <c r="K20" i="276"/>
  <c r="K26" i="276"/>
  <c r="L7" i="276"/>
  <c r="K17" i="279"/>
  <c r="K21" i="279" s="1"/>
  <c r="K12" i="279"/>
  <c r="K41" i="279"/>
  <c r="K40" i="279"/>
  <c r="M10" i="274"/>
  <c r="M34" i="274"/>
  <c r="M20" i="274"/>
  <c r="M22" i="274"/>
  <c r="M26" i="274"/>
  <c r="N7" i="274"/>
  <c r="M40" i="291"/>
  <c r="M17" i="291"/>
  <c r="M21" i="291" s="1"/>
  <c r="M41" i="291"/>
  <c r="M12" i="291"/>
  <c r="M26" i="290"/>
  <c r="M10" i="290"/>
  <c r="M34" i="290"/>
  <c r="M20" i="290"/>
  <c r="M22" i="290"/>
  <c r="N7" i="290"/>
  <c r="R41" i="274"/>
  <c r="R40" i="274"/>
  <c r="R17" i="274"/>
  <c r="R21" i="274" s="1"/>
  <c r="R12" i="274"/>
  <c r="M22" i="279"/>
  <c r="M10" i="279"/>
  <c r="M34" i="279"/>
  <c r="M26" i="279"/>
  <c r="M20" i="279"/>
  <c r="N7" i="279"/>
  <c r="K26" i="291"/>
  <c r="K10" i="291"/>
  <c r="K34" i="291"/>
  <c r="K22" i="291"/>
  <c r="K20" i="291"/>
  <c r="W20" i="286"/>
  <c r="W10" i="286"/>
  <c r="W34" i="286"/>
  <c r="W22" i="286"/>
  <c r="W26" i="286"/>
  <c r="E38" i="276"/>
  <c r="I30" i="276"/>
  <c r="O28" i="276"/>
  <c r="U28" i="276"/>
  <c r="I28" i="276"/>
  <c r="O30" i="276"/>
  <c r="U30" i="276"/>
  <c r="J30" i="276"/>
  <c r="P30" i="276"/>
  <c r="V28" i="276"/>
  <c r="J28" i="276"/>
  <c r="P28" i="276"/>
  <c r="V30" i="276"/>
  <c r="V5" i="276"/>
  <c r="V8" i="276" s="1"/>
  <c r="K28" i="276"/>
  <c r="Q28" i="276"/>
  <c r="X30" i="276"/>
  <c r="K30" i="276"/>
  <c r="Q30" i="276"/>
  <c r="F28" i="276"/>
  <c r="L30" i="276"/>
  <c r="R28" i="276"/>
  <c r="G6" i="276"/>
  <c r="F30" i="276"/>
  <c r="L28" i="276"/>
  <c r="R30" i="276"/>
  <c r="G28" i="276"/>
  <c r="M30" i="276"/>
  <c r="S28" i="276"/>
  <c r="H28" i="276"/>
  <c r="H30" i="276"/>
  <c r="M28" i="276"/>
  <c r="N28" i="276"/>
  <c r="N30" i="276"/>
  <c r="O5" i="276"/>
  <c r="P6" i="276"/>
  <c r="G5" i="276"/>
  <c r="G30" i="276"/>
  <c r="S30" i="276"/>
  <c r="T30" i="276"/>
  <c r="T28" i="276"/>
  <c r="M6" i="276"/>
  <c r="O6" i="276"/>
  <c r="S6" i="276"/>
  <c r="U5" i="279"/>
  <c r="I34" i="288"/>
  <c r="I10" i="288"/>
  <c r="H17" i="274"/>
  <c r="H21" i="274" s="1"/>
  <c r="H12" i="274"/>
  <c r="H40" i="274"/>
  <c r="H41" i="274"/>
  <c r="K6" i="288"/>
  <c r="K20" i="274"/>
  <c r="K10" i="274"/>
  <c r="K34" i="274"/>
  <c r="K22" i="274"/>
  <c r="K26" i="274"/>
  <c r="F34" i="279"/>
  <c r="F10" i="279"/>
  <c r="F11" i="279" s="1"/>
  <c r="U40" i="290"/>
  <c r="U17" i="290"/>
  <c r="U21" i="290" s="1"/>
  <c r="U41" i="290"/>
  <c r="U12" i="290"/>
  <c r="W6" i="281"/>
  <c r="E6" i="281"/>
  <c r="F34" i="281"/>
  <c r="F10" i="281"/>
  <c r="F11" i="281" s="1"/>
  <c r="G12" i="284"/>
  <c r="G41" i="284"/>
  <c r="G17" i="284"/>
  <c r="G21" i="284" s="1"/>
  <c r="G10" i="284"/>
  <c r="G34" i="284"/>
  <c r="O5" i="274"/>
  <c r="L26" i="274"/>
  <c r="L10" i="274"/>
  <c r="L34" i="274"/>
  <c r="L20" i="274"/>
  <c r="L22" i="274"/>
  <c r="E38" i="291"/>
  <c r="J28" i="291"/>
  <c r="P28" i="291"/>
  <c r="V30" i="291"/>
  <c r="I5" i="291"/>
  <c r="K28" i="291"/>
  <c r="Q28" i="291"/>
  <c r="W30" i="291"/>
  <c r="K30" i="291"/>
  <c r="Q30" i="291"/>
  <c r="F30" i="291"/>
  <c r="L30" i="291"/>
  <c r="R28" i="291"/>
  <c r="F28" i="291"/>
  <c r="L28" i="291"/>
  <c r="R30" i="291"/>
  <c r="X30" i="291"/>
  <c r="G30" i="291"/>
  <c r="M30" i="291"/>
  <c r="S28" i="291"/>
  <c r="G28" i="291"/>
  <c r="M28" i="291"/>
  <c r="S30" i="291"/>
  <c r="H30" i="291"/>
  <c r="N30" i="291"/>
  <c r="T28" i="291"/>
  <c r="H5" i="291"/>
  <c r="H28" i="291"/>
  <c r="N28" i="291"/>
  <c r="T30" i="291"/>
  <c r="O5" i="291"/>
  <c r="P30" i="291"/>
  <c r="U30" i="291"/>
  <c r="R5" i="291"/>
  <c r="U28" i="291"/>
  <c r="I6" i="291"/>
  <c r="O30" i="291"/>
  <c r="T6" i="291"/>
  <c r="V28" i="291"/>
  <c r="K6" i="291"/>
  <c r="N6" i="291"/>
  <c r="J30" i="291"/>
  <c r="O28" i="291"/>
  <c r="I30" i="291"/>
  <c r="X6" i="291"/>
  <c r="L5" i="291"/>
  <c r="I28" i="291"/>
  <c r="G5" i="291"/>
  <c r="E38" i="286"/>
  <c r="V38" i="286"/>
  <c r="W38" i="286"/>
  <c r="X38" i="286"/>
  <c r="I30" i="286"/>
  <c r="O30" i="286"/>
  <c r="U30" i="286"/>
  <c r="N6" i="286"/>
  <c r="I6" i="286"/>
  <c r="J5" i="286"/>
  <c r="I28" i="286"/>
  <c r="O28" i="286"/>
  <c r="R5" i="286"/>
  <c r="O6" i="286"/>
  <c r="M6" i="286"/>
  <c r="J30" i="286"/>
  <c r="P30" i="286"/>
  <c r="V28" i="286"/>
  <c r="X5" i="286"/>
  <c r="S5" i="286"/>
  <c r="R6" i="286"/>
  <c r="H5" i="286"/>
  <c r="N5" i="286"/>
  <c r="J28" i="286"/>
  <c r="P28" i="286"/>
  <c r="V30" i="286"/>
  <c r="K6" i="286"/>
  <c r="G5" i="286"/>
  <c r="K30" i="286"/>
  <c r="Q30" i="286"/>
  <c r="W30" i="286"/>
  <c r="T6" i="286"/>
  <c r="G6" i="286"/>
  <c r="U6" i="286"/>
  <c r="K28" i="286"/>
  <c r="Q28" i="286"/>
  <c r="W28" i="286"/>
  <c r="W6" i="286"/>
  <c r="X6" i="286"/>
  <c r="F30" i="286"/>
  <c r="L30" i="286"/>
  <c r="R30" i="286"/>
  <c r="X30" i="286"/>
  <c r="E6" i="286"/>
  <c r="P5" i="286"/>
  <c r="F28" i="286"/>
  <c r="L28" i="286"/>
  <c r="R28" i="286"/>
  <c r="X28" i="286"/>
  <c r="H6" i="286"/>
  <c r="M5" i="286"/>
  <c r="Q5" i="286"/>
  <c r="G28" i="286"/>
  <c r="M28" i="286"/>
  <c r="S28" i="286"/>
  <c r="O5" i="286"/>
  <c r="W5" i="286"/>
  <c r="G30" i="286"/>
  <c r="I5" i="286"/>
  <c r="H28" i="286"/>
  <c r="Q6" i="286"/>
  <c r="H30" i="286"/>
  <c r="U5" i="286"/>
  <c r="P6" i="286"/>
  <c r="L5" i="286"/>
  <c r="M30" i="286"/>
  <c r="F6" i="286"/>
  <c r="N30" i="286"/>
  <c r="N28" i="286"/>
  <c r="S30" i="286"/>
  <c r="V6" i="286"/>
  <c r="T30" i="286"/>
  <c r="V5" i="286"/>
  <c r="F34" i="291"/>
  <c r="F10" i="291"/>
  <c r="F11" i="291" s="1"/>
  <c r="X22" i="286"/>
  <c r="X34" i="286"/>
  <c r="X10" i="286"/>
  <c r="X20" i="286"/>
  <c r="X26" i="286"/>
  <c r="R6" i="291"/>
  <c r="W22" i="276"/>
  <c r="W10" i="276"/>
  <c r="W34" i="276"/>
  <c r="W26" i="276"/>
  <c r="W20" i="276"/>
  <c r="M5" i="279"/>
  <c r="J34" i="288"/>
  <c r="J10" i="288"/>
  <c r="R5" i="276"/>
  <c r="H5" i="276"/>
  <c r="T12" i="274"/>
  <c r="T40" i="274"/>
  <c r="T41" i="274"/>
  <c r="T17" i="274"/>
  <c r="T21" i="274" s="1"/>
  <c r="M12" i="274"/>
  <c r="H10" i="274"/>
  <c r="H34" i="274"/>
  <c r="P5" i="291"/>
  <c r="I34" i="279"/>
  <c r="I10" i="279"/>
  <c r="K22" i="290"/>
  <c r="K10" i="290"/>
  <c r="K34" i="290"/>
  <c r="K20" i="290"/>
  <c r="K26" i="290"/>
  <c r="E38" i="281"/>
  <c r="J28" i="281"/>
  <c r="P28" i="281"/>
  <c r="V30" i="281"/>
  <c r="K30" i="281"/>
  <c r="Q28" i="281"/>
  <c r="K28" i="281"/>
  <c r="Q30" i="281"/>
  <c r="F30" i="281"/>
  <c r="L28" i="281"/>
  <c r="R28" i="281"/>
  <c r="F28" i="281"/>
  <c r="L30" i="281"/>
  <c r="R30" i="281"/>
  <c r="X30" i="281"/>
  <c r="G30" i="281"/>
  <c r="M30" i="281"/>
  <c r="S28" i="281"/>
  <c r="G28" i="281"/>
  <c r="M28" i="281"/>
  <c r="S30" i="281"/>
  <c r="H28" i="281"/>
  <c r="N30" i="281"/>
  <c r="T28" i="281"/>
  <c r="H30" i="281"/>
  <c r="N28" i="281"/>
  <c r="T30" i="281"/>
  <c r="I28" i="281"/>
  <c r="H6" i="281"/>
  <c r="N6" i="281"/>
  <c r="I30" i="281"/>
  <c r="J30" i="281"/>
  <c r="O28" i="281"/>
  <c r="R5" i="281"/>
  <c r="O30" i="281"/>
  <c r="G6" i="281"/>
  <c r="L5" i="281"/>
  <c r="P30" i="281"/>
  <c r="U28" i="281"/>
  <c r="U30" i="281"/>
  <c r="V28" i="281"/>
  <c r="Q5" i="281"/>
  <c r="T6" i="281"/>
  <c r="M5" i="281"/>
  <c r="L6" i="281"/>
  <c r="K26" i="284"/>
  <c r="K10" i="284"/>
  <c r="K34" i="284"/>
  <c r="K22" i="284"/>
  <c r="K20" i="284"/>
  <c r="H34" i="288"/>
  <c r="H10" i="288"/>
  <c r="W22" i="291"/>
  <c r="W34" i="291"/>
  <c r="W10" i="291"/>
  <c r="W26" i="291"/>
  <c r="W20" i="291"/>
  <c r="I10" i="291"/>
  <c r="I34" i="291"/>
  <c r="U20" i="286"/>
  <c r="U10" i="286"/>
  <c r="U34" i="286"/>
  <c r="U22" i="286"/>
  <c r="U26" i="286"/>
  <c r="V22" i="286"/>
  <c r="V10" i="286"/>
  <c r="V34" i="286"/>
  <c r="V20" i="286"/>
  <c r="V26" i="286"/>
  <c r="N5" i="291"/>
  <c r="X22" i="276"/>
  <c r="X34" i="276"/>
  <c r="X10" i="276"/>
  <c r="X26" i="276"/>
  <c r="X20" i="276"/>
  <c r="P41" i="288"/>
  <c r="P12" i="288"/>
  <c r="P40" i="288"/>
  <c r="P17" i="288"/>
  <c r="P21" i="288" s="1"/>
  <c r="L17" i="288"/>
  <c r="L21" i="288" s="1"/>
  <c r="L41" i="288"/>
  <c r="L12" i="288"/>
  <c r="L40" i="288"/>
  <c r="U5" i="291"/>
  <c r="F6" i="291"/>
  <c r="M5" i="276"/>
  <c r="W22" i="274"/>
  <c r="W10" i="274"/>
  <c r="W34" i="274"/>
  <c r="W26" i="274"/>
  <c r="W20" i="274"/>
  <c r="B24" i="274"/>
  <c r="D24" i="274" s="1"/>
  <c r="U6" i="279"/>
  <c r="X26" i="279"/>
  <c r="X34" i="279"/>
  <c r="X10" i="279"/>
  <c r="X20" i="279"/>
  <c r="X22" i="279"/>
  <c r="X6" i="279"/>
  <c r="S6" i="291"/>
  <c r="Q6" i="281"/>
  <c r="T5" i="281"/>
  <c r="G10" i="281"/>
  <c r="G11" i="281" s="1"/>
  <c r="G34" i="281"/>
  <c r="B24" i="281"/>
  <c r="D24" i="281" s="1"/>
  <c r="H6" i="279"/>
  <c r="Q41" i="284"/>
  <c r="N40" i="284"/>
  <c r="N17" i="284"/>
  <c r="N21" i="284" s="1"/>
  <c r="U17" i="274"/>
  <c r="U21" i="274" s="1"/>
  <c r="U41" i="274"/>
  <c r="T8" i="274"/>
  <c r="U40" i="274"/>
  <c r="U12" i="274"/>
  <c r="W40" i="284"/>
  <c r="W17" i="284"/>
  <c r="W21" i="284" s="1"/>
  <c r="W12" i="284"/>
  <c r="G10" i="279"/>
  <c r="G11" i="279" s="1"/>
  <c r="G34" i="279"/>
  <c r="W6" i="291"/>
  <c r="B24" i="291"/>
  <c r="D24" i="291" s="1"/>
  <c r="Q41" i="274"/>
  <c r="Q40" i="274"/>
  <c r="Q12" i="274"/>
  <c r="Q17" i="274"/>
  <c r="Q21" i="274" s="1"/>
  <c r="B24" i="286"/>
  <c r="D24" i="286" s="1"/>
  <c r="F6" i="276"/>
  <c r="S5" i="276"/>
  <c r="E41" i="274"/>
  <c r="E12" i="274"/>
  <c r="E40" i="274"/>
  <c r="T20" i="288"/>
  <c r="T10" i="288"/>
  <c r="T34" i="288"/>
  <c r="T26" i="288"/>
  <c r="T22" i="288"/>
  <c r="V20" i="288"/>
  <c r="V34" i="288"/>
  <c r="V10" i="288"/>
  <c r="V22" i="288"/>
  <c r="V26" i="288"/>
  <c r="P5" i="279"/>
  <c r="N5" i="279"/>
  <c r="I10" i="274"/>
  <c r="I34" i="274"/>
  <c r="W5" i="279"/>
  <c r="G34" i="290"/>
  <c r="G10" i="290"/>
  <c r="U6" i="291"/>
  <c r="N5" i="281"/>
  <c r="X5" i="281"/>
  <c r="R6" i="281"/>
  <c r="X5" i="291"/>
  <c r="T26" i="284"/>
  <c r="T34" i="284"/>
  <c r="T10" i="284"/>
  <c r="T20" i="284"/>
  <c r="T22" i="284"/>
  <c r="P12" i="281"/>
  <c r="P41" i="281"/>
  <c r="P17" i="281"/>
  <c r="P21" i="281" s="1"/>
  <c r="P40" i="281"/>
  <c r="E41" i="291"/>
  <c r="E12" i="291"/>
  <c r="B24" i="279"/>
  <c r="D24" i="279" s="1"/>
  <c r="I10" i="286"/>
  <c r="I34" i="286"/>
  <c r="J10" i="286"/>
  <c r="J34" i="286"/>
  <c r="G34" i="276"/>
  <c r="G10" i="276"/>
  <c r="E6" i="276"/>
  <c r="G34" i="288"/>
  <c r="G10" i="288"/>
  <c r="M6" i="279"/>
  <c r="G6" i="291"/>
  <c r="X34" i="274"/>
  <c r="X10" i="274"/>
  <c r="X22" i="274"/>
  <c r="X20" i="274"/>
  <c r="X26" i="274"/>
  <c r="I41" i="274"/>
  <c r="F10" i="274"/>
  <c r="F11" i="274" s="1"/>
  <c r="F34" i="274"/>
  <c r="K22" i="279"/>
  <c r="K10" i="279"/>
  <c r="K34" i="279"/>
  <c r="K26" i="279"/>
  <c r="K20" i="279"/>
  <c r="W6" i="279"/>
  <c r="H10" i="290"/>
  <c r="H34" i="290"/>
  <c r="M6" i="281"/>
  <c r="X6" i="281"/>
  <c r="O6" i="281"/>
  <c r="V5" i="281"/>
  <c r="L6" i="286"/>
  <c r="B23" i="284"/>
  <c r="D23" i="284" s="1"/>
  <c r="K12" i="276"/>
  <c r="E38" i="279"/>
  <c r="H28" i="279"/>
  <c r="N30" i="279"/>
  <c r="U30" i="279"/>
  <c r="I5" i="279"/>
  <c r="S5" i="279"/>
  <c r="T6" i="279"/>
  <c r="H30" i="279"/>
  <c r="N28" i="279"/>
  <c r="V28" i="279"/>
  <c r="I28" i="279"/>
  <c r="O30" i="279"/>
  <c r="V30" i="279"/>
  <c r="I30" i="279"/>
  <c r="O28" i="279"/>
  <c r="W28" i="279"/>
  <c r="J30" i="279"/>
  <c r="P30" i="279"/>
  <c r="W30" i="279"/>
  <c r="J28" i="279"/>
  <c r="P28" i="279"/>
  <c r="X28" i="279"/>
  <c r="K28" i="279"/>
  <c r="Q28" i="279"/>
  <c r="X30" i="279"/>
  <c r="K30" i="279"/>
  <c r="Q30" i="279"/>
  <c r="F30" i="279"/>
  <c r="L28" i="279"/>
  <c r="R28" i="279"/>
  <c r="L30" i="279"/>
  <c r="L6" i="279"/>
  <c r="M30" i="279"/>
  <c r="M28" i="279"/>
  <c r="I6" i="279"/>
  <c r="G30" i="279"/>
  <c r="R30" i="279"/>
  <c r="X5" i="279"/>
  <c r="Q6" i="279"/>
  <c r="S30" i="279"/>
  <c r="G28" i="279"/>
  <c r="S28" i="279"/>
  <c r="O6" i="279"/>
  <c r="O5" i="279"/>
  <c r="F28" i="279"/>
  <c r="R5" i="279"/>
  <c r="E6" i="279"/>
  <c r="L5" i="279"/>
  <c r="G6" i="279"/>
  <c r="W22" i="290"/>
  <c r="W34" i="290"/>
  <c r="W10" i="290"/>
  <c r="W26" i="290"/>
  <c r="W20" i="290"/>
  <c r="J34" i="291"/>
  <c r="J10" i="291"/>
  <c r="F12" i="290"/>
  <c r="F17" i="290"/>
  <c r="G34" i="286"/>
  <c r="G10" i="286"/>
  <c r="F34" i="286"/>
  <c r="F10" i="286"/>
  <c r="F11" i="286" s="1"/>
  <c r="E38" i="288"/>
  <c r="V38" i="288"/>
  <c r="W38" i="288"/>
  <c r="X38" i="288"/>
  <c r="G28" i="288"/>
  <c r="M30" i="288"/>
  <c r="S28" i="288"/>
  <c r="X6" i="288"/>
  <c r="G30" i="288"/>
  <c r="M28" i="288"/>
  <c r="S30" i="288"/>
  <c r="S5" i="288"/>
  <c r="N6" i="288"/>
  <c r="H5" i="288"/>
  <c r="V6" i="288"/>
  <c r="H30" i="288"/>
  <c r="N30" i="288"/>
  <c r="T30" i="288"/>
  <c r="H28" i="288"/>
  <c r="N28" i="288"/>
  <c r="Q6" i="288"/>
  <c r="X5" i="288"/>
  <c r="I28" i="288"/>
  <c r="O30" i="288"/>
  <c r="E6" i="288"/>
  <c r="L5" i="288"/>
  <c r="I30" i="288"/>
  <c r="O28" i="288"/>
  <c r="U30" i="288"/>
  <c r="U6" i="288"/>
  <c r="J28" i="288"/>
  <c r="P28" i="288"/>
  <c r="V30" i="288"/>
  <c r="O5" i="288"/>
  <c r="J30" i="288"/>
  <c r="P30" i="288"/>
  <c r="V28" i="288"/>
  <c r="K28" i="288"/>
  <c r="Q30" i="288"/>
  <c r="W28" i="288"/>
  <c r="I6" i="288"/>
  <c r="H6" i="288"/>
  <c r="U5" i="288"/>
  <c r="F30" i="288"/>
  <c r="O6" i="288"/>
  <c r="F28" i="288"/>
  <c r="M6" i="288"/>
  <c r="T6" i="288"/>
  <c r="K30" i="288"/>
  <c r="J5" i="288"/>
  <c r="L28" i="288"/>
  <c r="L30" i="288"/>
  <c r="Q28" i="288"/>
  <c r="R5" i="288"/>
  <c r="W30" i="288"/>
  <c r="X28" i="288"/>
  <c r="R28" i="288"/>
  <c r="R30" i="288"/>
  <c r="X30" i="288"/>
  <c r="T5" i="276"/>
  <c r="I6" i="276"/>
  <c r="W6" i="288"/>
  <c r="G6" i="288"/>
  <c r="M5" i="291"/>
  <c r="B23" i="274"/>
  <c r="D23" i="274" s="1"/>
  <c r="W26" i="279"/>
  <c r="W34" i="279"/>
  <c r="W10" i="279"/>
  <c r="W22" i="279"/>
  <c r="W20" i="279"/>
  <c r="V6" i="279"/>
  <c r="E38" i="290"/>
  <c r="H30" i="290"/>
  <c r="N30" i="290"/>
  <c r="T30" i="290"/>
  <c r="S6" i="290"/>
  <c r="H28" i="290"/>
  <c r="N28" i="290"/>
  <c r="T28" i="290"/>
  <c r="I28" i="290"/>
  <c r="O30" i="290"/>
  <c r="U28" i="290"/>
  <c r="U5" i="290"/>
  <c r="U8" i="290" s="1"/>
  <c r="I30" i="290"/>
  <c r="O28" i="290"/>
  <c r="U30" i="290"/>
  <c r="J30" i="290"/>
  <c r="P28" i="290"/>
  <c r="V30" i="290"/>
  <c r="W6" i="290"/>
  <c r="L5" i="290"/>
  <c r="J28" i="290"/>
  <c r="P30" i="290"/>
  <c r="V28" i="290"/>
  <c r="Q6" i="290"/>
  <c r="P6" i="290"/>
  <c r="M6" i="290"/>
  <c r="K30" i="290"/>
  <c r="Q28" i="290"/>
  <c r="T6" i="290"/>
  <c r="K28" i="290"/>
  <c r="Q30" i="290"/>
  <c r="W30" i="290"/>
  <c r="H6" i="290"/>
  <c r="F28" i="290"/>
  <c r="L30" i="290"/>
  <c r="R30" i="290"/>
  <c r="F30" i="290"/>
  <c r="X6" i="290"/>
  <c r="G28" i="290"/>
  <c r="L6" i="290"/>
  <c r="G30" i="290"/>
  <c r="O6" i="290"/>
  <c r="X30" i="290"/>
  <c r="L28" i="290"/>
  <c r="I5" i="290"/>
  <c r="M30" i="290"/>
  <c r="N6" i="290"/>
  <c r="E6" i="290"/>
  <c r="M28" i="290"/>
  <c r="R28" i="290"/>
  <c r="S28" i="290"/>
  <c r="S30" i="290"/>
  <c r="F34" i="290"/>
  <c r="F10" i="290"/>
  <c r="F11" i="290" s="1"/>
  <c r="F6" i="279"/>
  <c r="O5" i="281"/>
  <c r="U5" i="281"/>
  <c r="K40" i="284"/>
  <c r="K12" i="284"/>
  <c r="K17" i="284"/>
  <c r="K21" i="284" s="1"/>
  <c r="J8" i="284"/>
  <c r="K41" i="284"/>
  <c r="L7" i="284"/>
  <c r="W26" i="284"/>
  <c r="W10" i="284"/>
  <c r="W34" i="284"/>
  <c r="W20" i="284"/>
  <c r="W22" i="284"/>
  <c r="K22" i="286"/>
  <c r="K10" i="286"/>
  <c r="K34" i="286"/>
  <c r="K20" i="286"/>
  <c r="K26" i="286"/>
  <c r="O17" i="274"/>
  <c r="O21" i="274" s="1"/>
  <c r="O12" i="274"/>
  <c r="J10" i="281"/>
  <c r="J34" i="281"/>
  <c r="H10" i="291"/>
  <c r="H34" i="291"/>
  <c r="Q6" i="276"/>
  <c r="Q8" i="276" s="1"/>
  <c r="T6" i="276"/>
  <c r="F10" i="288"/>
  <c r="F11" i="288" s="1"/>
  <c r="F34" i="288"/>
  <c r="X20" i="288"/>
  <c r="X10" i="288"/>
  <c r="X34" i="288"/>
  <c r="X22" i="288"/>
  <c r="X26" i="288"/>
  <c r="O6" i="291"/>
  <c r="P5" i="288"/>
  <c r="T26" i="279"/>
  <c r="T10" i="279"/>
  <c r="T34" i="279"/>
  <c r="T22" i="279"/>
  <c r="T20" i="279"/>
  <c r="H5" i="279"/>
  <c r="B23" i="279"/>
  <c r="D23" i="279" s="1"/>
  <c r="F6" i="288"/>
  <c r="B24" i="290"/>
  <c r="D24" i="290" s="1"/>
  <c r="S5" i="281"/>
  <c r="X22" i="281"/>
  <c r="X34" i="281"/>
  <c r="X10" i="281"/>
  <c r="X20" i="281"/>
  <c r="X26" i="281"/>
  <c r="L5" i="276"/>
  <c r="X20" i="284"/>
  <c r="X34" i="284"/>
  <c r="X10" i="284"/>
  <c r="X26" i="284"/>
  <c r="X22" i="284"/>
  <c r="I10" i="284"/>
  <c r="I34" i="284"/>
  <c r="F34" i="284"/>
  <c r="F10" i="284"/>
  <c r="F11" i="284" s="1"/>
  <c r="H34" i="276"/>
  <c r="H10" i="276"/>
  <c r="H12" i="291"/>
  <c r="H41" i="291"/>
  <c r="H40" i="291"/>
  <c r="L20" i="279"/>
  <c r="L10" i="279"/>
  <c r="L11" i="279" s="1"/>
  <c r="L34" i="279"/>
  <c r="L26" i="279"/>
  <c r="L22" i="279"/>
  <c r="I12" i="281"/>
  <c r="I40" i="281"/>
  <c r="I17" i="281"/>
  <c r="I21" i="281" s="1"/>
  <c r="I41" i="281"/>
  <c r="J10" i="276"/>
  <c r="J34" i="276"/>
  <c r="K41" i="290"/>
  <c r="K40" i="290"/>
  <c r="K17" i="290"/>
  <c r="K21" i="290" s="1"/>
  <c r="J8" i="290"/>
  <c r="K12" i="290"/>
  <c r="T5" i="291"/>
  <c r="L7" i="291"/>
  <c r="L7" i="286"/>
  <c r="H34" i="286"/>
  <c r="H10" i="286"/>
  <c r="R6" i="288"/>
  <c r="I34" i="276"/>
  <c r="I10" i="276"/>
  <c r="H6" i="276"/>
  <c r="W5" i="288"/>
  <c r="W22" i="288"/>
  <c r="W34" i="288"/>
  <c r="W10" i="288"/>
  <c r="W26" i="288"/>
  <c r="W20" i="288"/>
  <c r="B23" i="288"/>
  <c r="D23" i="288" s="1"/>
  <c r="L6" i="274"/>
  <c r="Q5" i="279"/>
  <c r="U6" i="276"/>
  <c r="I34" i="290"/>
  <c r="I10" i="290"/>
  <c r="I11" i="290" s="1"/>
  <c r="K6" i="281"/>
  <c r="H34" i="281"/>
  <c r="H10" i="281"/>
  <c r="H11" i="281" s="1"/>
  <c r="I10" i="281"/>
  <c r="I34" i="281"/>
  <c r="B23" i="281"/>
  <c r="D23" i="281" s="1"/>
  <c r="E38" i="284"/>
  <c r="J28" i="284"/>
  <c r="P30" i="284"/>
  <c r="V28" i="284"/>
  <c r="J30" i="284"/>
  <c r="P28" i="284"/>
  <c r="V30" i="284"/>
  <c r="K30" i="284"/>
  <c r="Q30" i="284"/>
  <c r="W30" i="284"/>
  <c r="K28" i="284"/>
  <c r="Q28" i="284"/>
  <c r="W28" i="284"/>
  <c r="F30" i="284"/>
  <c r="L28" i="284"/>
  <c r="R30" i="284"/>
  <c r="X30" i="284"/>
  <c r="F28" i="284"/>
  <c r="L30" i="284"/>
  <c r="R28" i="284"/>
  <c r="X28" i="284"/>
  <c r="G30" i="284"/>
  <c r="M28" i="284"/>
  <c r="S28" i="284"/>
  <c r="G28" i="284"/>
  <c r="M30" i="284"/>
  <c r="S30" i="284"/>
  <c r="H30" i="284"/>
  <c r="N30" i="284"/>
  <c r="T30" i="284"/>
  <c r="O30" i="284"/>
  <c r="N28" i="284"/>
  <c r="O28" i="284"/>
  <c r="U30" i="284"/>
  <c r="H6" i="284"/>
  <c r="I28" i="284"/>
  <c r="H28" i="284"/>
  <c r="I30" i="284"/>
  <c r="E6" i="284"/>
  <c r="I5" i="284"/>
  <c r="U6" i="284"/>
  <c r="V5" i="284"/>
  <c r="W40" i="276"/>
  <c r="W41" i="276"/>
  <c r="W12" i="276"/>
  <c r="W17" i="276"/>
  <c r="W21" i="276" s="1"/>
  <c r="V20" i="279"/>
  <c r="V34" i="279"/>
  <c r="V10" i="279"/>
  <c r="V22" i="279"/>
  <c r="V26" i="279"/>
  <c r="L20" i="290"/>
  <c r="L10" i="290"/>
  <c r="L34" i="290"/>
  <c r="L26" i="290"/>
  <c r="L22" i="290"/>
  <c r="R41" i="276"/>
  <c r="R12" i="276"/>
  <c r="R40" i="276"/>
  <c r="R17" i="276"/>
  <c r="R21" i="276" s="1"/>
  <c r="R41" i="290"/>
  <c r="R40" i="290"/>
  <c r="R12" i="290"/>
  <c r="R17" i="290"/>
  <c r="R21" i="290" s="1"/>
  <c r="J5" i="291"/>
  <c r="G34" i="291"/>
  <c r="G10" i="291"/>
  <c r="T20" i="286"/>
  <c r="T10" i="286"/>
  <c r="T34" i="286"/>
  <c r="T22" i="286"/>
  <c r="T26" i="286"/>
  <c r="B23" i="286"/>
  <c r="D23" i="286" s="1"/>
  <c r="N6" i="279"/>
  <c r="F10" i="276"/>
  <c r="F11" i="276" s="1"/>
  <c r="F34" i="276"/>
  <c r="N5" i="276"/>
  <c r="V5" i="288"/>
  <c r="G5" i="279"/>
  <c r="R6" i="279"/>
  <c r="J34" i="274"/>
  <c r="J10" i="274"/>
  <c r="J11" i="274" s="1"/>
  <c r="J13" i="274" s="1"/>
  <c r="I6" i="290"/>
  <c r="J10" i="279"/>
  <c r="J11" i="279" s="1"/>
  <c r="J13" i="279" s="1"/>
  <c r="J34" i="279"/>
  <c r="U34" i="279"/>
  <c r="U10" i="279"/>
  <c r="U11" i="279" s="1"/>
  <c r="U22" i="279"/>
  <c r="U20" i="279"/>
  <c r="U26" i="279"/>
  <c r="X5" i="276"/>
  <c r="X26" i="290"/>
  <c r="X10" i="290"/>
  <c r="X11" i="290" s="1"/>
  <c r="X34" i="290"/>
  <c r="X20" i="290"/>
  <c r="X22" i="290"/>
  <c r="J34" i="290"/>
  <c r="J10" i="290"/>
  <c r="J5" i="281"/>
  <c r="K7" i="281"/>
  <c r="U6" i="281"/>
  <c r="X5" i="284"/>
  <c r="H34" i="284"/>
  <c r="H10" i="284"/>
  <c r="H11" i="284" s="1"/>
  <c r="U10" i="284"/>
  <c r="U34" i="284"/>
  <c r="U20" i="284"/>
  <c r="U22" i="284"/>
  <c r="U26" i="284"/>
  <c r="V20" i="284"/>
  <c r="V34" i="284"/>
  <c r="V10" i="284"/>
  <c r="V22" i="284"/>
  <c r="V26" i="284"/>
  <c r="W22" i="281"/>
  <c r="W34" i="281"/>
  <c r="W10" i="281"/>
  <c r="W20" i="281"/>
  <c r="W26" i="281"/>
  <c r="B24" i="284"/>
  <c r="D24" i="284" s="1"/>
  <c r="K8" i="276"/>
  <c r="B23" i="290"/>
  <c r="D23" i="290" s="1"/>
  <c r="F8" i="290"/>
  <c r="G41" i="290"/>
  <c r="G40" i="290"/>
  <c r="L6" i="291"/>
  <c r="X22" i="291"/>
  <c r="X10" i="291"/>
  <c r="X34" i="291"/>
  <c r="X20" i="291"/>
  <c r="X26" i="291"/>
  <c r="B23" i="291"/>
  <c r="D23" i="291" s="1"/>
  <c r="J5" i="279"/>
  <c r="J8" i="279" s="1"/>
  <c r="J5" i="276"/>
  <c r="X6" i="276"/>
  <c r="V5" i="291"/>
  <c r="U20" i="288"/>
  <c r="U34" i="288"/>
  <c r="U10" i="288"/>
  <c r="U26" i="288"/>
  <c r="U22" i="288"/>
  <c r="K7" i="288"/>
  <c r="V5" i="279"/>
  <c r="E38" i="274"/>
  <c r="F28" i="274"/>
  <c r="L30" i="274"/>
  <c r="R28" i="274"/>
  <c r="G28" i="274"/>
  <c r="M30" i="274"/>
  <c r="S28" i="274"/>
  <c r="G30" i="274"/>
  <c r="M28" i="274"/>
  <c r="S30" i="274"/>
  <c r="H30" i="274"/>
  <c r="N28" i="274"/>
  <c r="T28" i="274"/>
  <c r="H28" i="274"/>
  <c r="N30" i="274"/>
  <c r="T30" i="274"/>
  <c r="I28" i="274"/>
  <c r="O28" i="274"/>
  <c r="U28" i="274"/>
  <c r="I30" i="274"/>
  <c r="O30" i="274"/>
  <c r="U30" i="274"/>
  <c r="J28" i="274"/>
  <c r="P28" i="274"/>
  <c r="V30" i="274"/>
  <c r="J30" i="274"/>
  <c r="P30" i="274"/>
  <c r="V28" i="274"/>
  <c r="K30" i="274"/>
  <c r="L28" i="274"/>
  <c r="Q30" i="274"/>
  <c r="Q28" i="274"/>
  <c r="R30" i="274"/>
  <c r="X30" i="274"/>
  <c r="X5" i="274"/>
  <c r="F6" i="274"/>
  <c r="U5" i="274"/>
  <c r="U8" i="274" s="1"/>
  <c r="F30" i="274"/>
  <c r="K28" i="274"/>
  <c r="M5" i="274"/>
  <c r="N6" i="274"/>
  <c r="P6" i="279"/>
  <c r="G10" i="274"/>
  <c r="G11" i="274" s="1"/>
  <c r="G34" i="274"/>
  <c r="P5" i="274"/>
  <c r="N5" i="290"/>
  <c r="H34" i="279"/>
  <c r="H10" i="279"/>
  <c r="H11" i="279" s="1"/>
  <c r="I5" i="281"/>
  <c r="I8" i="281" s="1"/>
  <c r="F6" i="281"/>
  <c r="R6" i="284"/>
  <c r="I6" i="284"/>
  <c r="V6" i="284"/>
  <c r="J34" i="284"/>
  <c r="J10" i="284"/>
  <c r="P5" i="281"/>
  <c r="C21" i="288"/>
  <c r="J21" i="288" s="1"/>
  <c r="G61" i="289"/>
  <c r="G60" i="287"/>
  <c r="G59" i="285"/>
  <c r="G60" i="283"/>
  <c r="G59" i="280"/>
  <c r="C30" i="279"/>
  <c r="T30" i="279" s="1"/>
  <c r="K125" i="258"/>
  <c r="K124" i="258"/>
  <c r="C30" i="274"/>
  <c r="W30" i="274" s="1"/>
  <c r="G59" i="278"/>
  <c r="B41" i="276"/>
  <c r="I6" i="265"/>
  <c r="I40" i="265" s="1"/>
  <c r="J5" i="265"/>
  <c r="F27" i="265"/>
  <c r="F29" i="265"/>
  <c r="J30" i="265"/>
  <c r="J28" i="265"/>
  <c r="J20" i="265"/>
  <c r="J23" i="265"/>
  <c r="J16" i="265"/>
  <c r="J24" i="265"/>
  <c r="J26" i="265"/>
  <c r="J22" i="265"/>
  <c r="I26" i="265"/>
  <c r="I24" i="265"/>
  <c r="I22" i="265"/>
  <c r="I23" i="265"/>
  <c r="I20" i="265"/>
  <c r="I16" i="265"/>
  <c r="I30" i="265"/>
  <c r="I28" i="265"/>
  <c r="K128" i="252"/>
  <c r="I147" i="252" s="1"/>
  <c r="I150" i="252" s="1"/>
  <c r="I154" i="252" s="1"/>
  <c r="H158" i="252" s="1"/>
  <c r="K125" i="252"/>
  <c r="G13" i="265"/>
  <c r="G59" i="273"/>
  <c r="G8" i="265"/>
  <c r="H40" i="265"/>
  <c r="H10" i="265"/>
  <c r="H11" i="265" s="1"/>
  <c r="I10" i="265"/>
  <c r="C150" i="264"/>
  <c r="C150" i="262"/>
  <c r="I150" i="262"/>
  <c r="I154" i="262" s="1"/>
  <c r="N158" i="258"/>
  <c r="N157" i="258"/>
  <c r="H158" i="267"/>
  <c r="H157" i="267"/>
  <c r="O150" i="254"/>
  <c r="O154" i="254" s="1"/>
  <c r="K128" i="250"/>
  <c r="I147" i="250" s="1"/>
  <c r="C150" i="237"/>
  <c r="J153" i="248"/>
  <c r="J152" i="248"/>
  <c r="O150" i="264"/>
  <c r="O154" i="264" s="1"/>
  <c r="I150" i="264"/>
  <c r="I154" i="264" s="1"/>
  <c r="E128" i="260"/>
  <c r="C147" i="260" s="1"/>
  <c r="C150" i="250"/>
  <c r="K128" i="254"/>
  <c r="I147" i="254" s="1"/>
  <c r="K124" i="254"/>
  <c r="K126" i="254" s="1"/>
  <c r="Q124" i="260"/>
  <c r="Q126" i="260" s="1"/>
  <c r="Q128" i="260"/>
  <c r="O147" i="260" s="1"/>
  <c r="O150" i="260" s="1"/>
  <c r="O154" i="260" s="1"/>
  <c r="E124" i="260"/>
  <c r="E126" i="260" s="1"/>
  <c r="E128" i="258"/>
  <c r="C147" i="258" s="1"/>
  <c r="B21" i="258" s="1"/>
  <c r="Q128" i="262"/>
  <c r="O147" i="262" s="1"/>
  <c r="O150" i="262" s="1"/>
  <c r="O154" i="262" s="1"/>
  <c r="Q128" i="250"/>
  <c r="Q125" i="262"/>
  <c r="E125" i="252"/>
  <c r="K126" i="262"/>
  <c r="K129" i="262" s="1"/>
  <c r="H171" i="262" s="1"/>
  <c r="H172" i="262" s="1"/>
  <c r="H173" i="262" s="1"/>
  <c r="H177" i="262" s="1"/>
  <c r="E125" i="248"/>
  <c r="E128" i="252"/>
  <c r="C147" i="252" s="1"/>
  <c r="Q125" i="252"/>
  <c r="Q124" i="252"/>
  <c r="Q128" i="252"/>
  <c r="O147" i="252" s="1"/>
  <c r="E124" i="258"/>
  <c r="Q126" i="264"/>
  <c r="Q129" i="264" s="1"/>
  <c r="N171" i="264" s="1"/>
  <c r="N172" i="264" s="1"/>
  <c r="N173" i="264" s="1"/>
  <c r="N177" i="264" s="1"/>
  <c r="E126" i="262"/>
  <c r="E129" i="262" s="1"/>
  <c r="K128" i="260"/>
  <c r="I147" i="260" s="1"/>
  <c r="I150" i="260" s="1"/>
  <c r="I154" i="260" s="1"/>
  <c r="K126" i="264"/>
  <c r="K129" i="264" s="1"/>
  <c r="H171" i="264" s="1"/>
  <c r="H172" i="264" s="1"/>
  <c r="H173" i="264" s="1"/>
  <c r="E125" i="264"/>
  <c r="K125" i="260"/>
  <c r="E128" i="254"/>
  <c r="C147" i="254" s="1"/>
  <c r="Q128" i="248"/>
  <c r="O147" i="248" s="1"/>
  <c r="O150" i="248" s="1"/>
  <c r="O154" i="248" s="1"/>
  <c r="Q125" i="267"/>
  <c r="E125" i="254"/>
  <c r="E128" i="267"/>
  <c r="C147" i="267" s="1"/>
  <c r="E124" i="267"/>
  <c r="E126" i="267" s="1"/>
  <c r="Q126" i="258"/>
  <c r="Q129" i="258" s="1"/>
  <c r="K126" i="267"/>
  <c r="K129" i="267" s="1"/>
  <c r="H171" i="267" s="1"/>
  <c r="H172" i="267" s="1"/>
  <c r="H173" i="267" s="1"/>
  <c r="H12" i="265"/>
  <c r="H41" i="265"/>
  <c r="Q129" i="254"/>
  <c r="K129" i="237"/>
  <c r="H171" i="237" s="1"/>
  <c r="H172" i="237" s="1"/>
  <c r="H173" i="237" s="1"/>
  <c r="K126" i="248"/>
  <c r="K129" i="248" s="1"/>
  <c r="E129" i="237"/>
  <c r="Q126" i="237"/>
  <c r="Q129" i="237" s="1"/>
  <c r="K5" i="265"/>
  <c r="J6" i="265"/>
  <c r="K9" i="265"/>
  <c r="J7" i="265"/>
  <c r="J34" i="265" s="1"/>
  <c r="Q126" i="250" l="1"/>
  <c r="B158" i="248"/>
  <c r="E126" i="258"/>
  <c r="Q126" i="248"/>
  <c r="H158" i="237"/>
  <c r="K126" i="260"/>
  <c r="K129" i="260" s="1"/>
  <c r="H171" i="260" s="1"/>
  <c r="H172" i="260" s="1"/>
  <c r="H173" i="260" s="1"/>
  <c r="H177" i="260" s="1"/>
  <c r="E126" i="252"/>
  <c r="E129" i="252" s="1"/>
  <c r="B171" i="252" s="1"/>
  <c r="N157" i="267"/>
  <c r="P152" i="267" s="1"/>
  <c r="K126" i="250"/>
  <c r="K129" i="250" s="1"/>
  <c r="H167" i="250" s="1"/>
  <c r="H174" i="250" s="1"/>
  <c r="Q126" i="262"/>
  <c r="Q129" i="262" s="1"/>
  <c r="D5" i="262" s="1"/>
  <c r="B21" i="267"/>
  <c r="C28" i="281" s="1"/>
  <c r="X28" i="281" s="1"/>
  <c r="E126" i="254"/>
  <c r="E129" i="254" s="1"/>
  <c r="K126" i="252"/>
  <c r="K129" i="252" s="1"/>
  <c r="H167" i="252" s="1"/>
  <c r="H174" i="252" s="1"/>
  <c r="X28" i="290"/>
  <c r="B28" i="290" s="1"/>
  <c r="D28" i="290" s="1"/>
  <c r="N158" i="237"/>
  <c r="K126" i="258"/>
  <c r="K129" i="258" s="1"/>
  <c r="H167" i="258" s="1"/>
  <c r="H174" i="258" s="1"/>
  <c r="B21" i="254"/>
  <c r="C28" i="284" s="1"/>
  <c r="T28" i="284" s="1"/>
  <c r="H157" i="258"/>
  <c r="J153" i="258" s="1"/>
  <c r="D5" i="237"/>
  <c r="K129" i="254"/>
  <c r="H171" i="254" s="1"/>
  <c r="H172" i="254" s="1"/>
  <c r="H173" i="254" s="1"/>
  <c r="B21" i="252"/>
  <c r="C28" i="286" s="1"/>
  <c r="B21" i="262"/>
  <c r="B21" i="260"/>
  <c r="H8" i="265"/>
  <c r="H29" i="265" s="1"/>
  <c r="I41" i="265"/>
  <c r="S40" i="274"/>
  <c r="S17" i="274"/>
  <c r="S21" i="274" s="1"/>
  <c r="L11" i="274"/>
  <c r="O8" i="274"/>
  <c r="R8" i="274"/>
  <c r="I8" i="274"/>
  <c r="I29" i="274" s="1"/>
  <c r="M41" i="274"/>
  <c r="W40" i="274"/>
  <c r="I17" i="274"/>
  <c r="I21" i="274" s="1"/>
  <c r="X41" i="274"/>
  <c r="M17" i="274"/>
  <c r="M21" i="274" s="1"/>
  <c r="W12" i="274"/>
  <c r="H8" i="274"/>
  <c r="O41" i="274"/>
  <c r="V8" i="274"/>
  <c r="I40" i="274"/>
  <c r="W8" i="274"/>
  <c r="S8" i="274"/>
  <c r="Q8" i="274"/>
  <c r="Q27" i="274" s="1"/>
  <c r="S41" i="274"/>
  <c r="L8" i="274"/>
  <c r="L27" i="274" s="1"/>
  <c r="W41" i="274"/>
  <c r="X17" i="274"/>
  <c r="X21" i="274" s="1"/>
  <c r="X8" i="274"/>
  <c r="X29" i="274" s="1"/>
  <c r="L40" i="276"/>
  <c r="K17" i="276"/>
  <c r="K21" i="276" s="1"/>
  <c r="M8" i="276"/>
  <c r="K41" i="276"/>
  <c r="X11" i="276"/>
  <c r="N41" i="276"/>
  <c r="J8" i="276"/>
  <c r="J27" i="276" s="1"/>
  <c r="N12" i="276"/>
  <c r="L41" i="276"/>
  <c r="N40" i="276"/>
  <c r="L17" i="276"/>
  <c r="L21" i="276" s="1"/>
  <c r="S17" i="281"/>
  <c r="S21" i="281" s="1"/>
  <c r="R8" i="281"/>
  <c r="R29" i="281" s="1"/>
  <c r="S12" i="281"/>
  <c r="S41" i="281"/>
  <c r="M40" i="284"/>
  <c r="P41" i="284"/>
  <c r="F41" i="284"/>
  <c r="U11" i="284"/>
  <c r="M12" i="284"/>
  <c r="N12" i="284"/>
  <c r="P40" i="284"/>
  <c r="F12" i="284"/>
  <c r="Q12" i="284"/>
  <c r="P12" i="284"/>
  <c r="F17" i="284"/>
  <c r="F21" i="284" s="1"/>
  <c r="N8" i="284"/>
  <c r="N27" i="284" s="1"/>
  <c r="L8" i="284"/>
  <c r="L29" i="284" s="1"/>
  <c r="P8" i="284"/>
  <c r="O8" i="284"/>
  <c r="X8" i="284"/>
  <c r="O40" i="284"/>
  <c r="L12" i="284"/>
  <c r="O41" i="284"/>
  <c r="L41" i="284"/>
  <c r="Q17" i="284"/>
  <c r="Q21" i="284" s="1"/>
  <c r="T17" i="284"/>
  <c r="T21" i="284" s="1"/>
  <c r="M41" i="284"/>
  <c r="L17" i="284"/>
  <c r="L21" i="284" s="1"/>
  <c r="O12" i="284"/>
  <c r="K8" i="284"/>
  <c r="T41" i="284"/>
  <c r="M8" i="284"/>
  <c r="T12" i="284"/>
  <c r="S8" i="284"/>
  <c r="T8" i="290"/>
  <c r="T27" i="290" s="1"/>
  <c r="F41" i="290"/>
  <c r="J11" i="290"/>
  <c r="J13" i="290" s="1"/>
  <c r="J19" i="290" s="1"/>
  <c r="G12" i="290"/>
  <c r="Q8" i="290"/>
  <c r="C154" i="264"/>
  <c r="B158" i="264" s="1"/>
  <c r="B24" i="264"/>
  <c r="B28" i="264" s="1"/>
  <c r="B24" i="262"/>
  <c r="U11" i="288"/>
  <c r="W11" i="288"/>
  <c r="J11" i="288"/>
  <c r="J13" i="288" s="1"/>
  <c r="J32" i="288" s="1"/>
  <c r="B24" i="237"/>
  <c r="B28" i="237" s="1"/>
  <c r="P17" i="291"/>
  <c r="P21" i="291" s="1"/>
  <c r="P12" i="291"/>
  <c r="P41" i="291"/>
  <c r="P8" i="291"/>
  <c r="G8" i="291"/>
  <c r="G27" i="291" s="1"/>
  <c r="Q17" i="291"/>
  <c r="Q21" i="291" s="1"/>
  <c r="Q41" i="291"/>
  <c r="Q12" i="291"/>
  <c r="X11" i="291"/>
  <c r="H11" i="276"/>
  <c r="H13" i="276" s="1"/>
  <c r="K17" i="274"/>
  <c r="K21" i="274" s="1"/>
  <c r="J8" i="274"/>
  <c r="P41" i="274"/>
  <c r="K40" i="274"/>
  <c r="P40" i="274"/>
  <c r="K12" i="274"/>
  <c r="F8" i="274"/>
  <c r="F29" i="274" s="1"/>
  <c r="P17" i="274"/>
  <c r="P21" i="274" s="1"/>
  <c r="P12" i="274"/>
  <c r="P8" i="274"/>
  <c r="P27" i="274" s="1"/>
  <c r="X41" i="276"/>
  <c r="J11" i="291"/>
  <c r="J13" i="291" s="1"/>
  <c r="J14" i="291" s="1"/>
  <c r="G8" i="274"/>
  <c r="X41" i="284"/>
  <c r="F40" i="284"/>
  <c r="W8" i="284"/>
  <c r="H11" i="286"/>
  <c r="X17" i="284"/>
  <c r="X21" i="284" s="1"/>
  <c r="J11" i="284"/>
  <c r="J13" i="284" s="1"/>
  <c r="J31" i="284" s="1"/>
  <c r="G40" i="274"/>
  <c r="K11" i="286"/>
  <c r="G12" i="274"/>
  <c r="G13" i="274" s="1"/>
  <c r="V8" i="284"/>
  <c r="V27" i="284" s="1"/>
  <c r="G17" i="274"/>
  <c r="G21" i="274" s="1"/>
  <c r="I12" i="265"/>
  <c r="H11" i="290"/>
  <c r="X11" i="286"/>
  <c r="X11" i="288"/>
  <c r="I11" i="281"/>
  <c r="I13" i="281" s="1"/>
  <c r="I18" i="281" s="1"/>
  <c r="K11" i="291"/>
  <c r="H11" i="274"/>
  <c r="H13" i="274" s="1"/>
  <c r="H25" i="274" s="1"/>
  <c r="O8" i="281"/>
  <c r="O29" i="281" s="1"/>
  <c r="G11" i="276"/>
  <c r="M11" i="274"/>
  <c r="M13" i="274" s="1"/>
  <c r="M25" i="274" s="1"/>
  <c r="F13" i="290"/>
  <c r="F25" i="290" s="1"/>
  <c r="M11" i="290"/>
  <c r="M13" i="290" s="1"/>
  <c r="V11" i="286"/>
  <c r="J27" i="279"/>
  <c r="J29" i="279"/>
  <c r="O27" i="281"/>
  <c r="L29" i="274"/>
  <c r="I29" i="281"/>
  <c r="I27" i="281"/>
  <c r="P29" i="291"/>
  <c r="P27" i="291"/>
  <c r="F27" i="274"/>
  <c r="J31" i="290"/>
  <c r="J32" i="290"/>
  <c r="J18" i="290"/>
  <c r="R29" i="274"/>
  <c r="R27" i="274"/>
  <c r="K17" i="288"/>
  <c r="K21" i="288" s="1"/>
  <c r="J8" i="288"/>
  <c r="K41" i="288"/>
  <c r="K12" i="288"/>
  <c r="K40" i="288"/>
  <c r="N20" i="279"/>
  <c r="N10" i="279"/>
  <c r="N11" i="279" s="1"/>
  <c r="N34" i="279"/>
  <c r="N22" i="279"/>
  <c r="N26" i="279"/>
  <c r="O7" i="279"/>
  <c r="R27" i="281"/>
  <c r="P27" i="284"/>
  <c r="P29" i="284"/>
  <c r="I11" i="276"/>
  <c r="H12" i="276"/>
  <c r="H17" i="276"/>
  <c r="H21" i="276" s="1"/>
  <c r="H41" i="276"/>
  <c r="G8" i="276"/>
  <c r="H40" i="276"/>
  <c r="N17" i="281"/>
  <c r="N21" i="281" s="1"/>
  <c r="M8" i="281"/>
  <c r="N40" i="281"/>
  <c r="N41" i="281"/>
  <c r="N12" i="281"/>
  <c r="F13" i="284"/>
  <c r="I40" i="279"/>
  <c r="I17" i="279"/>
  <c r="I21" i="279" s="1"/>
  <c r="H8" i="279"/>
  <c r="I41" i="279"/>
  <c r="I12" i="279"/>
  <c r="I8" i="279"/>
  <c r="H12" i="281"/>
  <c r="G8" i="281"/>
  <c r="H41" i="281"/>
  <c r="H17" i="281"/>
  <c r="H21" i="281" s="1"/>
  <c r="H40" i="281"/>
  <c r="P12" i="279"/>
  <c r="P17" i="279"/>
  <c r="P21" i="279" s="1"/>
  <c r="P41" i="279"/>
  <c r="P40" i="279"/>
  <c r="O8" i="279"/>
  <c r="J15" i="279"/>
  <c r="J31" i="279"/>
  <c r="J19" i="279"/>
  <c r="J14" i="279"/>
  <c r="J25" i="279"/>
  <c r="J32" i="279"/>
  <c r="J18" i="279"/>
  <c r="U12" i="284"/>
  <c r="U13" i="284" s="1"/>
  <c r="T8" i="284"/>
  <c r="U17" i="284"/>
  <c r="U21" i="284" s="1"/>
  <c r="U41" i="284"/>
  <c r="O29" i="274"/>
  <c r="O27" i="274"/>
  <c r="E40" i="290"/>
  <c r="E12" i="290"/>
  <c r="E13" i="290" s="1"/>
  <c r="E41" i="290"/>
  <c r="M40" i="290"/>
  <c r="M17" i="290"/>
  <c r="M21" i="290" s="1"/>
  <c r="L8" i="290"/>
  <c r="M41" i="290"/>
  <c r="M12" i="290"/>
  <c r="I12" i="276"/>
  <c r="I41" i="276"/>
  <c r="H8" i="276"/>
  <c r="I17" i="276"/>
  <c r="I21" i="276" s="1"/>
  <c r="I40" i="276"/>
  <c r="I8" i="276"/>
  <c r="E40" i="288"/>
  <c r="E41" i="288"/>
  <c r="E12" i="288"/>
  <c r="E13" i="288" s="1"/>
  <c r="V17" i="288"/>
  <c r="V21" i="288" s="1"/>
  <c r="U8" i="288"/>
  <c r="V41" i="288"/>
  <c r="V12" i="288"/>
  <c r="V40" i="288"/>
  <c r="J32" i="291"/>
  <c r="J18" i="291"/>
  <c r="X12" i="281"/>
  <c r="X17" i="281"/>
  <c r="X21" i="281" s="1"/>
  <c r="W8" i="281"/>
  <c r="X8" i="281"/>
  <c r="X41" i="281"/>
  <c r="U40" i="291"/>
  <c r="U12" i="291"/>
  <c r="U17" i="291"/>
  <c r="U21" i="291" s="1"/>
  <c r="U41" i="291"/>
  <c r="T8" i="291"/>
  <c r="U8" i="291"/>
  <c r="F41" i="291"/>
  <c r="F40" i="291"/>
  <c r="F12" i="291"/>
  <c r="F13" i="291" s="1"/>
  <c r="F17" i="291"/>
  <c r="J14" i="288"/>
  <c r="J31" i="288"/>
  <c r="J15" i="288"/>
  <c r="X41" i="286"/>
  <c r="X12" i="286"/>
  <c r="W8" i="286"/>
  <c r="X8" i="286"/>
  <c r="X17" i="286"/>
  <c r="X21" i="286" s="1"/>
  <c r="X40" i="286"/>
  <c r="K12" i="286"/>
  <c r="J8" i="286"/>
  <c r="K41" i="286"/>
  <c r="K40" i="286"/>
  <c r="K17" i="286"/>
  <c r="K21" i="286" s="1"/>
  <c r="M17" i="286"/>
  <c r="M21" i="286" s="1"/>
  <c r="M40" i="286"/>
  <c r="L8" i="286"/>
  <c r="M41" i="286"/>
  <c r="M12" i="286"/>
  <c r="N12" i="291"/>
  <c r="N40" i="291"/>
  <c r="N41" i="291"/>
  <c r="N17" i="291"/>
  <c r="N21" i="291" s="1"/>
  <c r="M8" i="291"/>
  <c r="B30" i="291"/>
  <c r="D30" i="291" s="1"/>
  <c r="H29" i="274"/>
  <c r="H27" i="274"/>
  <c r="I15" i="281"/>
  <c r="I31" i="281"/>
  <c r="I14" i="281"/>
  <c r="I25" i="281"/>
  <c r="I19" i="281"/>
  <c r="I32" i="281"/>
  <c r="K11" i="290"/>
  <c r="K13" i="290" s="1"/>
  <c r="M8" i="274"/>
  <c r="N17" i="274"/>
  <c r="N21" i="274" s="1"/>
  <c r="N40" i="274"/>
  <c r="N12" i="274"/>
  <c r="N41" i="274"/>
  <c r="L12" i="291"/>
  <c r="K8" i="291"/>
  <c r="L41" i="291"/>
  <c r="L17" i="291"/>
  <c r="L21" i="291" s="1"/>
  <c r="L40" i="291"/>
  <c r="K27" i="276"/>
  <c r="K29" i="276"/>
  <c r="I40" i="290"/>
  <c r="I17" i="290"/>
  <c r="I21" i="290" s="1"/>
  <c r="I12" i="290"/>
  <c r="I13" i="290" s="1"/>
  <c r="H8" i="290"/>
  <c r="I41" i="290"/>
  <c r="I8" i="290"/>
  <c r="J8" i="281"/>
  <c r="K40" i="281"/>
  <c r="K17" i="281"/>
  <c r="K21" i="281" s="1"/>
  <c r="K12" i="281"/>
  <c r="K41" i="281"/>
  <c r="R40" i="288"/>
  <c r="R41" i="288"/>
  <c r="R17" i="288"/>
  <c r="R21" i="288" s="1"/>
  <c r="R12" i="288"/>
  <c r="Q8" i="288"/>
  <c r="R8" i="288"/>
  <c r="F17" i="288"/>
  <c r="F12" i="288"/>
  <c r="F13" i="288" s="1"/>
  <c r="F41" i="288"/>
  <c r="F40" i="288"/>
  <c r="J29" i="274"/>
  <c r="J27" i="274"/>
  <c r="J11" i="281"/>
  <c r="J13" i="281" s="1"/>
  <c r="N40" i="290"/>
  <c r="N12" i="290"/>
  <c r="N17" i="290"/>
  <c r="N21" i="290" s="1"/>
  <c r="M8" i="290"/>
  <c r="N41" i="290"/>
  <c r="P41" i="290"/>
  <c r="O8" i="290"/>
  <c r="P12" i="290"/>
  <c r="P40" i="290"/>
  <c r="P17" i="290"/>
  <c r="P21" i="290" s="1"/>
  <c r="T40" i="288"/>
  <c r="T17" i="288"/>
  <c r="T21" i="288" s="1"/>
  <c r="S8" i="288"/>
  <c r="T41" i="288"/>
  <c r="T12" i="288"/>
  <c r="M17" i="281"/>
  <c r="M21" i="281" s="1"/>
  <c r="M41" i="281"/>
  <c r="M12" i="281"/>
  <c r="M40" i="281"/>
  <c r="L8" i="281"/>
  <c r="G11" i="290"/>
  <c r="G13" i="290" s="1"/>
  <c r="V11" i="288"/>
  <c r="F40" i="276"/>
  <c r="F17" i="276"/>
  <c r="F12" i="276"/>
  <c r="F13" i="276" s="1"/>
  <c r="F41" i="276"/>
  <c r="X11" i="279"/>
  <c r="H11" i="288"/>
  <c r="B30" i="281"/>
  <c r="D30" i="281" s="1"/>
  <c r="H41" i="286"/>
  <c r="H12" i="286"/>
  <c r="H17" i="286"/>
  <c r="H21" i="286" s="1"/>
  <c r="G8" i="286"/>
  <c r="H40" i="286"/>
  <c r="V8" i="286"/>
  <c r="W17" i="286"/>
  <c r="W21" i="286" s="1"/>
  <c r="W40" i="286"/>
  <c r="W41" i="286"/>
  <c r="W12" i="286"/>
  <c r="O41" i="286"/>
  <c r="O17" i="286"/>
  <c r="O21" i="286" s="1"/>
  <c r="O12" i="286"/>
  <c r="N8" i="286"/>
  <c r="O40" i="286"/>
  <c r="K41" i="291"/>
  <c r="K12" i="291"/>
  <c r="K17" i="291"/>
  <c r="K21" i="291" s="1"/>
  <c r="J8" i="291"/>
  <c r="K40" i="291"/>
  <c r="M11" i="279"/>
  <c r="L8" i="291"/>
  <c r="S17" i="290"/>
  <c r="S21" i="290" s="1"/>
  <c r="R8" i="290"/>
  <c r="S41" i="290"/>
  <c r="S12" i="290"/>
  <c r="S40" i="290"/>
  <c r="S40" i="291"/>
  <c r="S17" i="291"/>
  <c r="S21" i="291" s="1"/>
  <c r="S41" i="291"/>
  <c r="R8" i="291"/>
  <c r="S12" i="291"/>
  <c r="H15" i="274"/>
  <c r="H19" i="274"/>
  <c r="H32" i="274"/>
  <c r="G41" i="288"/>
  <c r="F8" i="288"/>
  <c r="G12" i="288"/>
  <c r="G40" i="288"/>
  <c r="G17" i="288"/>
  <c r="G21" i="288" s="1"/>
  <c r="L11" i="290"/>
  <c r="W40" i="279"/>
  <c r="V8" i="279"/>
  <c r="W41" i="279"/>
  <c r="W17" i="279"/>
  <c r="W21" i="279" s="1"/>
  <c r="W12" i="279"/>
  <c r="P41" i="286"/>
  <c r="P12" i="286"/>
  <c r="O8" i="286"/>
  <c r="P40" i="286"/>
  <c r="P17" i="286"/>
  <c r="P21" i="286" s="1"/>
  <c r="J14" i="274"/>
  <c r="J15" i="274"/>
  <c r="J31" i="274"/>
  <c r="J19" i="274"/>
  <c r="J25" i="274"/>
  <c r="J32" i="274"/>
  <c r="J18" i="274"/>
  <c r="E40" i="284"/>
  <c r="E12" i="284"/>
  <c r="E13" i="284" s="1"/>
  <c r="E41" i="284"/>
  <c r="B30" i="284"/>
  <c r="D30" i="284" s="1"/>
  <c r="I11" i="284"/>
  <c r="T17" i="276"/>
  <c r="T21" i="276" s="1"/>
  <c r="T40" i="276"/>
  <c r="S8" i="276"/>
  <c r="T41" i="276"/>
  <c r="T12" i="276"/>
  <c r="Q17" i="290"/>
  <c r="Q21" i="290" s="1"/>
  <c r="Q12" i="290"/>
  <c r="Q41" i="290"/>
  <c r="P8" i="290"/>
  <c r="Q40" i="290"/>
  <c r="V40" i="279"/>
  <c r="V17" i="279"/>
  <c r="V21" i="279" s="1"/>
  <c r="V41" i="279"/>
  <c r="U8" i="279"/>
  <c r="V12" i="279"/>
  <c r="B30" i="288"/>
  <c r="D30" i="288" s="1"/>
  <c r="M40" i="288"/>
  <c r="M41" i="288"/>
  <c r="M12" i="288"/>
  <c r="M17" i="288"/>
  <c r="M21" i="288" s="1"/>
  <c r="L8" i="288"/>
  <c r="M8" i="288"/>
  <c r="N41" i="288"/>
  <c r="N12" i="288"/>
  <c r="N17" i="288"/>
  <c r="N21" i="288" s="1"/>
  <c r="N40" i="288"/>
  <c r="L40" i="279"/>
  <c r="L12" i="279"/>
  <c r="L13" i="279" s="1"/>
  <c r="L17" i="279"/>
  <c r="L21" i="279" s="1"/>
  <c r="L41" i="279"/>
  <c r="K8" i="279"/>
  <c r="K27" i="284"/>
  <c r="K29" i="284"/>
  <c r="H40" i="279"/>
  <c r="G8" i="279"/>
  <c r="H17" i="279"/>
  <c r="H21" i="279" s="1"/>
  <c r="H12" i="279"/>
  <c r="H13" i="279" s="1"/>
  <c r="H41" i="279"/>
  <c r="U11" i="286"/>
  <c r="P8" i="286"/>
  <c r="Q17" i="286"/>
  <c r="Q21" i="286" s="1"/>
  <c r="Q41" i="286"/>
  <c r="Q40" i="286"/>
  <c r="Q12" i="286"/>
  <c r="G29" i="274"/>
  <c r="G27" i="274"/>
  <c r="P41" i="276"/>
  <c r="P12" i="276"/>
  <c r="O8" i="276"/>
  <c r="P40" i="276"/>
  <c r="P17" i="276"/>
  <c r="P21" i="276" s="1"/>
  <c r="H13" i="281"/>
  <c r="N8" i="281"/>
  <c r="O41" i="281"/>
  <c r="O12" i="281"/>
  <c r="O40" i="281"/>
  <c r="O17" i="281"/>
  <c r="O21" i="281" s="1"/>
  <c r="W8" i="276"/>
  <c r="X8" i="276"/>
  <c r="X17" i="276"/>
  <c r="X21" i="276" s="1"/>
  <c r="X12" i="276"/>
  <c r="X13" i="276" s="1"/>
  <c r="G11" i="291"/>
  <c r="V11" i="279"/>
  <c r="P8" i="276"/>
  <c r="Q12" i="276"/>
  <c r="Q40" i="276"/>
  <c r="Q17" i="276"/>
  <c r="Q21" i="276" s="1"/>
  <c r="Q41" i="276"/>
  <c r="O17" i="279"/>
  <c r="O21" i="279" s="1"/>
  <c r="N8" i="279"/>
  <c r="O41" i="279"/>
  <c r="O12" i="279"/>
  <c r="O40" i="279"/>
  <c r="S8" i="279"/>
  <c r="T12" i="279"/>
  <c r="T17" i="279"/>
  <c r="T21" i="279" s="1"/>
  <c r="T40" i="279"/>
  <c r="T41" i="279"/>
  <c r="K11" i="279"/>
  <c r="K13" i="279" s="1"/>
  <c r="S27" i="274"/>
  <c r="S29" i="274"/>
  <c r="R40" i="291"/>
  <c r="R41" i="291"/>
  <c r="R17" i="291"/>
  <c r="R21" i="291" s="1"/>
  <c r="Q8" i="291"/>
  <c r="R12" i="291"/>
  <c r="T17" i="291"/>
  <c r="T21" i="291" s="1"/>
  <c r="S8" i="291"/>
  <c r="T12" i="291"/>
  <c r="T40" i="291"/>
  <c r="T41" i="291"/>
  <c r="I11" i="288"/>
  <c r="F8" i="276"/>
  <c r="G41" i="276"/>
  <c r="G17" i="276"/>
  <c r="G21" i="276" s="1"/>
  <c r="G40" i="276"/>
  <c r="G12" i="276"/>
  <c r="G13" i="276" s="1"/>
  <c r="L10" i="276"/>
  <c r="L11" i="276" s="1"/>
  <c r="L13" i="276" s="1"/>
  <c r="L34" i="276"/>
  <c r="L26" i="276"/>
  <c r="L22" i="276"/>
  <c r="L20" i="276"/>
  <c r="M7" i="276"/>
  <c r="M19" i="274"/>
  <c r="M14" i="274"/>
  <c r="M15" i="274"/>
  <c r="M32" i="274"/>
  <c r="M18" i="274"/>
  <c r="J27" i="290"/>
  <c r="J29" i="290"/>
  <c r="W40" i="288"/>
  <c r="V8" i="288"/>
  <c r="W41" i="288"/>
  <c r="W12" i="288"/>
  <c r="W17" i="288"/>
  <c r="W21" i="288" s="1"/>
  <c r="B30" i="274"/>
  <c r="D30" i="274" s="1"/>
  <c r="J19" i="284"/>
  <c r="F27" i="290"/>
  <c r="F29" i="290"/>
  <c r="Q8" i="279"/>
  <c r="R40" i="279"/>
  <c r="R41" i="279"/>
  <c r="R17" i="279"/>
  <c r="R21" i="279" s="1"/>
  <c r="R12" i="279"/>
  <c r="R8" i="279"/>
  <c r="J11" i="276"/>
  <c r="J13" i="276" s="1"/>
  <c r="W11" i="284"/>
  <c r="W13" i="284" s="1"/>
  <c r="H40" i="290"/>
  <c r="H17" i="290"/>
  <c r="H21" i="290" s="1"/>
  <c r="G8" i="290"/>
  <c r="H41" i="290"/>
  <c r="H12" i="290"/>
  <c r="O12" i="288"/>
  <c r="O41" i="288"/>
  <c r="O40" i="288"/>
  <c r="O17" i="288"/>
  <c r="O21" i="288" s="1"/>
  <c r="N8" i="288"/>
  <c r="X11" i="274"/>
  <c r="X13" i="274" s="1"/>
  <c r="U17" i="279"/>
  <c r="U21" i="279" s="1"/>
  <c r="U41" i="279"/>
  <c r="U12" i="279"/>
  <c r="U13" i="279" s="1"/>
  <c r="T8" i="279"/>
  <c r="O29" i="284"/>
  <c r="O27" i="284"/>
  <c r="G12" i="281"/>
  <c r="G13" i="281" s="1"/>
  <c r="F8" i="281"/>
  <c r="G41" i="281"/>
  <c r="G40" i="281"/>
  <c r="G17" i="281"/>
  <c r="G21" i="281" s="1"/>
  <c r="V40" i="286"/>
  <c r="V17" i="286"/>
  <c r="V21" i="286" s="1"/>
  <c r="U8" i="286"/>
  <c r="V41" i="286"/>
  <c r="V12" i="286"/>
  <c r="N10" i="274"/>
  <c r="N11" i="274" s="1"/>
  <c r="N34" i="274"/>
  <c r="N26" i="274"/>
  <c r="N22" i="274"/>
  <c r="N20" i="274"/>
  <c r="O7" i="274"/>
  <c r="X41" i="290"/>
  <c r="X17" i="290"/>
  <c r="X21" i="290" s="1"/>
  <c r="X12" i="290"/>
  <c r="W8" i="290"/>
  <c r="X8" i="290"/>
  <c r="V11" i="284"/>
  <c r="U40" i="276"/>
  <c r="U17" i="276"/>
  <c r="U21" i="276" s="1"/>
  <c r="U41" i="276"/>
  <c r="U12" i="276"/>
  <c r="T8" i="276"/>
  <c r="U8" i="276"/>
  <c r="L26" i="286"/>
  <c r="L10" i="286"/>
  <c r="L11" i="286" s="1"/>
  <c r="L34" i="286"/>
  <c r="L20" i="286"/>
  <c r="L22" i="286"/>
  <c r="M7" i="286"/>
  <c r="X11" i="284"/>
  <c r="X13" i="284" s="1"/>
  <c r="H11" i="291"/>
  <c r="H13" i="291" s="1"/>
  <c r="N8" i="274"/>
  <c r="F17" i="279"/>
  <c r="F41" i="279"/>
  <c r="F40" i="279"/>
  <c r="F12" i="279"/>
  <c r="F13" i="279" s="1"/>
  <c r="B30" i="290"/>
  <c r="D30" i="290" s="1"/>
  <c r="W11" i="279"/>
  <c r="W13" i="279" s="1"/>
  <c r="P8" i="288"/>
  <c r="Q41" i="288"/>
  <c r="Q40" i="288"/>
  <c r="Q17" i="288"/>
  <c r="Q21" i="288" s="1"/>
  <c r="Q12" i="288"/>
  <c r="J11" i="286"/>
  <c r="J13" i="286" s="1"/>
  <c r="M27" i="284"/>
  <c r="M29" i="284"/>
  <c r="K8" i="288"/>
  <c r="I11" i="291"/>
  <c r="I11" i="279"/>
  <c r="I13" i="279" s="1"/>
  <c r="U41" i="286"/>
  <c r="T8" i="286"/>
  <c r="U12" i="286"/>
  <c r="U17" i="286"/>
  <c r="U21" i="286" s="1"/>
  <c r="I40" i="291"/>
  <c r="I17" i="291"/>
  <c r="I21" i="291" s="1"/>
  <c r="I41" i="291"/>
  <c r="I12" i="291"/>
  <c r="H8" i="291"/>
  <c r="I8" i="291"/>
  <c r="E40" i="281"/>
  <c r="E41" i="281"/>
  <c r="E12" i="281"/>
  <c r="W11" i="286"/>
  <c r="N22" i="290"/>
  <c r="N10" i="290"/>
  <c r="N11" i="290" s="1"/>
  <c r="N34" i="290"/>
  <c r="N20" i="290"/>
  <c r="N26" i="290"/>
  <c r="O7" i="290"/>
  <c r="X17" i="279"/>
  <c r="X21" i="279" s="1"/>
  <c r="W8" i="279"/>
  <c r="X41" i="279"/>
  <c r="X12" i="279"/>
  <c r="X8" i="279"/>
  <c r="M29" i="276"/>
  <c r="M27" i="276"/>
  <c r="E41" i="279"/>
  <c r="E12" i="279"/>
  <c r="E40" i="279"/>
  <c r="X29" i="284"/>
  <c r="X27" i="284"/>
  <c r="U8" i="284"/>
  <c r="V17" i="284"/>
  <c r="V21" i="284" s="1"/>
  <c r="V40" i="284"/>
  <c r="V12" i="284"/>
  <c r="V41" i="284"/>
  <c r="F17" i="274"/>
  <c r="F12" i="274"/>
  <c r="F13" i="274" s="1"/>
  <c r="F40" i="274"/>
  <c r="F41" i="274"/>
  <c r="U17" i="281"/>
  <c r="U21" i="281" s="1"/>
  <c r="U41" i="281"/>
  <c r="U12" i="281"/>
  <c r="T8" i="281"/>
  <c r="U8" i="281"/>
  <c r="H41" i="284"/>
  <c r="H17" i="284"/>
  <c r="H21" i="284" s="1"/>
  <c r="H12" i="284"/>
  <c r="H13" i="284" s="1"/>
  <c r="H40" i="284"/>
  <c r="G8" i="284"/>
  <c r="W13" i="288"/>
  <c r="L22" i="291"/>
  <c r="L10" i="291"/>
  <c r="L11" i="291" s="1"/>
  <c r="L34" i="291"/>
  <c r="L26" i="291"/>
  <c r="L20" i="291"/>
  <c r="M7" i="291"/>
  <c r="G29" i="291"/>
  <c r="O17" i="291"/>
  <c r="O21" i="291" s="1"/>
  <c r="N8" i="291"/>
  <c r="O41" i="291"/>
  <c r="O12" i="291"/>
  <c r="O40" i="291"/>
  <c r="L26" i="284"/>
  <c r="L10" i="284"/>
  <c r="L11" i="284" s="1"/>
  <c r="L34" i="284"/>
  <c r="L22" i="284"/>
  <c r="L20" i="284"/>
  <c r="M7" i="284"/>
  <c r="O17" i="290"/>
  <c r="O21" i="290" s="1"/>
  <c r="N8" i="290"/>
  <c r="O41" i="290"/>
  <c r="O12" i="290"/>
  <c r="O40" i="290"/>
  <c r="G11" i="286"/>
  <c r="G41" i="291"/>
  <c r="G40" i="291"/>
  <c r="F8" i="291"/>
  <c r="G12" i="291"/>
  <c r="G17" i="291"/>
  <c r="G21" i="291" s="1"/>
  <c r="E13" i="291"/>
  <c r="I11" i="274"/>
  <c r="I13" i="274" s="1"/>
  <c r="K11" i="284"/>
  <c r="K13" i="284" s="1"/>
  <c r="L12" i="281"/>
  <c r="L40" i="281"/>
  <c r="K8" i="281"/>
  <c r="L17" i="281"/>
  <c r="L21" i="281" s="1"/>
  <c r="L41" i="281"/>
  <c r="G17" i="286"/>
  <c r="G21" i="286" s="1"/>
  <c r="G12" i="286"/>
  <c r="F8" i="286"/>
  <c r="G41" i="286"/>
  <c r="G40" i="286"/>
  <c r="R40" i="286"/>
  <c r="R41" i="286"/>
  <c r="R17" i="286"/>
  <c r="R21" i="286" s="1"/>
  <c r="Q8" i="286"/>
  <c r="R12" i="286"/>
  <c r="R8" i="286"/>
  <c r="W40" i="281"/>
  <c r="V8" i="281"/>
  <c r="W12" i="281"/>
  <c r="W17" i="281"/>
  <c r="W21" i="281" s="1"/>
  <c r="W41" i="281"/>
  <c r="S40" i="276"/>
  <c r="S41" i="276"/>
  <c r="S12" i="276"/>
  <c r="S17" i="276"/>
  <c r="S21" i="276" s="1"/>
  <c r="R8" i="276"/>
  <c r="O8" i="291"/>
  <c r="G41" i="279"/>
  <c r="G17" i="279"/>
  <c r="G21" i="279" s="1"/>
  <c r="G40" i="279"/>
  <c r="G12" i="279"/>
  <c r="G13" i="279" s="1"/>
  <c r="F8" i="279"/>
  <c r="E41" i="276"/>
  <c r="E40" i="276"/>
  <c r="E12" i="276"/>
  <c r="E13" i="276" s="1"/>
  <c r="E13" i="274"/>
  <c r="F17" i="281"/>
  <c r="F12" i="281"/>
  <c r="F13" i="281" s="1"/>
  <c r="F40" i="281"/>
  <c r="F41" i="281"/>
  <c r="F31" i="290"/>
  <c r="F19" i="290"/>
  <c r="F14" i="290"/>
  <c r="F15" i="290"/>
  <c r="F32" i="290"/>
  <c r="F18" i="290"/>
  <c r="I12" i="284"/>
  <c r="I40" i="284"/>
  <c r="I17" i="284"/>
  <c r="I21" i="284" s="1"/>
  <c r="H8" i="284"/>
  <c r="I41" i="284"/>
  <c r="I8" i="284"/>
  <c r="K22" i="281"/>
  <c r="K10" i="281"/>
  <c r="K11" i="281" s="1"/>
  <c r="K13" i="281" s="1"/>
  <c r="K34" i="281"/>
  <c r="K20" i="281"/>
  <c r="K26" i="281"/>
  <c r="L7" i="281"/>
  <c r="Q27" i="290"/>
  <c r="Q29" i="290"/>
  <c r="Q29" i="276"/>
  <c r="Q27" i="276"/>
  <c r="L40" i="274"/>
  <c r="L12" i="274"/>
  <c r="L13" i="274" s="1"/>
  <c r="K8" i="274"/>
  <c r="L41" i="274"/>
  <c r="L17" i="274"/>
  <c r="L21" i="274" s="1"/>
  <c r="H8" i="281"/>
  <c r="X11" i="281"/>
  <c r="X13" i="281" s="1"/>
  <c r="V8" i="290"/>
  <c r="W41" i="290"/>
  <c r="W12" i="290"/>
  <c r="W17" i="290"/>
  <c r="W21" i="290" s="1"/>
  <c r="W40" i="290"/>
  <c r="H40" i="288"/>
  <c r="H17" i="288"/>
  <c r="H21" i="288" s="1"/>
  <c r="G8" i="288"/>
  <c r="H12" i="288"/>
  <c r="H41" i="288"/>
  <c r="U41" i="288"/>
  <c r="U17" i="288"/>
  <c r="U21" i="288" s="1"/>
  <c r="U12" i="288"/>
  <c r="T8" i="288"/>
  <c r="X41" i="288"/>
  <c r="X12" i="288"/>
  <c r="X17" i="288"/>
  <c r="X21" i="288" s="1"/>
  <c r="W8" i="288"/>
  <c r="X40" i="288"/>
  <c r="X8" i="288"/>
  <c r="P8" i="279"/>
  <c r="Q41" i="279"/>
  <c r="Q12" i="279"/>
  <c r="Q40" i="279"/>
  <c r="Q17" i="279"/>
  <c r="Q21" i="279" s="1"/>
  <c r="I27" i="274"/>
  <c r="M41" i="279"/>
  <c r="M17" i="279"/>
  <c r="M21" i="279" s="1"/>
  <c r="L8" i="279"/>
  <c r="M12" i="279"/>
  <c r="M40" i="279"/>
  <c r="I11" i="286"/>
  <c r="O8" i="288"/>
  <c r="E40" i="286"/>
  <c r="E41" i="286"/>
  <c r="E12" i="286"/>
  <c r="E13" i="286" s="1"/>
  <c r="T40" i="286"/>
  <c r="T12" i="286"/>
  <c r="T17" i="286"/>
  <c r="T21" i="286" s="1"/>
  <c r="S8" i="286"/>
  <c r="T41" i="286"/>
  <c r="I40" i="286"/>
  <c r="I17" i="286"/>
  <c r="I21" i="286" s="1"/>
  <c r="I12" i="286"/>
  <c r="H8" i="286"/>
  <c r="I41" i="286"/>
  <c r="I8" i="286"/>
  <c r="G11" i="284"/>
  <c r="G13" i="284" s="1"/>
  <c r="K11" i="274"/>
  <c r="N8" i="276"/>
  <c r="O41" i="276"/>
  <c r="O40" i="276"/>
  <c r="O12" i="276"/>
  <c r="O17" i="276"/>
  <c r="O21" i="276" s="1"/>
  <c r="W40" i="291"/>
  <c r="W41" i="291"/>
  <c r="W17" i="291"/>
  <c r="W21" i="291" s="1"/>
  <c r="W12" i="291"/>
  <c r="V8" i="291"/>
  <c r="W27" i="284"/>
  <c r="W29" i="284"/>
  <c r="B30" i="279"/>
  <c r="D30" i="279" s="1"/>
  <c r="R17" i="284"/>
  <c r="R21" i="284" s="1"/>
  <c r="R41" i="284"/>
  <c r="R40" i="284"/>
  <c r="R12" i="284"/>
  <c r="Q8" i="284"/>
  <c r="R8" i="284"/>
  <c r="K10" i="288"/>
  <c r="K11" i="288" s="1"/>
  <c r="K34" i="288"/>
  <c r="K20" i="288"/>
  <c r="K22" i="288"/>
  <c r="K26" i="288"/>
  <c r="L7" i="288"/>
  <c r="N40" i="279"/>
  <c r="N17" i="279"/>
  <c r="N21" i="279" s="1"/>
  <c r="M8" i="279"/>
  <c r="N41" i="279"/>
  <c r="N12" i="279"/>
  <c r="J27" i="284"/>
  <c r="J29" i="284"/>
  <c r="L40" i="290"/>
  <c r="L17" i="290"/>
  <c r="L21" i="290" s="1"/>
  <c r="K8" i="290"/>
  <c r="L41" i="290"/>
  <c r="L12" i="290"/>
  <c r="S8" i="290"/>
  <c r="T41" i="290"/>
  <c r="T17" i="290"/>
  <c r="T21" i="290" s="1"/>
  <c r="T12" i="290"/>
  <c r="T40" i="290"/>
  <c r="I12" i="288"/>
  <c r="I40" i="288"/>
  <c r="H8" i="288"/>
  <c r="I41" i="288"/>
  <c r="I17" i="288"/>
  <c r="I21" i="288" s="1"/>
  <c r="I8" i="288"/>
  <c r="F21" i="290"/>
  <c r="L40" i="286"/>
  <c r="L17" i="286"/>
  <c r="L21" i="286" s="1"/>
  <c r="K8" i="286"/>
  <c r="L41" i="286"/>
  <c r="L12" i="286"/>
  <c r="G11" i="288"/>
  <c r="Q8" i="281"/>
  <c r="R17" i="281"/>
  <c r="R21" i="281" s="1"/>
  <c r="R41" i="281"/>
  <c r="R40" i="281"/>
  <c r="R12" i="281"/>
  <c r="T27" i="274"/>
  <c r="T29" i="274"/>
  <c r="Q17" i="281"/>
  <c r="Q21" i="281" s="1"/>
  <c r="Q41" i="281"/>
  <c r="Q12" i="281"/>
  <c r="P8" i="281"/>
  <c r="Q40" i="281"/>
  <c r="T40" i="281"/>
  <c r="T17" i="281"/>
  <c r="T21" i="281" s="1"/>
  <c r="T12" i="281"/>
  <c r="S8" i="281"/>
  <c r="T41" i="281"/>
  <c r="F17" i="286"/>
  <c r="F40" i="286"/>
  <c r="F41" i="286"/>
  <c r="F12" i="286"/>
  <c r="F13" i="286" s="1"/>
  <c r="B30" i="286"/>
  <c r="D30" i="286" s="1"/>
  <c r="N17" i="286"/>
  <c r="N21" i="286" s="1"/>
  <c r="M8" i="286"/>
  <c r="N41" i="286"/>
  <c r="N12" i="286"/>
  <c r="N40" i="286"/>
  <c r="X8" i="291"/>
  <c r="X12" i="291"/>
  <c r="X13" i="291" s="1"/>
  <c r="X17" i="291"/>
  <c r="X21" i="291" s="1"/>
  <c r="W8" i="291"/>
  <c r="X41" i="291"/>
  <c r="X52" i="291" s="1"/>
  <c r="F27" i="284"/>
  <c r="F29" i="284"/>
  <c r="M12" i="276"/>
  <c r="L8" i="276"/>
  <c r="M17" i="276"/>
  <c r="M21" i="276" s="1"/>
  <c r="M40" i="276"/>
  <c r="M41" i="276"/>
  <c r="K11" i="276"/>
  <c r="K13" i="276" s="1"/>
  <c r="G62" i="289"/>
  <c r="G61" i="287"/>
  <c r="G60" i="285"/>
  <c r="G61" i="283"/>
  <c r="G60" i="280"/>
  <c r="C28" i="279"/>
  <c r="G60" i="278"/>
  <c r="C30" i="276"/>
  <c r="W30" i="276" s="1"/>
  <c r="B30" i="276" s="1"/>
  <c r="D30" i="276" s="1"/>
  <c r="E129" i="260"/>
  <c r="B167" i="260" s="1"/>
  <c r="I17" i="265"/>
  <c r="I21" i="265" s="1"/>
  <c r="H27" i="265"/>
  <c r="K23" i="265"/>
  <c r="K16" i="265"/>
  <c r="K24" i="265"/>
  <c r="K28" i="265"/>
  <c r="K30" i="265"/>
  <c r="G27" i="265"/>
  <c r="G29" i="265"/>
  <c r="J40" i="265"/>
  <c r="J17" i="265"/>
  <c r="J21" i="265" s="1"/>
  <c r="G31" i="265"/>
  <c r="G18" i="265"/>
  <c r="G14" i="265"/>
  <c r="G25" i="265"/>
  <c r="G32" i="265"/>
  <c r="G19" i="265"/>
  <c r="G15" i="265"/>
  <c r="H157" i="252"/>
  <c r="J153" i="252" s="1"/>
  <c r="B167" i="262"/>
  <c r="B174" i="262" s="1"/>
  <c r="G60" i="273"/>
  <c r="I11" i="265"/>
  <c r="I13" i="265" s="1"/>
  <c r="H13" i="265"/>
  <c r="J10" i="265"/>
  <c r="J11" i="265" s="1"/>
  <c r="C154" i="262"/>
  <c r="B157" i="262" s="1"/>
  <c r="C154" i="237"/>
  <c r="B157" i="237" s="1"/>
  <c r="D14" i="237" s="1"/>
  <c r="H158" i="262"/>
  <c r="H157" i="262"/>
  <c r="N158" i="262"/>
  <c r="N157" i="262"/>
  <c r="N158" i="260"/>
  <c r="N157" i="260"/>
  <c r="H157" i="260"/>
  <c r="H158" i="260"/>
  <c r="C150" i="260"/>
  <c r="C150" i="258"/>
  <c r="P152" i="258"/>
  <c r="P153" i="258"/>
  <c r="J153" i="267"/>
  <c r="J152" i="267"/>
  <c r="C150" i="267"/>
  <c r="N157" i="254"/>
  <c r="N158" i="254"/>
  <c r="C150" i="254"/>
  <c r="I150" i="254"/>
  <c r="I154" i="254" s="1"/>
  <c r="O150" i="252"/>
  <c r="O154" i="252" s="1"/>
  <c r="O147" i="250"/>
  <c r="B21" i="250" s="1"/>
  <c r="C28" i="288" s="1"/>
  <c r="I150" i="250"/>
  <c r="P152" i="237"/>
  <c r="P153" i="237"/>
  <c r="J152" i="237"/>
  <c r="J153" i="237"/>
  <c r="C154" i="250"/>
  <c r="B158" i="250" s="1"/>
  <c r="D153" i="248"/>
  <c r="D152" i="248"/>
  <c r="H157" i="264"/>
  <c r="H158" i="264"/>
  <c r="N158" i="264"/>
  <c r="N157" i="264"/>
  <c r="Q129" i="260"/>
  <c r="N167" i="260" s="1"/>
  <c r="N174" i="260" s="1"/>
  <c r="C150" i="252"/>
  <c r="N158" i="248"/>
  <c r="D15" i="248" s="1"/>
  <c r="N157" i="248"/>
  <c r="D14" i="248" s="1"/>
  <c r="E126" i="248"/>
  <c r="E129" i="248" s="1"/>
  <c r="B167" i="248" s="1"/>
  <c r="B174" i="248" s="1"/>
  <c r="B171" i="262"/>
  <c r="Q126" i="267"/>
  <c r="Q129" i="267" s="1"/>
  <c r="N167" i="267" s="1"/>
  <c r="N174" i="267" s="1"/>
  <c r="H167" i="262"/>
  <c r="H174" i="262" s="1"/>
  <c r="H175" i="262" s="1"/>
  <c r="H178" i="262" s="1"/>
  <c r="H179" i="262" s="1"/>
  <c r="N167" i="264"/>
  <c r="N174" i="264" s="1"/>
  <c r="N175" i="264" s="1"/>
  <c r="N178" i="264" s="1"/>
  <c r="N179" i="264" s="1"/>
  <c r="E129" i="258"/>
  <c r="Q126" i="252"/>
  <c r="Q129" i="252" s="1"/>
  <c r="N171" i="252" s="1"/>
  <c r="N172" i="252" s="1"/>
  <c r="N173" i="252" s="1"/>
  <c r="Q129" i="250"/>
  <c r="N171" i="250" s="1"/>
  <c r="N172" i="250" s="1"/>
  <c r="N173" i="250" s="1"/>
  <c r="N177" i="250" s="1"/>
  <c r="E126" i="264"/>
  <c r="E129" i="264" s="1"/>
  <c r="E129" i="267"/>
  <c r="H167" i="264"/>
  <c r="H174" i="264" s="1"/>
  <c r="H175" i="264" s="1"/>
  <c r="H178" i="264" s="1"/>
  <c r="H179" i="264" s="1"/>
  <c r="Q129" i="248"/>
  <c r="B167" i="250"/>
  <c r="B174" i="250" s="1"/>
  <c r="N167" i="258"/>
  <c r="N174" i="258" s="1"/>
  <c r="N171" i="258"/>
  <c r="N172" i="258" s="1"/>
  <c r="N173" i="258" s="1"/>
  <c r="N177" i="258" s="1"/>
  <c r="H167" i="237"/>
  <c r="H174" i="237" s="1"/>
  <c r="H175" i="237" s="1"/>
  <c r="H178" i="237" s="1"/>
  <c r="H179" i="237" s="1"/>
  <c r="H167" i="267"/>
  <c r="H174" i="267" s="1"/>
  <c r="H175" i="267" s="1"/>
  <c r="H178" i="267" s="1"/>
  <c r="H179" i="267" s="1"/>
  <c r="H177" i="264"/>
  <c r="H177" i="267"/>
  <c r="N171" i="254"/>
  <c r="N172" i="254" s="1"/>
  <c r="N173" i="254" s="1"/>
  <c r="N167" i="254"/>
  <c r="N174" i="254" s="1"/>
  <c r="N167" i="237"/>
  <c r="N174" i="237" s="1"/>
  <c r="N171" i="237"/>
  <c r="N172" i="237" s="1"/>
  <c r="N173" i="237" s="1"/>
  <c r="H177" i="237"/>
  <c r="B167" i="237"/>
  <c r="B171" i="237"/>
  <c r="H167" i="248"/>
  <c r="H174" i="248" s="1"/>
  <c r="H171" i="248"/>
  <c r="H172" i="248" s="1"/>
  <c r="H173" i="248" s="1"/>
  <c r="B21" i="248"/>
  <c r="C28" i="291" s="1"/>
  <c r="J41" i="265"/>
  <c r="I8" i="265"/>
  <c r="J12" i="265"/>
  <c r="L5" i="265"/>
  <c r="L9" i="265"/>
  <c r="K6" i="265"/>
  <c r="K7" i="265"/>
  <c r="K34" i="265" s="1"/>
  <c r="J152" i="258" l="1"/>
  <c r="P153" i="267"/>
  <c r="W28" i="281"/>
  <c r="B28" i="281" s="1"/>
  <c r="D28" i="281" s="1"/>
  <c r="H171" i="258"/>
  <c r="H172" i="258" s="1"/>
  <c r="H173" i="258" s="1"/>
  <c r="H177" i="258" s="1"/>
  <c r="D5" i="258"/>
  <c r="D5" i="254"/>
  <c r="U28" i="284"/>
  <c r="B28" i="284" s="1"/>
  <c r="D28" i="284" s="1"/>
  <c r="H167" i="254"/>
  <c r="H174" i="254" s="1"/>
  <c r="H175" i="254" s="1"/>
  <c r="H178" i="254" s="1"/>
  <c r="H179" i="254" s="1"/>
  <c r="D5" i="267"/>
  <c r="H171" i="250"/>
  <c r="H172" i="250" s="1"/>
  <c r="H173" i="250" s="1"/>
  <c r="H175" i="250" s="1"/>
  <c r="H178" i="250" s="1"/>
  <c r="H179" i="250" s="1"/>
  <c r="D5" i="252"/>
  <c r="H171" i="252"/>
  <c r="H172" i="252" s="1"/>
  <c r="H173" i="252" s="1"/>
  <c r="H175" i="252" s="1"/>
  <c r="H178" i="252" s="1"/>
  <c r="H179" i="252" s="1"/>
  <c r="B157" i="264"/>
  <c r="D14" i="264" s="1"/>
  <c r="B28" i="262"/>
  <c r="D24" i="262" s="1"/>
  <c r="U28" i="288"/>
  <c r="T28" i="288"/>
  <c r="D5" i="264"/>
  <c r="D24" i="264" s="1"/>
  <c r="U28" i="286"/>
  <c r="T28" i="286"/>
  <c r="X28" i="291"/>
  <c r="W28" i="291"/>
  <c r="D5" i="250"/>
  <c r="B171" i="260"/>
  <c r="B172" i="260" s="1"/>
  <c r="B173" i="260" s="1"/>
  <c r="B177" i="260" s="1"/>
  <c r="D5" i="260"/>
  <c r="D6" i="237"/>
  <c r="D7" i="237" s="1"/>
  <c r="C31" i="274"/>
  <c r="N31" i="274" s="1"/>
  <c r="K13" i="274"/>
  <c r="K15" i="274" s="1"/>
  <c r="Q29" i="274"/>
  <c r="X27" i="274"/>
  <c r="U29" i="274"/>
  <c r="J29" i="276"/>
  <c r="J25" i="284"/>
  <c r="N29" i="284"/>
  <c r="L13" i="284"/>
  <c r="J15" i="284"/>
  <c r="J18" i="284"/>
  <c r="J32" i="284"/>
  <c r="L27" i="284"/>
  <c r="J14" i="284"/>
  <c r="K13" i="286"/>
  <c r="K15" i="286" s="1"/>
  <c r="H13" i="286"/>
  <c r="H31" i="286" s="1"/>
  <c r="V13" i="286"/>
  <c r="V15" i="286" s="1"/>
  <c r="X13" i="286"/>
  <c r="W13" i="286"/>
  <c r="W19" i="286" s="1"/>
  <c r="X13" i="288"/>
  <c r="U13" i="288"/>
  <c r="J25" i="288"/>
  <c r="J18" i="288"/>
  <c r="J19" i="288"/>
  <c r="J14" i="290"/>
  <c r="J25" i="290"/>
  <c r="J15" i="290"/>
  <c r="H13" i="290"/>
  <c r="N13" i="290"/>
  <c r="T29" i="290"/>
  <c r="B29" i="264"/>
  <c r="E5" i="264"/>
  <c r="D15" i="264"/>
  <c r="D14" i="262"/>
  <c r="B24" i="260"/>
  <c r="B28" i="260" s="1"/>
  <c r="B24" i="258"/>
  <c r="B28" i="258" s="1"/>
  <c r="B24" i="267"/>
  <c r="B28" i="267" s="1"/>
  <c r="B24" i="254"/>
  <c r="B28" i="254" s="1"/>
  <c r="B24" i="252"/>
  <c r="B28" i="252" s="1"/>
  <c r="G13" i="288"/>
  <c r="K13" i="288"/>
  <c r="K25" i="288" s="1"/>
  <c r="D26" i="237"/>
  <c r="B29" i="237"/>
  <c r="E5" i="237"/>
  <c r="D24" i="237"/>
  <c r="C31" i="290"/>
  <c r="J15" i="291"/>
  <c r="J19" i="291"/>
  <c r="J31" i="291"/>
  <c r="H18" i="274"/>
  <c r="H31" i="274"/>
  <c r="H14" i="274"/>
  <c r="P29" i="274"/>
  <c r="K13" i="291"/>
  <c r="G19" i="274"/>
  <c r="G15" i="274"/>
  <c r="G25" i="274"/>
  <c r="G14" i="274"/>
  <c r="G31" i="274"/>
  <c r="G32" i="274"/>
  <c r="G18" i="274"/>
  <c r="U29" i="290"/>
  <c r="S29" i="284"/>
  <c r="V29" i="284"/>
  <c r="M13" i="279"/>
  <c r="B17" i="290"/>
  <c r="D17" i="290" s="1"/>
  <c r="V13" i="288"/>
  <c r="V25" i="288" s="1"/>
  <c r="B21" i="290"/>
  <c r="D21" i="290" s="1"/>
  <c r="L13" i="291"/>
  <c r="N13" i="274"/>
  <c r="N19" i="274" s="1"/>
  <c r="L15" i="274"/>
  <c r="L25" i="274"/>
  <c r="L14" i="274"/>
  <c r="L19" i="274"/>
  <c r="L32" i="274"/>
  <c r="L18" i="274"/>
  <c r="H15" i="290"/>
  <c r="H14" i="290"/>
  <c r="H25" i="290"/>
  <c r="H19" i="290"/>
  <c r="H31" i="290"/>
  <c r="H32" i="290"/>
  <c r="H18" i="290"/>
  <c r="F15" i="286"/>
  <c r="F19" i="286"/>
  <c r="F31" i="286"/>
  <c r="F25" i="286"/>
  <c r="F14" i="286"/>
  <c r="F32" i="286"/>
  <c r="F18" i="286"/>
  <c r="X14" i="288"/>
  <c r="X25" i="288"/>
  <c r="X31" i="288"/>
  <c r="X15" i="288"/>
  <c r="X19" i="288"/>
  <c r="X32" i="288"/>
  <c r="X18" i="288"/>
  <c r="V19" i="286"/>
  <c r="V31" i="286"/>
  <c r="V25" i="286"/>
  <c r="V14" i="286"/>
  <c r="V32" i="286"/>
  <c r="V18" i="286"/>
  <c r="U31" i="284"/>
  <c r="U14" i="284"/>
  <c r="U15" i="284"/>
  <c r="U19" i="284"/>
  <c r="U25" i="284"/>
  <c r="U32" i="284"/>
  <c r="U18" i="284"/>
  <c r="F14" i="281"/>
  <c r="F25" i="281"/>
  <c r="F15" i="281"/>
  <c r="F19" i="281"/>
  <c r="F31" i="281"/>
  <c r="F32" i="281"/>
  <c r="F18" i="281"/>
  <c r="H14" i="284"/>
  <c r="H25" i="284"/>
  <c r="H19" i="284"/>
  <c r="H31" i="284"/>
  <c r="H15" i="284"/>
  <c r="H32" i="284"/>
  <c r="H18" i="284"/>
  <c r="F31" i="279"/>
  <c r="F25" i="279"/>
  <c r="F14" i="279"/>
  <c r="F19" i="279"/>
  <c r="F15" i="279"/>
  <c r="F32" i="279"/>
  <c r="F18" i="279"/>
  <c r="U25" i="279"/>
  <c r="U15" i="279"/>
  <c r="U19" i="279"/>
  <c r="U14" i="279"/>
  <c r="U31" i="279"/>
  <c r="U32" i="279"/>
  <c r="U18" i="279"/>
  <c r="X15" i="291"/>
  <c r="X19" i="291"/>
  <c r="X31" i="291"/>
  <c r="X14" i="291"/>
  <c r="X32" i="291"/>
  <c r="X18" i="291"/>
  <c r="G15" i="279"/>
  <c r="G31" i="279"/>
  <c r="G14" i="279"/>
  <c r="G19" i="279"/>
  <c r="G25" i="279"/>
  <c r="G32" i="279"/>
  <c r="G18" i="279"/>
  <c r="U15" i="288"/>
  <c r="U19" i="288"/>
  <c r="U25" i="288"/>
  <c r="U31" i="288"/>
  <c r="U14" i="288"/>
  <c r="U32" i="288"/>
  <c r="U18" i="288"/>
  <c r="F31" i="276"/>
  <c r="F18" i="276"/>
  <c r="F19" i="276"/>
  <c r="F15" i="276"/>
  <c r="F32" i="276"/>
  <c r="F14" i="276"/>
  <c r="F25" i="276"/>
  <c r="H25" i="286"/>
  <c r="H14" i="286"/>
  <c r="H19" i="286"/>
  <c r="H15" i="286"/>
  <c r="H32" i="286"/>
  <c r="H18" i="286"/>
  <c r="G25" i="288"/>
  <c r="G19" i="288"/>
  <c r="G31" i="288"/>
  <c r="G15" i="288"/>
  <c r="G14" i="288"/>
  <c r="G32" i="288"/>
  <c r="G18" i="288"/>
  <c r="M25" i="279"/>
  <c r="M19" i="279"/>
  <c r="M14" i="279"/>
  <c r="M15" i="279"/>
  <c r="M32" i="279"/>
  <c r="M18" i="279"/>
  <c r="R27" i="291"/>
  <c r="R29" i="291"/>
  <c r="N29" i="286"/>
  <c r="N27" i="286"/>
  <c r="F21" i="288"/>
  <c r="B21" i="288" s="1"/>
  <c r="D21" i="288" s="1"/>
  <c r="B17" i="288"/>
  <c r="D17" i="288" s="1"/>
  <c r="G31" i="276"/>
  <c r="G14" i="276"/>
  <c r="G25" i="276"/>
  <c r="G18" i="276"/>
  <c r="G19" i="276"/>
  <c r="G15" i="276"/>
  <c r="G32" i="276"/>
  <c r="J27" i="288"/>
  <c r="J29" i="288"/>
  <c r="K32" i="276"/>
  <c r="K14" i="276"/>
  <c r="K25" i="276"/>
  <c r="K18" i="276"/>
  <c r="K19" i="276"/>
  <c r="K15" i="276"/>
  <c r="X29" i="291"/>
  <c r="X27" i="291"/>
  <c r="K25" i="281"/>
  <c r="K14" i="281"/>
  <c r="K19" i="281"/>
  <c r="K15" i="281"/>
  <c r="K32" i="281"/>
  <c r="K18" i="281"/>
  <c r="M22" i="284"/>
  <c r="M10" i="284"/>
  <c r="M11" i="284" s="1"/>
  <c r="M13" i="284" s="1"/>
  <c r="M34" i="284"/>
  <c r="M26" i="284"/>
  <c r="M20" i="284"/>
  <c r="N7" i="284"/>
  <c r="N19" i="290"/>
  <c r="N14" i="290"/>
  <c r="N15" i="290"/>
  <c r="N25" i="290"/>
  <c r="N32" i="290"/>
  <c r="N18" i="290"/>
  <c r="I13" i="291"/>
  <c r="P27" i="288"/>
  <c r="P29" i="288"/>
  <c r="M22" i="286"/>
  <c r="M10" i="286"/>
  <c r="M11" i="286" s="1"/>
  <c r="M13" i="286" s="1"/>
  <c r="M34" i="286"/>
  <c r="M26" i="286"/>
  <c r="M20" i="286"/>
  <c r="N7" i="286"/>
  <c r="O26" i="274"/>
  <c r="O10" i="274"/>
  <c r="O11" i="274" s="1"/>
  <c r="O34" i="274"/>
  <c r="O20" i="274"/>
  <c r="O22" i="274"/>
  <c r="P7" i="274"/>
  <c r="T29" i="279"/>
  <c r="T27" i="279"/>
  <c r="R29" i="279"/>
  <c r="R27" i="279"/>
  <c r="F27" i="276"/>
  <c r="F29" i="276"/>
  <c r="V29" i="276"/>
  <c r="Q27" i="291"/>
  <c r="Q29" i="291"/>
  <c r="G13" i="291"/>
  <c r="K27" i="279"/>
  <c r="K29" i="279"/>
  <c r="P27" i="290"/>
  <c r="P29" i="290"/>
  <c r="O29" i="286"/>
  <c r="O27" i="286"/>
  <c r="F21" i="276"/>
  <c r="B21" i="276" s="1"/>
  <c r="D21" i="276" s="1"/>
  <c r="B17" i="276"/>
  <c r="D17" i="276" s="1"/>
  <c r="R29" i="288"/>
  <c r="R27" i="288"/>
  <c r="I27" i="290"/>
  <c r="I29" i="290"/>
  <c r="K27" i="291"/>
  <c r="K29" i="291"/>
  <c r="X29" i="286"/>
  <c r="X27" i="286"/>
  <c r="G29" i="281"/>
  <c r="G27" i="281"/>
  <c r="R27" i="276"/>
  <c r="R29" i="276"/>
  <c r="I27" i="276"/>
  <c r="I29" i="276"/>
  <c r="M29" i="281"/>
  <c r="M27" i="281"/>
  <c r="W29" i="279"/>
  <c r="W27" i="279"/>
  <c r="S27" i="281"/>
  <c r="S29" i="281"/>
  <c r="K27" i="286"/>
  <c r="K29" i="286"/>
  <c r="K14" i="286"/>
  <c r="K19" i="286"/>
  <c r="K25" i="286"/>
  <c r="K32" i="286"/>
  <c r="K18" i="286"/>
  <c r="I13" i="286"/>
  <c r="P27" i="279"/>
  <c r="P29" i="279"/>
  <c r="X14" i="281"/>
  <c r="X25" i="281"/>
  <c r="X15" i="281"/>
  <c r="X19" i="281"/>
  <c r="X31" i="281"/>
  <c r="X32" i="281"/>
  <c r="X18" i="281"/>
  <c r="F21" i="274"/>
  <c r="B21" i="274" s="1"/>
  <c r="D21" i="274" s="1"/>
  <c r="B17" i="274"/>
  <c r="D17" i="274" s="1"/>
  <c r="M14" i="290"/>
  <c r="M25" i="290"/>
  <c r="M19" i="290"/>
  <c r="M15" i="290"/>
  <c r="M32" i="290"/>
  <c r="M18" i="290"/>
  <c r="K27" i="288"/>
  <c r="K29" i="288"/>
  <c r="U27" i="286"/>
  <c r="U29" i="286"/>
  <c r="X25" i="274"/>
  <c r="X31" i="274"/>
  <c r="X14" i="274"/>
  <c r="X15" i="274"/>
  <c r="X19" i="274"/>
  <c r="X32" i="274"/>
  <c r="X18" i="274"/>
  <c r="M26" i="276"/>
  <c r="M10" i="276"/>
  <c r="M11" i="276" s="1"/>
  <c r="M13" i="276" s="1"/>
  <c r="M34" i="276"/>
  <c r="M22" i="276"/>
  <c r="M20" i="276"/>
  <c r="N7" i="276"/>
  <c r="I13" i="288"/>
  <c r="N29" i="279"/>
  <c r="N27" i="279"/>
  <c r="N29" i="281"/>
  <c r="N27" i="281"/>
  <c r="F29" i="288"/>
  <c r="F27" i="288"/>
  <c r="Q29" i="288"/>
  <c r="Q27" i="288"/>
  <c r="W27" i="286"/>
  <c r="W29" i="286"/>
  <c r="F21" i="291"/>
  <c r="B21" i="291" s="1"/>
  <c r="D21" i="291" s="1"/>
  <c r="B17" i="291"/>
  <c r="D17" i="291" s="1"/>
  <c r="X29" i="281"/>
  <c r="X27" i="281"/>
  <c r="H27" i="276"/>
  <c r="H29" i="276"/>
  <c r="T27" i="284"/>
  <c r="T29" i="284"/>
  <c r="G27" i="276"/>
  <c r="G29" i="276"/>
  <c r="I13" i="276"/>
  <c r="H29" i="288"/>
  <c r="H27" i="288"/>
  <c r="I27" i="291"/>
  <c r="I29" i="291"/>
  <c r="K27" i="281"/>
  <c r="K29" i="281"/>
  <c r="X14" i="284"/>
  <c r="X15" i="284"/>
  <c r="X19" i="284"/>
  <c r="X25" i="284"/>
  <c r="X31" i="284"/>
  <c r="X32" i="284"/>
  <c r="X18" i="284"/>
  <c r="M29" i="290"/>
  <c r="M27" i="290"/>
  <c r="X29" i="288"/>
  <c r="X27" i="288"/>
  <c r="V27" i="276"/>
  <c r="F29" i="279"/>
  <c r="F27" i="279"/>
  <c r="K14" i="284"/>
  <c r="K15" i="284"/>
  <c r="K19" i="284"/>
  <c r="K25" i="284"/>
  <c r="K32" i="284"/>
  <c r="K18" i="284"/>
  <c r="F14" i="274"/>
  <c r="F31" i="274"/>
  <c r="F19" i="274"/>
  <c r="F25" i="274"/>
  <c r="F15" i="274"/>
  <c r="F32" i="274"/>
  <c r="F18" i="274"/>
  <c r="M22" i="291"/>
  <c r="M10" i="291"/>
  <c r="M11" i="291" s="1"/>
  <c r="M34" i="291"/>
  <c r="M20" i="291"/>
  <c r="M26" i="291"/>
  <c r="N7" i="291"/>
  <c r="H14" i="279"/>
  <c r="H15" i="279"/>
  <c r="H31" i="279"/>
  <c r="H19" i="279"/>
  <c r="H25" i="279"/>
  <c r="H32" i="279"/>
  <c r="H18" i="279"/>
  <c r="W19" i="279"/>
  <c r="W25" i="279"/>
  <c r="W14" i="279"/>
  <c r="W15" i="279"/>
  <c r="W31" i="279"/>
  <c r="W32" i="279"/>
  <c r="W18" i="279"/>
  <c r="G29" i="290"/>
  <c r="G27" i="290"/>
  <c r="H19" i="281"/>
  <c r="H31" i="281"/>
  <c r="H25" i="281"/>
  <c r="H15" i="281"/>
  <c r="H14" i="281"/>
  <c r="H32" i="281"/>
  <c r="H18" i="281"/>
  <c r="H31" i="276"/>
  <c r="H14" i="276"/>
  <c r="H25" i="276"/>
  <c r="H18" i="276"/>
  <c r="H19" i="276"/>
  <c r="H15" i="276"/>
  <c r="H32" i="276"/>
  <c r="G27" i="279"/>
  <c r="G29" i="279"/>
  <c r="H13" i="288"/>
  <c r="S29" i="288"/>
  <c r="S27" i="288"/>
  <c r="H27" i="290"/>
  <c r="H29" i="290"/>
  <c r="L27" i="286"/>
  <c r="L29" i="286"/>
  <c r="F31" i="291"/>
  <c r="F14" i="291"/>
  <c r="F15" i="291"/>
  <c r="F19" i="291"/>
  <c r="F32" i="291"/>
  <c r="F18" i="291"/>
  <c r="W29" i="281"/>
  <c r="W27" i="281"/>
  <c r="O29" i="279"/>
  <c r="O27" i="279"/>
  <c r="O20" i="279"/>
  <c r="O10" i="279"/>
  <c r="O11" i="279" s="1"/>
  <c r="O34" i="279"/>
  <c r="O26" i="279"/>
  <c r="O22" i="279"/>
  <c r="P7" i="279"/>
  <c r="F15" i="288"/>
  <c r="F19" i="288"/>
  <c r="F25" i="288"/>
  <c r="F14" i="288"/>
  <c r="F31" i="288"/>
  <c r="F32" i="288"/>
  <c r="F18" i="288"/>
  <c r="O27" i="288"/>
  <c r="O29" i="288"/>
  <c r="N29" i="276"/>
  <c r="N27" i="276"/>
  <c r="G27" i="288"/>
  <c r="G29" i="288"/>
  <c r="J13" i="265"/>
  <c r="J19" i="265" s="1"/>
  <c r="R29" i="284"/>
  <c r="R27" i="284"/>
  <c r="K19" i="274"/>
  <c r="K14" i="274"/>
  <c r="K32" i="274"/>
  <c r="K18" i="274"/>
  <c r="S29" i="286"/>
  <c r="S27" i="286"/>
  <c r="H27" i="281"/>
  <c r="H29" i="281"/>
  <c r="I29" i="284"/>
  <c r="I27" i="284"/>
  <c r="G31" i="281"/>
  <c r="G14" i="281"/>
  <c r="G25" i="281"/>
  <c r="G15" i="281"/>
  <c r="G19" i="281"/>
  <c r="G32" i="281"/>
  <c r="G18" i="281"/>
  <c r="K15" i="279"/>
  <c r="K19" i="279"/>
  <c r="K14" i="279"/>
  <c r="K25" i="279"/>
  <c r="K32" i="279"/>
  <c r="K18" i="279"/>
  <c r="X29" i="276"/>
  <c r="X27" i="276"/>
  <c r="X13" i="279"/>
  <c r="G31" i="290"/>
  <c r="G25" i="290"/>
  <c r="G19" i="290"/>
  <c r="G15" i="290"/>
  <c r="G14" i="290"/>
  <c r="G32" i="290"/>
  <c r="G18" i="290"/>
  <c r="J31" i="281"/>
  <c r="J19" i="281"/>
  <c r="J15" i="281"/>
  <c r="J25" i="281"/>
  <c r="J14" i="281"/>
  <c r="J32" i="281"/>
  <c r="J18" i="281"/>
  <c r="F19" i="284"/>
  <c r="F14" i="284"/>
  <c r="F25" i="284"/>
  <c r="F31" i="284"/>
  <c r="F15" i="284"/>
  <c r="F32" i="284"/>
  <c r="F18" i="284"/>
  <c r="F21" i="286"/>
  <c r="B21" i="286" s="1"/>
  <c r="D21" i="286" s="1"/>
  <c r="B17" i="286"/>
  <c r="D17" i="286" s="1"/>
  <c r="I19" i="290"/>
  <c r="I15" i="290"/>
  <c r="I25" i="290"/>
  <c r="I14" i="290"/>
  <c r="I31" i="290"/>
  <c r="I32" i="290"/>
  <c r="I18" i="290"/>
  <c r="L15" i="279"/>
  <c r="L25" i="279"/>
  <c r="L14" i="279"/>
  <c r="L19" i="279"/>
  <c r="L32" i="279"/>
  <c r="L18" i="279"/>
  <c r="J27" i="281"/>
  <c r="J29" i="281"/>
  <c r="H29" i="279"/>
  <c r="H27" i="279"/>
  <c r="K19" i="288"/>
  <c r="K15" i="288"/>
  <c r="K32" i="288"/>
  <c r="K18" i="288"/>
  <c r="L29" i="276"/>
  <c r="L27" i="276"/>
  <c r="M29" i="286"/>
  <c r="M27" i="286"/>
  <c r="Q27" i="284"/>
  <c r="Q29" i="284"/>
  <c r="L29" i="279"/>
  <c r="L27" i="279"/>
  <c r="W27" i="288"/>
  <c r="W29" i="288"/>
  <c r="F27" i="286"/>
  <c r="F29" i="286"/>
  <c r="I15" i="274"/>
  <c r="I14" i="274"/>
  <c r="I19" i="274"/>
  <c r="I31" i="274"/>
  <c r="I25" i="274"/>
  <c r="I32" i="274"/>
  <c r="I18" i="274"/>
  <c r="G13" i="286"/>
  <c r="L15" i="284"/>
  <c r="L25" i="284"/>
  <c r="L19" i="284"/>
  <c r="L14" i="284"/>
  <c r="L32" i="284"/>
  <c r="L18" i="284"/>
  <c r="E13" i="279"/>
  <c r="J31" i="286"/>
  <c r="J14" i="286"/>
  <c r="J15" i="286"/>
  <c r="J25" i="286"/>
  <c r="J19" i="286"/>
  <c r="J32" i="286"/>
  <c r="J18" i="286"/>
  <c r="L13" i="286"/>
  <c r="X29" i="290"/>
  <c r="X27" i="290"/>
  <c r="W27" i="276"/>
  <c r="W29" i="276"/>
  <c r="V13" i="279"/>
  <c r="S27" i="284"/>
  <c r="U27" i="274"/>
  <c r="S29" i="290"/>
  <c r="S27" i="290"/>
  <c r="M29" i="279"/>
  <c r="M27" i="279"/>
  <c r="V29" i="291"/>
  <c r="H27" i="284"/>
  <c r="H29" i="284"/>
  <c r="U29" i="281"/>
  <c r="U27" i="281"/>
  <c r="W29" i="290"/>
  <c r="W27" i="290"/>
  <c r="N15" i="274"/>
  <c r="N14" i="274"/>
  <c r="N32" i="274"/>
  <c r="N18" i="274"/>
  <c r="W14" i="284"/>
  <c r="W15" i="284"/>
  <c r="W31" i="284"/>
  <c r="W19" i="284"/>
  <c r="W25" i="284"/>
  <c r="W32" i="284"/>
  <c r="W18" i="284"/>
  <c r="Q27" i="279"/>
  <c r="Q29" i="279"/>
  <c r="O27" i="276"/>
  <c r="O29" i="276"/>
  <c r="U29" i="279"/>
  <c r="U27" i="279"/>
  <c r="L29" i="281"/>
  <c r="L27" i="281"/>
  <c r="V27" i="274"/>
  <c r="U29" i="288"/>
  <c r="U27" i="288"/>
  <c r="H27" i="291"/>
  <c r="H29" i="291"/>
  <c r="K29" i="274"/>
  <c r="K27" i="274"/>
  <c r="V29" i="281"/>
  <c r="V27" i="281"/>
  <c r="T29" i="281"/>
  <c r="T27" i="281"/>
  <c r="W15" i="286"/>
  <c r="W14" i="286"/>
  <c r="W25" i="286"/>
  <c r="W31" i="286"/>
  <c r="W32" i="286"/>
  <c r="W18" i="286"/>
  <c r="T29" i="286"/>
  <c r="T27" i="286"/>
  <c r="U27" i="276"/>
  <c r="U29" i="276"/>
  <c r="B17" i="284"/>
  <c r="D17" i="284" s="1"/>
  <c r="L15" i="276"/>
  <c r="L32" i="276"/>
  <c r="L14" i="276"/>
  <c r="L25" i="276"/>
  <c r="L18" i="276"/>
  <c r="L19" i="276"/>
  <c r="W27" i="274"/>
  <c r="S29" i="276"/>
  <c r="S27" i="276"/>
  <c r="V29" i="279"/>
  <c r="V27" i="279"/>
  <c r="R27" i="290"/>
  <c r="R29" i="290"/>
  <c r="J27" i="291"/>
  <c r="J29" i="291"/>
  <c r="M29" i="274"/>
  <c r="M27" i="274"/>
  <c r="U27" i="291"/>
  <c r="U29" i="291"/>
  <c r="V29" i="274"/>
  <c r="L29" i="290"/>
  <c r="L27" i="290"/>
  <c r="N13" i="279"/>
  <c r="P29" i="281"/>
  <c r="P27" i="281"/>
  <c r="I29" i="288"/>
  <c r="I27" i="288"/>
  <c r="G31" i="284"/>
  <c r="G25" i="284"/>
  <c r="G19" i="284"/>
  <c r="G14" i="284"/>
  <c r="G15" i="284"/>
  <c r="G32" i="284"/>
  <c r="G18" i="284"/>
  <c r="X25" i="286"/>
  <c r="X31" i="286"/>
  <c r="X19" i="286"/>
  <c r="X14" i="286"/>
  <c r="X15" i="286"/>
  <c r="X32" i="286"/>
  <c r="X18" i="286"/>
  <c r="U27" i="284"/>
  <c r="U29" i="284"/>
  <c r="E13" i="281"/>
  <c r="F21" i="279"/>
  <c r="B21" i="279" s="1"/>
  <c r="D21" i="279" s="1"/>
  <c r="B17" i="279"/>
  <c r="D17" i="279" s="1"/>
  <c r="T29" i="276"/>
  <c r="T27" i="276"/>
  <c r="B21" i="284"/>
  <c r="D21" i="284" s="1"/>
  <c r="N29" i="288"/>
  <c r="N27" i="288"/>
  <c r="W29" i="274"/>
  <c r="P27" i="276"/>
  <c r="P29" i="276"/>
  <c r="P29" i="286"/>
  <c r="P27" i="286"/>
  <c r="X13" i="290"/>
  <c r="V27" i="286"/>
  <c r="V29" i="286"/>
  <c r="M29" i="291"/>
  <c r="M27" i="291"/>
  <c r="T27" i="291"/>
  <c r="T29" i="291"/>
  <c r="I27" i="279"/>
  <c r="I29" i="279"/>
  <c r="H29" i="286"/>
  <c r="H27" i="286"/>
  <c r="L29" i="288"/>
  <c r="L27" i="288"/>
  <c r="Q27" i="281"/>
  <c r="Q29" i="281"/>
  <c r="K29" i="290"/>
  <c r="K27" i="290"/>
  <c r="I27" i="286"/>
  <c r="I29" i="286"/>
  <c r="T29" i="288"/>
  <c r="T27" i="288"/>
  <c r="L22" i="281"/>
  <c r="L10" i="281"/>
  <c r="L11" i="281" s="1"/>
  <c r="L13" i="281" s="1"/>
  <c r="L34" i="281"/>
  <c r="L20" i="281"/>
  <c r="L26" i="281"/>
  <c r="M7" i="281"/>
  <c r="F21" i="281"/>
  <c r="B21" i="281" s="1"/>
  <c r="D21" i="281" s="1"/>
  <c r="B17" i="281"/>
  <c r="D17" i="281" s="1"/>
  <c r="R29" i="286"/>
  <c r="R27" i="286"/>
  <c r="N29" i="290"/>
  <c r="N27" i="290"/>
  <c r="W14" i="288"/>
  <c r="W31" i="288"/>
  <c r="W25" i="288"/>
  <c r="W19" i="288"/>
  <c r="W15" i="288"/>
  <c r="W32" i="288"/>
  <c r="W18" i="288"/>
  <c r="X27" i="279"/>
  <c r="X29" i="279"/>
  <c r="O26" i="290"/>
  <c r="O10" i="290"/>
  <c r="O11" i="290" s="1"/>
  <c r="O34" i="290"/>
  <c r="O20" i="290"/>
  <c r="O22" i="290"/>
  <c r="P7" i="290"/>
  <c r="N27" i="274"/>
  <c r="N29" i="274"/>
  <c r="V13" i="284"/>
  <c r="F27" i="281"/>
  <c r="F29" i="281"/>
  <c r="L13" i="290"/>
  <c r="O27" i="290"/>
  <c r="O29" i="290"/>
  <c r="J27" i="286"/>
  <c r="J29" i="286"/>
  <c r="Q29" i="286"/>
  <c r="Q27" i="286"/>
  <c r="J31" i="276"/>
  <c r="J14" i="276"/>
  <c r="J25" i="276"/>
  <c r="J18" i="276"/>
  <c r="J19" i="276"/>
  <c r="J32" i="276"/>
  <c r="J15" i="276"/>
  <c r="X31" i="276"/>
  <c r="X15" i="276"/>
  <c r="X32" i="276"/>
  <c r="X14" i="276"/>
  <c r="X25" i="276"/>
  <c r="X18" i="276"/>
  <c r="X19" i="276"/>
  <c r="V27" i="288"/>
  <c r="V29" i="288"/>
  <c r="V27" i="291"/>
  <c r="W27" i="291"/>
  <c r="W29" i="291"/>
  <c r="L22" i="288"/>
  <c r="L10" i="288"/>
  <c r="L11" i="288" s="1"/>
  <c r="L13" i="288" s="1"/>
  <c r="L34" i="288"/>
  <c r="L20" i="288"/>
  <c r="L26" i="288"/>
  <c r="M7" i="288"/>
  <c r="V29" i="290"/>
  <c r="V27" i="290"/>
  <c r="O27" i="291"/>
  <c r="O29" i="291"/>
  <c r="F27" i="291"/>
  <c r="F29" i="291"/>
  <c r="N29" i="291"/>
  <c r="N27" i="291"/>
  <c r="G29" i="284"/>
  <c r="G27" i="284"/>
  <c r="I25" i="279"/>
  <c r="I19" i="279"/>
  <c r="I15" i="279"/>
  <c r="I31" i="279"/>
  <c r="I14" i="279"/>
  <c r="I32" i="279"/>
  <c r="I18" i="279"/>
  <c r="H15" i="291"/>
  <c r="H19" i="291"/>
  <c r="H14" i="291"/>
  <c r="H31" i="291"/>
  <c r="H32" i="291"/>
  <c r="H18" i="291"/>
  <c r="S29" i="291"/>
  <c r="S27" i="291"/>
  <c r="S29" i="279"/>
  <c r="S27" i="279"/>
  <c r="U13" i="286"/>
  <c r="M27" i="288"/>
  <c r="M29" i="288"/>
  <c r="U27" i="290"/>
  <c r="I13" i="284"/>
  <c r="L29" i="291"/>
  <c r="L27" i="291"/>
  <c r="G29" i="286"/>
  <c r="G27" i="286"/>
  <c r="K15" i="290"/>
  <c r="K25" i="290"/>
  <c r="K14" i="290"/>
  <c r="K19" i="290"/>
  <c r="K32" i="290"/>
  <c r="K18" i="290"/>
  <c r="B38" i="291"/>
  <c r="B158" i="237"/>
  <c r="D153" i="237"/>
  <c r="G63" i="289"/>
  <c r="G62" i="287"/>
  <c r="G61" i="285"/>
  <c r="G62" i="283"/>
  <c r="G61" i="280"/>
  <c r="N171" i="267"/>
  <c r="N172" i="267" s="1"/>
  <c r="N173" i="267" s="1"/>
  <c r="N175" i="267" s="1"/>
  <c r="N178" i="267" s="1"/>
  <c r="N179" i="267" s="1"/>
  <c r="J152" i="252"/>
  <c r="C28" i="274"/>
  <c r="T28" i="279"/>
  <c r="U28" i="279"/>
  <c r="G61" i="278"/>
  <c r="C28" i="276"/>
  <c r="K22" i="265"/>
  <c r="K20" i="265"/>
  <c r="J15" i="265"/>
  <c r="I31" i="265"/>
  <c r="I18" i="265"/>
  <c r="I14" i="265"/>
  <c r="I15" i="265"/>
  <c r="I25" i="265"/>
  <c r="I32" i="265"/>
  <c r="I19" i="265"/>
  <c r="I29" i="265"/>
  <c r="I27" i="265"/>
  <c r="H31" i="265"/>
  <c r="H14" i="265"/>
  <c r="H18" i="265"/>
  <c r="H19" i="265"/>
  <c r="H32" i="265"/>
  <c r="H15" i="265"/>
  <c r="H25" i="265"/>
  <c r="K26" i="265"/>
  <c r="K40" i="265"/>
  <c r="K17" i="265"/>
  <c r="K21" i="265" s="1"/>
  <c r="L23" i="265"/>
  <c r="L16" i="265"/>
  <c r="L30" i="265"/>
  <c r="L24" i="265"/>
  <c r="L28" i="265"/>
  <c r="B158" i="262"/>
  <c r="F11" i="140"/>
  <c r="D152" i="237"/>
  <c r="B167" i="252"/>
  <c r="B174" i="252" s="1"/>
  <c r="B171" i="267"/>
  <c r="B171" i="254"/>
  <c r="D6" i="254" s="1"/>
  <c r="B172" i="250"/>
  <c r="B173" i="250" s="1"/>
  <c r="B177" i="250" s="1"/>
  <c r="B167" i="258"/>
  <c r="B174" i="258" s="1"/>
  <c r="B172" i="262"/>
  <c r="B173" i="262" s="1"/>
  <c r="B177" i="262" s="1"/>
  <c r="B172" i="237"/>
  <c r="B173" i="237" s="1"/>
  <c r="B177" i="237" s="1"/>
  <c r="G61" i="273"/>
  <c r="F25" i="140"/>
  <c r="C31" i="265"/>
  <c r="C36" i="265" s="1"/>
  <c r="K10" i="265"/>
  <c r="K11" i="265" s="1"/>
  <c r="C154" i="258"/>
  <c r="B158" i="258" s="1"/>
  <c r="C154" i="267"/>
  <c r="B158" i="267" s="1"/>
  <c r="C154" i="254"/>
  <c r="B157" i="254" s="1"/>
  <c r="I154" i="250"/>
  <c r="H158" i="250" s="1"/>
  <c r="P153" i="262"/>
  <c r="P152" i="262"/>
  <c r="D152" i="262"/>
  <c r="D153" i="262"/>
  <c r="J152" i="262"/>
  <c r="J153" i="262"/>
  <c r="C154" i="260"/>
  <c r="J153" i="260"/>
  <c r="J152" i="260"/>
  <c r="N171" i="260"/>
  <c r="N172" i="260" s="1"/>
  <c r="N173" i="260" s="1"/>
  <c r="N177" i="260" s="1"/>
  <c r="P153" i="260"/>
  <c r="P152" i="260"/>
  <c r="H158" i="254"/>
  <c r="H157" i="254"/>
  <c r="B167" i="254"/>
  <c r="B174" i="254" s="1"/>
  <c r="P153" i="254"/>
  <c r="P152" i="254"/>
  <c r="N158" i="252"/>
  <c r="N157" i="252"/>
  <c r="O150" i="250"/>
  <c r="D5" i="248"/>
  <c r="D26" i="248" s="1"/>
  <c r="D17" i="248"/>
  <c r="E15" i="248" s="1"/>
  <c r="B157" i="250"/>
  <c r="J153" i="264"/>
  <c r="J152" i="264"/>
  <c r="P153" i="264"/>
  <c r="P152" i="264"/>
  <c r="C154" i="252"/>
  <c r="P152" i="248"/>
  <c r="P153" i="248"/>
  <c r="N171" i="262"/>
  <c r="N172" i="262" s="1"/>
  <c r="N173" i="262" s="1"/>
  <c r="N177" i="262" s="1"/>
  <c r="N167" i="262"/>
  <c r="N174" i="262" s="1"/>
  <c r="B171" i="248"/>
  <c r="B172" i="248" s="1"/>
  <c r="B173" i="248" s="1"/>
  <c r="B177" i="248" s="1"/>
  <c r="N167" i="248"/>
  <c r="N174" i="248" s="1"/>
  <c r="N171" i="248"/>
  <c r="N172" i="248" s="1"/>
  <c r="N173" i="248" s="1"/>
  <c r="N167" i="252"/>
  <c r="N174" i="252" s="1"/>
  <c r="N175" i="252" s="1"/>
  <c r="N178" i="252" s="1"/>
  <c r="N179" i="252" s="1"/>
  <c r="B171" i="258"/>
  <c r="D6" i="258" s="1"/>
  <c r="D7" i="258" s="1"/>
  <c r="B167" i="267"/>
  <c r="H167" i="260"/>
  <c r="H174" i="260" s="1"/>
  <c r="H175" i="260" s="1"/>
  <c r="H178" i="260" s="1"/>
  <c r="H179" i="260" s="1"/>
  <c r="B171" i="264"/>
  <c r="D6" i="264" s="1"/>
  <c r="N167" i="250"/>
  <c r="N174" i="250" s="1"/>
  <c r="N175" i="250" s="1"/>
  <c r="N178" i="250" s="1"/>
  <c r="N179" i="250" s="1"/>
  <c r="B167" i="264"/>
  <c r="B174" i="260"/>
  <c r="N175" i="258"/>
  <c r="N178" i="258" s="1"/>
  <c r="N179" i="258" s="1"/>
  <c r="H175" i="258"/>
  <c r="H178" i="258" s="1"/>
  <c r="H179" i="258" s="1"/>
  <c r="B174" i="237"/>
  <c r="B24" i="248"/>
  <c r="N177" i="254"/>
  <c r="N175" i="254"/>
  <c r="N178" i="254" s="1"/>
  <c r="N179" i="254" s="1"/>
  <c r="H177" i="254"/>
  <c r="N177" i="252"/>
  <c r="N175" i="237"/>
  <c r="N178" i="237" s="1"/>
  <c r="N179" i="237" s="1"/>
  <c r="N177" i="237"/>
  <c r="H175" i="248"/>
  <c r="H178" i="248" s="1"/>
  <c r="H179" i="248" s="1"/>
  <c r="H177" i="248"/>
  <c r="B18" i="248"/>
  <c r="C25" i="291" s="1"/>
  <c r="J25" i="291" s="1"/>
  <c r="M5" i="265"/>
  <c r="M9" i="265"/>
  <c r="L6" i="265"/>
  <c r="L7" i="265"/>
  <c r="L34" i="265" s="1"/>
  <c r="K41" i="265"/>
  <c r="K12" i="265"/>
  <c r="J8" i="265"/>
  <c r="D7" i="254" l="1"/>
  <c r="AO45" i="284" s="1"/>
  <c r="AO53" i="284" s="1"/>
  <c r="H177" i="252"/>
  <c r="H177" i="250"/>
  <c r="D6" i="250"/>
  <c r="B28" i="286"/>
  <c r="D28" i="286" s="1"/>
  <c r="D152" i="264"/>
  <c r="D6" i="252"/>
  <c r="D7" i="252" s="1"/>
  <c r="D153" i="264"/>
  <c r="E5" i="262"/>
  <c r="B29" i="262"/>
  <c r="AP45" i="284"/>
  <c r="AP53" i="284" s="1"/>
  <c r="D7" i="250"/>
  <c r="B28" i="291"/>
  <c r="D28" i="291" s="1"/>
  <c r="AR45" i="284"/>
  <c r="Y45" i="284"/>
  <c r="Y53" i="284" s="1"/>
  <c r="B28" i="288"/>
  <c r="D28" i="288" s="1"/>
  <c r="AJ45" i="284"/>
  <c r="AJ53" i="284" s="1"/>
  <c r="AA45" i="284"/>
  <c r="AA53" i="284" s="1"/>
  <c r="D7" i="264"/>
  <c r="AM45" i="265" s="1"/>
  <c r="AG45" i="284"/>
  <c r="AG53" i="284" s="1"/>
  <c r="F25" i="291"/>
  <c r="C36" i="274"/>
  <c r="AF45" i="284"/>
  <c r="AF53" i="284" s="1"/>
  <c r="AK45" i="284"/>
  <c r="AK53" i="284" s="1"/>
  <c r="Z45" i="284"/>
  <c r="Z53" i="284" s="1"/>
  <c r="AQ45" i="284"/>
  <c r="AQ53" i="284" s="1"/>
  <c r="AM45" i="284"/>
  <c r="AM53" i="284" s="1"/>
  <c r="AI45" i="284"/>
  <c r="AI53" i="284" s="1"/>
  <c r="D6" i="260"/>
  <c r="D7" i="260" s="1"/>
  <c r="AB45" i="284"/>
  <c r="AB53" i="284" s="1"/>
  <c r="AN45" i="284"/>
  <c r="AN53" i="284" s="1"/>
  <c r="AI45" i="290"/>
  <c r="AI53" i="290" s="1"/>
  <c r="AG20" i="159" s="1"/>
  <c r="AJ45" i="290"/>
  <c r="AJ53" i="290" s="1"/>
  <c r="AH20" i="159" s="1"/>
  <c r="AB45" i="290"/>
  <c r="AB53" i="290" s="1"/>
  <c r="Z20" i="159" s="1"/>
  <c r="AP45" i="290"/>
  <c r="AP53" i="290" s="1"/>
  <c r="AN20" i="159" s="1"/>
  <c r="Y45" i="290"/>
  <c r="AC45" i="290"/>
  <c r="AC53" i="290" s="1"/>
  <c r="AA20" i="159" s="1"/>
  <c r="AF45" i="290"/>
  <c r="AF53" i="290" s="1"/>
  <c r="AD20" i="159" s="1"/>
  <c r="AO45" i="290"/>
  <c r="AO53" i="290" s="1"/>
  <c r="AM20" i="159" s="1"/>
  <c r="AR45" i="290"/>
  <c r="AK45" i="290"/>
  <c r="AK53" i="290" s="1"/>
  <c r="AI20" i="159" s="1"/>
  <c r="AH45" i="290"/>
  <c r="AH53" i="290" s="1"/>
  <c r="AF20" i="159" s="1"/>
  <c r="Z45" i="290"/>
  <c r="Z53" i="290" s="1"/>
  <c r="X20" i="159" s="1"/>
  <c r="AM45" i="290"/>
  <c r="AM53" i="290" s="1"/>
  <c r="AK20" i="159" s="1"/>
  <c r="AN45" i="290"/>
  <c r="AN53" i="290" s="1"/>
  <c r="AL20" i="159" s="1"/>
  <c r="AQ45" i="290"/>
  <c r="AQ53" i="290" s="1"/>
  <c r="AO20" i="159" s="1"/>
  <c r="AE45" i="290"/>
  <c r="AE53" i="290" s="1"/>
  <c r="AC20" i="159" s="1"/>
  <c r="AL45" i="290"/>
  <c r="AL53" i="290" s="1"/>
  <c r="AJ20" i="159" s="1"/>
  <c r="AD45" i="290"/>
  <c r="AD53" i="290" s="1"/>
  <c r="AB20" i="159" s="1"/>
  <c r="AG45" i="290"/>
  <c r="AG53" i="290" s="1"/>
  <c r="AE20" i="159" s="1"/>
  <c r="AA45" i="290"/>
  <c r="AA53" i="290" s="1"/>
  <c r="Y20" i="159" s="1"/>
  <c r="L31" i="274"/>
  <c r="K31" i="274"/>
  <c r="AC45" i="284"/>
  <c r="AC53" i="284" s="1"/>
  <c r="AD45" i="284"/>
  <c r="AD53" i="284" s="1"/>
  <c r="D6" i="267"/>
  <c r="D7" i="267" s="1"/>
  <c r="AE45" i="284"/>
  <c r="AE53" i="284" s="1"/>
  <c r="AL45" i="284"/>
  <c r="AL53" i="284" s="1"/>
  <c r="M31" i="274"/>
  <c r="AH45" i="284"/>
  <c r="AH53" i="284" s="1"/>
  <c r="D6" i="262"/>
  <c r="D7" i="262" s="1"/>
  <c r="H25" i="291"/>
  <c r="X25" i="291"/>
  <c r="L25" i="291"/>
  <c r="C31" i="276"/>
  <c r="M31" i="276" s="1"/>
  <c r="C31" i="284"/>
  <c r="C36" i="284" s="1"/>
  <c r="K25" i="291"/>
  <c r="D14" i="254"/>
  <c r="D26" i="254" s="1"/>
  <c r="C31" i="286"/>
  <c r="C36" i="286" s="1"/>
  <c r="K25" i="274"/>
  <c r="V18" i="288"/>
  <c r="V32" i="288"/>
  <c r="V15" i="288"/>
  <c r="V14" i="288"/>
  <c r="V19" i="288"/>
  <c r="V31" i="288"/>
  <c r="D17" i="264"/>
  <c r="E16" i="264" s="1"/>
  <c r="D26" i="264"/>
  <c r="D15" i="262"/>
  <c r="B38" i="274" s="1"/>
  <c r="D26" i="262"/>
  <c r="B29" i="260"/>
  <c r="E5" i="260"/>
  <c r="D15" i="258"/>
  <c r="B38" i="279" s="1"/>
  <c r="B29" i="258"/>
  <c r="E5" i="258"/>
  <c r="D24" i="258"/>
  <c r="C31" i="279"/>
  <c r="B29" i="267"/>
  <c r="E5" i="267"/>
  <c r="D24" i="267"/>
  <c r="D15" i="267"/>
  <c r="C31" i="281"/>
  <c r="L31" i="281" s="1"/>
  <c r="B29" i="254"/>
  <c r="E5" i="254"/>
  <c r="D24" i="254"/>
  <c r="B29" i="252"/>
  <c r="E5" i="252"/>
  <c r="K14" i="288"/>
  <c r="B24" i="250"/>
  <c r="B28" i="250" s="1"/>
  <c r="F15" i="140" s="1"/>
  <c r="K31" i="290"/>
  <c r="N31" i="290"/>
  <c r="C36" i="290"/>
  <c r="M31" i="290"/>
  <c r="D15" i="237"/>
  <c r="K18" i="291"/>
  <c r="K32" i="291"/>
  <c r="K14" i="291"/>
  <c r="K15" i="291"/>
  <c r="K19" i="291"/>
  <c r="L18" i="291"/>
  <c r="L32" i="291"/>
  <c r="L14" i="291"/>
  <c r="L19" i="291"/>
  <c r="L15" i="291"/>
  <c r="N25" i="274"/>
  <c r="N177" i="267"/>
  <c r="J25" i="265"/>
  <c r="J18" i="265"/>
  <c r="J14" i="265"/>
  <c r="J31" i="265"/>
  <c r="J32" i="265"/>
  <c r="B29" i="291"/>
  <c r="D29" i="291" s="1"/>
  <c r="B29" i="288"/>
  <c r="D29" i="288" s="1"/>
  <c r="B27" i="290"/>
  <c r="D27" i="290" s="1"/>
  <c r="B29" i="290"/>
  <c r="D29" i="290" s="1"/>
  <c r="B27" i="284"/>
  <c r="D27" i="284" s="1"/>
  <c r="B27" i="274"/>
  <c r="D27" i="274" s="1"/>
  <c r="B29" i="284"/>
  <c r="D29" i="284" s="1"/>
  <c r="B29" i="274"/>
  <c r="D29" i="274" s="1"/>
  <c r="I31" i="286"/>
  <c r="I19" i="286"/>
  <c r="I14" i="286"/>
  <c r="I25" i="286"/>
  <c r="I15" i="286"/>
  <c r="I32" i="286"/>
  <c r="I18" i="286"/>
  <c r="L25" i="281"/>
  <c r="L15" i="281"/>
  <c r="L14" i="281"/>
  <c r="L19" i="281"/>
  <c r="L32" i="281"/>
  <c r="L18" i="281"/>
  <c r="B27" i="279"/>
  <c r="D27" i="279" s="1"/>
  <c r="B27" i="276"/>
  <c r="D27" i="276" s="1"/>
  <c r="O13" i="290"/>
  <c r="B29" i="279"/>
  <c r="D29" i="279" s="1"/>
  <c r="I15" i="291"/>
  <c r="I14" i="291"/>
  <c r="I19" i="291"/>
  <c r="I31" i="291"/>
  <c r="I25" i="291"/>
  <c r="I32" i="291"/>
  <c r="I18" i="291"/>
  <c r="M15" i="276"/>
  <c r="M32" i="276"/>
  <c r="M14" i="276"/>
  <c r="M25" i="276"/>
  <c r="M18" i="276"/>
  <c r="M19" i="276"/>
  <c r="L14" i="290"/>
  <c r="L19" i="290"/>
  <c r="L15" i="290"/>
  <c r="L25" i="290"/>
  <c r="L32" i="290"/>
  <c r="L18" i="290"/>
  <c r="L31" i="290"/>
  <c r="L14" i="286"/>
  <c r="L15" i="286"/>
  <c r="L19" i="286"/>
  <c r="L25" i="286"/>
  <c r="L32" i="286"/>
  <c r="L18" i="286"/>
  <c r="O13" i="274"/>
  <c r="N22" i="284"/>
  <c r="N10" i="284"/>
  <c r="N11" i="284" s="1"/>
  <c r="N34" i="284"/>
  <c r="N26" i="284"/>
  <c r="N20" i="284"/>
  <c r="O7" i="284"/>
  <c r="O13" i="279"/>
  <c r="P26" i="274"/>
  <c r="P10" i="274"/>
  <c r="P11" i="274" s="1"/>
  <c r="P13" i="274" s="1"/>
  <c r="P34" i="274"/>
  <c r="P20" i="274"/>
  <c r="P22" i="274"/>
  <c r="Q7" i="274"/>
  <c r="M20" i="288"/>
  <c r="M10" i="288"/>
  <c r="M11" i="288" s="1"/>
  <c r="M34" i="288"/>
  <c r="M26" i="288"/>
  <c r="M22" i="288"/>
  <c r="N7" i="288"/>
  <c r="B29" i="281"/>
  <c r="D29" i="281" s="1"/>
  <c r="H19" i="288"/>
  <c r="H31" i="288"/>
  <c r="H25" i="288"/>
  <c r="H15" i="288"/>
  <c r="H14" i="288"/>
  <c r="H32" i="288"/>
  <c r="H18" i="288"/>
  <c r="B29" i="276"/>
  <c r="D29" i="276" s="1"/>
  <c r="I14" i="284"/>
  <c r="I15" i="284"/>
  <c r="I19" i="284"/>
  <c r="I31" i="284"/>
  <c r="I25" i="284"/>
  <c r="I32" i="284"/>
  <c r="I18" i="284"/>
  <c r="B27" i="281"/>
  <c r="D27" i="281" s="1"/>
  <c r="V25" i="279"/>
  <c r="V19" i="279"/>
  <c r="V14" i="279"/>
  <c r="V15" i="279"/>
  <c r="V31" i="279"/>
  <c r="V32" i="279"/>
  <c r="V18" i="279"/>
  <c r="B29" i="286"/>
  <c r="D29" i="286" s="1"/>
  <c r="N20" i="291"/>
  <c r="N10" i="291"/>
  <c r="N11" i="291" s="1"/>
  <c r="N34" i="291"/>
  <c r="N22" i="291"/>
  <c r="N26" i="291"/>
  <c r="O7" i="291"/>
  <c r="B27" i="291"/>
  <c r="D27" i="291" s="1"/>
  <c r="V19" i="284"/>
  <c r="V14" i="284"/>
  <c r="V31" i="284"/>
  <c r="V15" i="284"/>
  <c r="V25" i="284"/>
  <c r="V32" i="284"/>
  <c r="V18" i="284"/>
  <c r="X14" i="290"/>
  <c r="X15" i="290"/>
  <c r="X25" i="290"/>
  <c r="X31" i="290"/>
  <c r="X19" i="290"/>
  <c r="X32" i="290"/>
  <c r="X18" i="290"/>
  <c r="N19" i="279"/>
  <c r="N14" i="279"/>
  <c r="N15" i="279"/>
  <c r="N25" i="279"/>
  <c r="N32" i="279"/>
  <c r="N18" i="279"/>
  <c r="B27" i="286"/>
  <c r="D27" i="286" s="1"/>
  <c r="P20" i="279"/>
  <c r="P10" i="279"/>
  <c r="P11" i="279" s="1"/>
  <c r="P13" i="279" s="1"/>
  <c r="P34" i="279"/>
  <c r="P26" i="279"/>
  <c r="P22" i="279"/>
  <c r="Q7" i="279"/>
  <c r="I31" i="276"/>
  <c r="I32" i="276"/>
  <c r="I14" i="276"/>
  <c r="I25" i="276"/>
  <c r="I18" i="276"/>
  <c r="I19" i="276"/>
  <c r="I15" i="276"/>
  <c r="N10" i="286"/>
  <c r="N11" i="286" s="1"/>
  <c r="N13" i="286" s="1"/>
  <c r="N34" i="286"/>
  <c r="N20" i="286"/>
  <c r="N22" i="286"/>
  <c r="N26" i="286"/>
  <c r="O7" i="286"/>
  <c r="I15" i="288"/>
  <c r="I14" i="288"/>
  <c r="I19" i="288"/>
  <c r="I25" i="288"/>
  <c r="I31" i="288"/>
  <c r="I32" i="288"/>
  <c r="I18" i="288"/>
  <c r="B27" i="288"/>
  <c r="D27" i="288" s="1"/>
  <c r="G31" i="291"/>
  <c r="G14" i="291"/>
  <c r="G19" i="291"/>
  <c r="G15" i="291"/>
  <c r="G25" i="291"/>
  <c r="G32" i="291"/>
  <c r="G18" i="291"/>
  <c r="M19" i="284"/>
  <c r="M25" i="284"/>
  <c r="M15" i="284"/>
  <c r="M14" i="284"/>
  <c r="M32" i="284"/>
  <c r="M18" i="284"/>
  <c r="M14" i="286"/>
  <c r="M25" i="286"/>
  <c r="M19" i="286"/>
  <c r="M15" i="286"/>
  <c r="M32" i="286"/>
  <c r="M18" i="286"/>
  <c r="L14" i="288"/>
  <c r="L19" i="288"/>
  <c r="L25" i="288"/>
  <c r="L15" i="288"/>
  <c r="L32" i="288"/>
  <c r="L18" i="288"/>
  <c r="M20" i="281"/>
  <c r="M10" i="281"/>
  <c r="M11" i="281" s="1"/>
  <c r="M34" i="281"/>
  <c r="M22" i="281"/>
  <c r="M26" i="281"/>
  <c r="N7" i="281"/>
  <c r="X25" i="279"/>
  <c r="X19" i="279"/>
  <c r="X31" i="279"/>
  <c r="X15" i="279"/>
  <c r="X14" i="279"/>
  <c r="X32" i="279"/>
  <c r="X18" i="279"/>
  <c r="N10" i="276"/>
  <c r="N11" i="276" s="1"/>
  <c r="N13" i="276" s="1"/>
  <c r="N34" i="276"/>
  <c r="N26" i="276"/>
  <c r="N22" i="276"/>
  <c r="N20" i="276"/>
  <c r="O7" i="276"/>
  <c r="U31" i="286"/>
  <c r="U14" i="286"/>
  <c r="U25" i="286"/>
  <c r="U15" i="286"/>
  <c r="U19" i="286"/>
  <c r="U32" i="286"/>
  <c r="U18" i="286"/>
  <c r="P26" i="290"/>
  <c r="P10" i="290"/>
  <c r="P11" i="290" s="1"/>
  <c r="P13" i="290" s="1"/>
  <c r="P34" i="290"/>
  <c r="P22" i="290"/>
  <c r="P20" i="290"/>
  <c r="Q7" i="290"/>
  <c r="G19" i="286"/>
  <c r="G31" i="286"/>
  <c r="G15" i="286"/>
  <c r="G14" i="286"/>
  <c r="G25" i="286"/>
  <c r="G32" i="286"/>
  <c r="G18" i="286"/>
  <c r="M13" i="291"/>
  <c r="B28" i="279"/>
  <c r="D28" i="279" s="1"/>
  <c r="C31" i="291"/>
  <c r="G64" i="289"/>
  <c r="G63" i="287"/>
  <c r="B157" i="252"/>
  <c r="D14" i="252" s="1"/>
  <c r="B158" i="252"/>
  <c r="G62" i="285"/>
  <c r="B158" i="254"/>
  <c r="G63" i="283"/>
  <c r="F19" i="140"/>
  <c r="B157" i="267"/>
  <c r="D14" i="267" s="1"/>
  <c r="G62" i="280"/>
  <c r="B175" i="237"/>
  <c r="D10" i="237" s="1"/>
  <c r="F20" i="140"/>
  <c r="W28" i="274"/>
  <c r="X28" i="274"/>
  <c r="B175" i="262"/>
  <c r="B178" i="262" s="1"/>
  <c r="B179" i="262" s="1"/>
  <c r="N175" i="260"/>
  <c r="N178" i="260" s="1"/>
  <c r="N179" i="260" s="1"/>
  <c r="O154" i="250"/>
  <c r="N158" i="250" s="1"/>
  <c r="D15" i="250" s="1"/>
  <c r="G62" i="278"/>
  <c r="W28" i="276"/>
  <c r="X28" i="276"/>
  <c r="B175" i="260"/>
  <c r="M23" i="265"/>
  <c r="M16" i="265"/>
  <c r="M24" i="265"/>
  <c r="M30" i="265"/>
  <c r="M28" i="265"/>
  <c r="J27" i="265"/>
  <c r="J29" i="265"/>
  <c r="L26" i="265"/>
  <c r="L20" i="265"/>
  <c r="L40" i="265"/>
  <c r="L17" i="265"/>
  <c r="L21" i="265" s="1"/>
  <c r="L22" i="265"/>
  <c r="F24" i="140"/>
  <c r="H157" i="250"/>
  <c r="J153" i="250" s="1"/>
  <c r="B172" i="267"/>
  <c r="B173" i="267" s="1"/>
  <c r="B177" i="267" s="1"/>
  <c r="F22" i="140"/>
  <c r="B172" i="252"/>
  <c r="B173" i="252" s="1"/>
  <c r="B177" i="252" s="1"/>
  <c r="B175" i="250"/>
  <c r="D10" i="250" s="1"/>
  <c r="E15" i="140" s="1"/>
  <c r="B172" i="254"/>
  <c r="B173" i="254" s="1"/>
  <c r="B177" i="254" s="1"/>
  <c r="B172" i="258"/>
  <c r="B173" i="258" s="1"/>
  <c r="B177" i="258" s="1"/>
  <c r="N175" i="248"/>
  <c r="N178" i="248" s="1"/>
  <c r="N179" i="248" s="1"/>
  <c r="B172" i="264"/>
  <c r="B173" i="264" s="1"/>
  <c r="B177" i="264" s="1"/>
  <c r="K13" i="265"/>
  <c r="G62" i="273"/>
  <c r="L10" i="265"/>
  <c r="L11" i="265" s="1"/>
  <c r="B157" i="258"/>
  <c r="D14" i="258" s="1"/>
  <c r="B158" i="260"/>
  <c r="D15" i="260" s="1"/>
  <c r="B157" i="260"/>
  <c r="D14" i="260" s="1"/>
  <c r="D153" i="254"/>
  <c r="D152" i="254"/>
  <c r="J152" i="254"/>
  <c r="J153" i="254"/>
  <c r="P153" i="252"/>
  <c r="P152" i="252"/>
  <c r="N177" i="248"/>
  <c r="B175" i="248"/>
  <c r="B178" i="248" s="1"/>
  <c r="B179" i="248" s="1"/>
  <c r="D152" i="250"/>
  <c r="D153" i="250"/>
  <c r="B28" i="248"/>
  <c r="F10" i="140" s="1"/>
  <c r="N175" i="262"/>
  <c r="N178" i="262" s="1"/>
  <c r="N179" i="262" s="1"/>
  <c r="B174" i="267"/>
  <c r="D6" i="248"/>
  <c r="D7" i="248" s="1"/>
  <c r="B174" i="264"/>
  <c r="K8" i="265"/>
  <c r="L41" i="265"/>
  <c r="L12" i="265"/>
  <c r="N5" i="265"/>
  <c r="N9" i="265"/>
  <c r="M6" i="265"/>
  <c r="M7" i="265"/>
  <c r="M34" i="265" s="1"/>
  <c r="D25" i="237" l="1"/>
  <c r="E11" i="140"/>
  <c r="E15" i="264"/>
  <c r="D17" i="262"/>
  <c r="E16" i="262" s="1"/>
  <c r="L31" i="284"/>
  <c r="M31" i="284"/>
  <c r="K31" i="284"/>
  <c r="B45" i="284"/>
  <c r="C36" i="276"/>
  <c r="D18" i="264"/>
  <c r="B45" i="290"/>
  <c r="Y53" i="290"/>
  <c r="W20" i="159" s="1"/>
  <c r="M31" i="286"/>
  <c r="B178" i="260"/>
  <c r="B179" i="260" s="1"/>
  <c r="D10" i="260"/>
  <c r="L31" i="286"/>
  <c r="D10" i="262"/>
  <c r="E24" i="140" s="1"/>
  <c r="K31" i="286"/>
  <c r="E14" i="264"/>
  <c r="L31" i="276"/>
  <c r="K31" i="276"/>
  <c r="D17" i="260"/>
  <c r="E16" i="260" s="1"/>
  <c r="D26" i="260"/>
  <c r="C36" i="279"/>
  <c r="K31" i="279"/>
  <c r="L31" i="279"/>
  <c r="M31" i="279"/>
  <c r="N31" i="279"/>
  <c r="D17" i="258"/>
  <c r="E16" i="258" s="1"/>
  <c r="D26" i="258"/>
  <c r="D17" i="267"/>
  <c r="E16" i="267" s="1"/>
  <c r="D26" i="267"/>
  <c r="C36" i="281"/>
  <c r="K31" i="281"/>
  <c r="B38" i="281"/>
  <c r="D15" i="254"/>
  <c r="D15" i="252"/>
  <c r="D17" i="252" s="1"/>
  <c r="D26" i="252"/>
  <c r="B29" i="250"/>
  <c r="D25" i="250"/>
  <c r="E5" i="250"/>
  <c r="D24" i="250"/>
  <c r="B38" i="288"/>
  <c r="C31" i="288"/>
  <c r="D17" i="237"/>
  <c r="B38" i="290"/>
  <c r="B49" i="290"/>
  <c r="AR49" i="290" s="1"/>
  <c r="AR53" i="290" s="1"/>
  <c r="E4" i="289"/>
  <c r="B178" i="237"/>
  <c r="B179" i="237" s="1"/>
  <c r="B175" i="258"/>
  <c r="B28" i="276"/>
  <c r="D28" i="276" s="1"/>
  <c r="P19" i="274"/>
  <c r="P14" i="274"/>
  <c r="P25" i="274"/>
  <c r="P15" i="274"/>
  <c r="P32" i="274"/>
  <c r="P18" i="274"/>
  <c r="P31" i="274"/>
  <c r="D152" i="267"/>
  <c r="Q20" i="279"/>
  <c r="Q10" i="279"/>
  <c r="Q11" i="279" s="1"/>
  <c r="Q13" i="279" s="1"/>
  <c r="Q34" i="279"/>
  <c r="Q22" i="279"/>
  <c r="Q26" i="279"/>
  <c r="R7" i="279"/>
  <c r="M13" i="288"/>
  <c r="O26" i="286"/>
  <c r="O10" i="286"/>
  <c r="O11" i="286" s="1"/>
  <c r="O34" i="286"/>
  <c r="O20" i="286"/>
  <c r="O22" i="286"/>
  <c r="P7" i="286"/>
  <c r="D153" i="267"/>
  <c r="N26" i="281"/>
  <c r="N10" i="281"/>
  <c r="N11" i="281" s="1"/>
  <c r="N13" i="281" s="1"/>
  <c r="N34" i="281"/>
  <c r="N20" i="281"/>
  <c r="N22" i="281"/>
  <c r="O7" i="281"/>
  <c r="N14" i="286"/>
  <c r="N25" i="286"/>
  <c r="N19" i="286"/>
  <c r="N15" i="286"/>
  <c r="N32" i="286"/>
  <c r="N18" i="286"/>
  <c r="O22" i="291"/>
  <c r="O10" i="291"/>
  <c r="O11" i="291" s="1"/>
  <c r="O34" i="291"/>
  <c r="O26" i="291"/>
  <c r="O20" i="291"/>
  <c r="P7" i="291"/>
  <c r="O14" i="279"/>
  <c r="O15" i="279"/>
  <c r="O25" i="279"/>
  <c r="O19" i="279"/>
  <c r="O32" i="279"/>
  <c r="O18" i="279"/>
  <c r="O31" i="279"/>
  <c r="J152" i="250"/>
  <c r="M14" i="291"/>
  <c r="M25" i="291"/>
  <c r="M19" i="291"/>
  <c r="M15" i="291"/>
  <c r="M32" i="291"/>
  <c r="M18" i="291"/>
  <c r="Q20" i="290"/>
  <c r="Q10" i="290"/>
  <c r="Q11" i="290" s="1"/>
  <c r="Q13" i="290" s="1"/>
  <c r="Q34" i="290"/>
  <c r="Q22" i="290"/>
  <c r="Q26" i="290"/>
  <c r="R7" i="290"/>
  <c r="O26" i="284"/>
  <c r="O10" i="284"/>
  <c r="O11" i="284" s="1"/>
  <c r="O13" i="284" s="1"/>
  <c r="O34" i="284"/>
  <c r="O22" i="284"/>
  <c r="O20" i="284"/>
  <c r="P7" i="284"/>
  <c r="N15" i="276"/>
  <c r="N32" i="276"/>
  <c r="N14" i="276"/>
  <c r="N25" i="276"/>
  <c r="N18" i="276"/>
  <c r="N19" i="276"/>
  <c r="N31" i="276"/>
  <c r="P19" i="279"/>
  <c r="P25" i="279"/>
  <c r="P15" i="279"/>
  <c r="P14" i="279"/>
  <c r="P32" i="279"/>
  <c r="P18" i="279"/>
  <c r="P31" i="279"/>
  <c r="N26" i="288"/>
  <c r="N10" i="288"/>
  <c r="N11" i="288" s="1"/>
  <c r="N13" i="288" s="1"/>
  <c r="N34" i="288"/>
  <c r="N20" i="288"/>
  <c r="N22" i="288"/>
  <c r="O7" i="288"/>
  <c r="O25" i="290"/>
  <c r="O19" i="290"/>
  <c r="O15" i="290"/>
  <c r="O14" i="290"/>
  <c r="O32" i="290"/>
  <c r="O18" i="290"/>
  <c r="O31" i="290"/>
  <c r="O14" i="274"/>
  <c r="O19" i="274"/>
  <c r="O25" i="274"/>
  <c r="O15" i="274"/>
  <c r="O32" i="274"/>
  <c r="O18" i="274"/>
  <c r="O31" i="274"/>
  <c r="O10" i="276"/>
  <c r="O11" i="276" s="1"/>
  <c r="O34" i="276"/>
  <c r="O26" i="276"/>
  <c r="O20" i="276"/>
  <c r="O22" i="276"/>
  <c r="P7" i="276"/>
  <c r="M13" i="281"/>
  <c r="N13" i="291"/>
  <c r="Q20" i="274"/>
  <c r="Q10" i="274"/>
  <c r="Q11" i="274" s="1"/>
  <c r="Q34" i="274"/>
  <c r="Q22" i="274"/>
  <c r="Q26" i="274"/>
  <c r="R7" i="274"/>
  <c r="N31" i="286"/>
  <c r="P19" i="290"/>
  <c r="P15" i="290"/>
  <c r="P14" i="290"/>
  <c r="P25" i="290"/>
  <c r="P32" i="290"/>
  <c r="P18" i="290"/>
  <c r="P31" i="290"/>
  <c r="N13" i="284"/>
  <c r="B28" i="274"/>
  <c r="D28" i="274" s="1"/>
  <c r="C36" i="291"/>
  <c r="L31" i="291"/>
  <c r="K31" i="291"/>
  <c r="M31" i="291"/>
  <c r="J64" i="289"/>
  <c r="G65" i="289"/>
  <c r="AK45" i="288"/>
  <c r="AK53" i="288" s="1"/>
  <c r="Y45" i="288"/>
  <c r="AD45" i="288"/>
  <c r="Z45" i="288"/>
  <c r="AJ45" i="288"/>
  <c r="AJ53" i="288" s="1"/>
  <c r="AI45" i="288"/>
  <c r="AC45" i="288"/>
  <c r="AA45" i="288"/>
  <c r="AH45" i="288"/>
  <c r="AH53" i="288" s="1"/>
  <c r="AG45" i="288"/>
  <c r="AR45" i="288"/>
  <c r="AF45" i="288"/>
  <c r="AF53" i="288" s="1"/>
  <c r="AP45" i="288"/>
  <c r="AP53" i="288" s="1"/>
  <c r="AO45" i="288"/>
  <c r="AO53" i="288" s="1"/>
  <c r="AN45" i="288"/>
  <c r="AN53" i="288" s="1"/>
  <c r="AQ45" i="288"/>
  <c r="AQ53" i="288" s="1"/>
  <c r="AE45" i="288"/>
  <c r="AB45" i="288"/>
  <c r="AM45" i="288"/>
  <c r="AM53" i="288" s="1"/>
  <c r="AL45" i="288"/>
  <c r="AL53" i="288" s="1"/>
  <c r="G64" i="287"/>
  <c r="AH45" i="286"/>
  <c r="AG45" i="286"/>
  <c r="AM45" i="286"/>
  <c r="AM53" i="286" s="1"/>
  <c r="AR45" i="286"/>
  <c r="AF45" i="286"/>
  <c r="AF53" i="286" s="1"/>
  <c r="AC45" i="286"/>
  <c r="AA45" i="286"/>
  <c r="Y45" i="286"/>
  <c r="AQ45" i="286"/>
  <c r="AQ53" i="286" s="1"/>
  <c r="AE45" i="286"/>
  <c r="AE53" i="286" s="1"/>
  <c r="AB45" i="286"/>
  <c r="Z45" i="286"/>
  <c r="AP45" i="286"/>
  <c r="AP53" i="286" s="1"/>
  <c r="AD45" i="286"/>
  <c r="AO45" i="286"/>
  <c r="AO53" i="286" s="1"/>
  <c r="AN45" i="286"/>
  <c r="AN53" i="286" s="1"/>
  <c r="AL45" i="286"/>
  <c r="AL53" i="286" s="1"/>
  <c r="AK45" i="286"/>
  <c r="AK53" i="286" s="1"/>
  <c r="AJ45" i="286"/>
  <c r="AJ53" i="286" s="1"/>
  <c r="AI45" i="286"/>
  <c r="AI53" i="286" s="1"/>
  <c r="G63" i="285"/>
  <c r="G64" i="283"/>
  <c r="AO45" i="281"/>
  <c r="AO53" i="281" s="1"/>
  <c r="AC45" i="281"/>
  <c r="AN45" i="281"/>
  <c r="AN53" i="281" s="1"/>
  <c r="AB45" i="281"/>
  <c r="AL45" i="281"/>
  <c r="AL53" i="281" s="1"/>
  <c r="Z45" i="281"/>
  <c r="Z53" i="281" s="1"/>
  <c r="AK45" i="281"/>
  <c r="AK53" i="281" s="1"/>
  <c r="Y45" i="281"/>
  <c r="AJ45" i="281"/>
  <c r="AJ53" i="281" s="1"/>
  <c r="AI45" i="281"/>
  <c r="AI53" i="281" s="1"/>
  <c r="AH45" i="281"/>
  <c r="AH53" i="281" s="1"/>
  <c r="AG45" i="281"/>
  <c r="AR45" i="281"/>
  <c r="AE45" i="281"/>
  <c r="AE53" i="281" s="1"/>
  <c r="AP45" i="281"/>
  <c r="AP53" i="281" s="1"/>
  <c r="BD44" i="159" s="1"/>
  <c r="AM45" i="281"/>
  <c r="AM53" i="281" s="1"/>
  <c r="AA45" i="281"/>
  <c r="AF45" i="281"/>
  <c r="AF53" i="281" s="1"/>
  <c r="AQ45" i="281"/>
  <c r="AQ53" i="281" s="1"/>
  <c r="BE44" i="159" s="1"/>
  <c r="AD45" i="281"/>
  <c r="G63" i="280"/>
  <c r="B175" i="267"/>
  <c r="D152" i="258"/>
  <c r="N157" i="250"/>
  <c r="D14" i="250" s="1"/>
  <c r="B175" i="264"/>
  <c r="D10" i="248"/>
  <c r="B175" i="252"/>
  <c r="AJ45" i="279"/>
  <c r="AJ53" i="279" s="1"/>
  <c r="AH45" i="279"/>
  <c r="AG45" i="279"/>
  <c r="AQ45" i="279"/>
  <c r="AQ53" i="279" s="1"/>
  <c r="AD45" i="279"/>
  <c r="AD53" i="279" s="1"/>
  <c r="AO45" i="279"/>
  <c r="AO53" i="279" s="1"/>
  <c r="AN45" i="279"/>
  <c r="AN53" i="279" s="1"/>
  <c r="AB45" i="279"/>
  <c r="AM45" i="279"/>
  <c r="AM53" i="279" s="1"/>
  <c r="AL45" i="279"/>
  <c r="AL53" i="279" s="1"/>
  <c r="AK45" i="279"/>
  <c r="AK53" i="279" s="1"/>
  <c r="AI45" i="279"/>
  <c r="AI53" i="279" s="1"/>
  <c r="AR45" i="279"/>
  <c r="AF45" i="279"/>
  <c r="AF53" i="279" s="1"/>
  <c r="AE45" i="279"/>
  <c r="AE53" i="279" s="1"/>
  <c r="AP45" i="279"/>
  <c r="AP53" i="279" s="1"/>
  <c r="AC45" i="279"/>
  <c r="AA45" i="279"/>
  <c r="Z45" i="279"/>
  <c r="Y45" i="279"/>
  <c r="G63" i="278"/>
  <c r="Y45" i="276"/>
  <c r="AP45" i="276"/>
  <c r="AP53" i="276" s="1"/>
  <c r="AM45" i="276"/>
  <c r="AM53" i="276" s="1"/>
  <c r="AK45" i="276"/>
  <c r="AK53" i="276" s="1"/>
  <c r="AO45" i="276"/>
  <c r="AO53" i="276" s="1"/>
  <c r="AD45" i="276"/>
  <c r="AD53" i="276" s="1"/>
  <c r="AF45" i="276"/>
  <c r="AF53" i="276" s="1"/>
  <c r="AH45" i="276"/>
  <c r="AH53" i="276" s="1"/>
  <c r="AA45" i="276"/>
  <c r="AA53" i="276" s="1"/>
  <c r="AE45" i="276"/>
  <c r="AE53" i="276" s="1"/>
  <c r="AR45" i="276"/>
  <c r="AQ45" i="276"/>
  <c r="AQ53" i="276" s="1"/>
  <c r="Z45" i="276"/>
  <c r="Z53" i="276" s="1"/>
  <c r="AC45" i="276"/>
  <c r="AC53" i="276" s="1"/>
  <c r="AI45" i="276"/>
  <c r="AI53" i="276" s="1"/>
  <c r="AL45" i="276"/>
  <c r="AL53" i="276" s="1"/>
  <c r="AJ45" i="276"/>
  <c r="AJ53" i="276" s="1"/>
  <c r="AB45" i="276"/>
  <c r="AB53" i="276" s="1"/>
  <c r="AG45" i="276"/>
  <c r="AG53" i="276" s="1"/>
  <c r="AN45" i="276"/>
  <c r="AN53" i="276" s="1"/>
  <c r="B38" i="276"/>
  <c r="AK45" i="274"/>
  <c r="AK53" i="274" s="1"/>
  <c r="Y45" i="274"/>
  <c r="AJ45" i="274"/>
  <c r="AJ53" i="274" s="1"/>
  <c r="AI45" i="274"/>
  <c r="AI53" i="274" s="1"/>
  <c r="AH45" i="274"/>
  <c r="AH53" i="274" s="1"/>
  <c r="AG45" i="274"/>
  <c r="AG53" i="274" s="1"/>
  <c r="AR45" i="274"/>
  <c r="AF45" i="274"/>
  <c r="AF53" i="274" s="1"/>
  <c r="AQ45" i="274"/>
  <c r="AQ53" i="274" s="1"/>
  <c r="AE45" i="274"/>
  <c r="AE53" i="274" s="1"/>
  <c r="AP45" i="274"/>
  <c r="AP53" i="274" s="1"/>
  <c r="AD45" i="274"/>
  <c r="AD53" i="274" s="1"/>
  <c r="AO45" i="274"/>
  <c r="AO53" i="274" s="1"/>
  <c r="AC45" i="274"/>
  <c r="AC53" i="274" s="1"/>
  <c r="AN45" i="274"/>
  <c r="AN53" i="274" s="1"/>
  <c r="AB45" i="274"/>
  <c r="AB53" i="274" s="1"/>
  <c r="AM45" i="274"/>
  <c r="AM53" i="274" s="1"/>
  <c r="AA45" i="274"/>
  <c r="AA53" i="274" s="1"/>
  <c r="AL45" i="274"/>
  <c r="AL53" i="274" s="1"/>
  <c r="Z45" i="274"/>
  <c r="Z53" i="274" s="1"/>
  <c r="AM53" i="265"/>
  <c r="K29" i="265"/>
  <c r="K27" i="265"/>
  <c r="M22" i="265"/>
  <c r="N23" i="265"/>
  <c r="N16" i="265"/>
  <c r="N24" i="265"/>
  <c r="N30" i="265"/>
  <c r="N28" i="265"/>
  <c r="K31" i="265"/>
  <c r="K18" i="265"/>
  <c r="K14" i="265"/>
  <c r="K19" i="265"/>
  <c r="K32" i="265"/>
  <c r="K15" i="265"/>
  <c r="K25" i="265"/>
  <c r="M20" i="265"/>
  <c r="M40" i="265"/>
  <c r="M17" i="265"/>
  <c r="M21" i="265" s="1"/>
  <c r="M26" i="265"/>
  <c r="F17" i="140"/>
  <c r="B178" i="250"/>
  <c r="B175" i="254"/>
  <c r="D10" i="254" s="1"/>
  <c r="F16" i="140"/>
  <c r="D153" i="258"/>
  <c r="G63" i="273"/>
  <c r="L13" i="265"/>
  <c r="M10" i="265"/>
  <c r="M11" i="265" s="1"/>
  <c r="B29" i="248"/>
  <c r="D18" i="248" s="1"/>
  <c r="D153" i="260"/>
  <c r="D152" i="260"/>
  <c r="D152" i="252"/>
  <c r="D153" i="252"/>
  <c r="AE45" i="265"/>
  <c r="AJ45" i="265"/>
  <c r="AO45" i="265"/>
  <c r="AD45" i="265"/>
  <c r="AA45" i="265"/>
  <c r="AP45" i="265"/>
  <c r="AL45" i="265"/>
  <c r="AK45" i="265"/>
  <c r="AB45" i="265"/>
  <c r="AF45" i="265"/>
  <c r="AI45" i="265"/>
  <c r="AH45" i="265"/>
  <c r="AC45" i="265"/>
  <c r="Y45" i="265"/>
  <c r="Z45" i="265"/>
  <c r="AN45" i="265"/>
  <c r="AQ45" i="265"/>
  <c r="AG45" i="265"/>
  <c r="AR45" i="265"/>
  <c r="E5" i="248"/>
  <c r="B38" i="265"/>
  <c r="O5" i="265"/>
  <c r="N6" i="265"/>
  <c r="O9" i="265"/>
  <c r="N7" i="265"/>
  <c r="N34" i="265" s="1"/>
  <c r="L8" i="265"/>
  <c r="M12" i="265"/>
  <c r="M41" i="265"/>
  <c r="D10" i="258" l="1"/>
  <c r="E20" i="140" s="1"/>
  <c r="D25" i="248"/>
  <c r="E10" i="140"/>
  <c r="E14" i="140" s="1"/>
  <c r="D25" i="254"/>
  <c r="E17" i="140"/>
  <c r="D25" i="260"/>
  <c r="E22" i="140"/>
  <c r="AZ44" i="159"/>
  <c r="E17" i="264"/>
  <c r="E15" i="262"/>
  <c r="AS32" i="159"/>
  <c r="AN32" i="159"/>
  <c r="B178" i="258"/>
  <c r="B179" i="258" s="1"/>
  <c r="E14" i="267"/>
  <c r="E14" i="262"/>
  <c r="D18" i="262"/>
  <c r="E4" i="275"/>
  <c r="F11" i="275" s="1"/>
  <c r="G14" i="140"/>
  <c r="B178" i="264"/>
  <c r="B179" i="264" s="1"/>
  <c r="D10" i="264"/>
  <c r="D25" i="262"/>
  <c r="E4" i="273"/>
  <c r="E14" i="260"/>
  <c r="B178" i="267"/>
  <c r="B179" i="267" s="1"/>
  <c r="D10" i="267"/>
  <c r="E19" i="140" s="1"/>
  <c r="B178" i="252"/>
  <c r="B179" i="252" s="1"/>
  <c r="D10" i="252"/>
  <c r="E16" i="140" s="1"/>
  <c r="D25" i="258"/>
  <c r="E14" i="270"/>
  <c r="D18" i="267"/>
  <c r="E15" i="267"/>
  <c r="D18" i="260"/>
  <c r="E14" i="258"/>
  <c r="AY44" i="159"/>
  <c r="AT44" i="159"/>
  <c r="AT32" i="159"/>
  <c r="E15" i="260"/>
  <c r="E15" i="258"/>
  <c r="D18" i="258"/>
  <c r="D17" i="254"/>
  <c r="B38" i="284"/>
  <c r="E16" i="252"/>
  <c r="E14" i="252"/>
  <c r="D18" i="252"/>
  <c r="E15" i="252"/>
  <c r="B38" i="286"/>
  <c r="AI32" i="159"/>
  <c r="D17" i="250"/>
  <c r="D18" i="250" s="1"/>
  <c r="D26" i="250"/>
  <c r="L31" i="288"/>
  <c r="C36" i="288"/>
  <c r="K31" i="288"/>
  <c r="AM32" i="159"/>
  <c r="AO32" i="159"/>
  <c r="AQ32" i="159"/>
  <c r="AR32" i="159"/>
  <c r="AP32" i="159"/>
  <c r="E16" i="237"/>
  <c r="E14" i="237"/>
  <c r="D18" i="237"/>
  <c r="E15" i="237"/>
  <c r="BI56" i="159"/>
  <c r="BI8" i="159" s="1"/>
  <c r="B49" i="276"/>
  <c r="AR49" i="276" s="1"/>
  <c r="B48" i="291"/>
  <c r="AR48" i="291" s="1"/>
  <c r="B49" i="274"/>
  <c r="AR49" i="274" s="1"/>
  <c r="AR53" i="274" s="1"/>
  <c r="F11" i="289"/>
  <c r="L26" i="289"/>
  <c r="H27" i="289" s="1"/>
  <c r="J40" i="289"/>
  <c r="J39" i="289"/>
  <c r="J41" i="289"/>
  <c r="J43" i="289"/>
  <c r="J42" i="289"/>
  <c r="J44" i="289"/>
  <c r="J45" i="289"/>
  <c r="J46" i="289"/>
  <c r="J47" i="289"/>
  <c r="J48" i="289"/>
  <c r="J49" i="289"/>
  <c r="J50" i="289"/>
  <c r="J51" i="289"/>
  <c r="J52" i="289"/>
  <c r="J53" i="289"/>
  <c r="J54" i="289"/>
  <c r="J55" i="289"/>
  <c r="J56" i="289"/>
  <c r="J57" i="289"/>
  <c r="J58" i="289"/>
  <c r="J59" i="289"/>
  <c r="J60" i="289"/>
  <c r="J61" i="289"/>
  <c r="J62" i="289"/>
  <c r="J63" i="289"/>
  <c r="Q25" i="290"/>
  <c r="Q15" i="290"/>
  <c r="Q19" i="290"/>
  <c r="Q14" i="290"/>
  <c r="Q32" i="290"/>
  <c r="Q18" i="290"/>
  <c r="Q31" i="290"/>
  <c r="R22" i="274"/>
  <c r="R10" i="274"/>
  <c r="R11" i="274" s="1"/>
  <c r="R13" i="274" s="1"/>
  <c r="R34" i="274"/>
  <c r="R20" i="274"/>
  <c r="R26" i="274"/>
  <c r="S7" i="274"/>
  <c r="P26" i="284"/>
  <c r="P10" i="284"/>
  <c r="P11" i="284" s="1"/>
  <c r="P34" i="284"/>
  <c r="P22" i="284"/>
  <c r="P20" i="284"/>
  <c r="Q7" i="284"/>
  <c r="P22" i="286"/>
  <c r="P10" i="286"/>
  <c r="P11" i="286" s="1"/>
  <c r="P13" i="286" s="1"/>
  <c r="P34" i="286"/>
  <c r="P26" i="286"/>
  <c r="P20" i="286"/>
  <c r="Q7" i="286"/>
  <c r="R26" i="279"/>
  <c r="R10" i="279"/>
  <c r="R11" i="279" s="1"/>
  <c r="R13" i="279" s="1"/>
  <c r="R34" i="279"/>
  <c r="R20" i="279"/>
  <c r="R22" i="279"/>
  <c r="S7" i="279"/>
  <c r="O22" i="288"/>
  <c r="O10" i="288"/>
  <c r="O11" i="288" s="1"/>
  <c r="O34" i="288"/>
  <c r="O20" i="288"/>
  <c r="O26" i="288"/>
  <c r="P7" i="288"/>
  <c r="Q13" i="274"/>
  <c r="N15" i="288"/>
  <c r="N14" i="288"/>
  <c r="N19" i="288"/>
  <c r="N25" i="288"/>
  <c r="N32" i="288"/>
  <c r="N18" i="288"/>
  <c r="N31" i="288"/>
  <c r="N14" i="281"/>
  <c r="N15" i="281"/>
  <c r="N25" i="281"/>
  <c r="N19" i="281"/>
  <c r="N32" i="281"/>
  <c r="N18" i="281"/>
  <c r="N31" i="281"/>
  <c r="O13" i="276"/>
  <c r="O13" i="291"/>
  <c r="O15" i="284"/>
  <c r="O25" i="284"/>
  <c r="O19" i="284"/>
  <c r="O14" i="284"/>
  <c r="O32" i="284"/>
  <c r="O18" i="284"/>
  <c r="O31" i="284"/>
  <c r="O13" i="286"/>
  <c r="Q25" i="279"/>
  <c r="Q14" i="279"/>
  <c r="Q15" i="279"/>
  <c r="Q19" i="279"/>
  <c r="Q32" i="279"/>
  <c r="Q18" i="279"/>
  <c r="Q31" i="279"/>
  <c r="M25" i="288"/>
  <c r="M19" i="288"/>
  <c r="M15" i="288"/>
  <c r="M14" i="288"/>
  <c r="M32" i="288"/>
  <c r="M18" i="288"/>
  <c r="M31" i="288"/>
  <c r="P26" i="291"/>
  <c r="P10" i="291"/>
  <c r="P11" i="291" s="1"/>
  <c r="P13" i="291" s="1"/>
  <c r="P34" i="291"/>
  <c r="P20" i="291"/>
  <c r="P22" i="291"/>
  <c r="Q7" i="291"/>
  <c r="O20" i="281"/>
  <c r="O10" i="281"/>
  <c r="O11" i="281" s="1"/>
  <c r="O34" i="281"/>
  <c r="O26" i="281"/>
  <c r="O22" i="281"/>
  <c r="P7" i="281"/>
  <c r="N15" i="291"/>
  <c r="N25" i="291"/>
  <c r="N14" i="291"/>
  <c r="N19" i="291"/>
  <c r="N32" i="291"/>
  <c r="N18" i="291"/>
  <c r="R26" i="290"/>
  <c r="R10" i="290"/>
  <c r="R11" i="290" s="1"/>
  <c r="R13" i="290" s="1"/>
  <c r="R34" i="290"/>
  <c r="R20" i="290"/>
  <c r="R22" i="290"/>
  <c r="S7" i="290"/>
  <c r="M15" i="281"/>
  <c r="M25" i="281"/>
  <c r="M19" i="281"/>
  <c r="M14" i="281"/>
  <c r="M32" i="281"/>
  <c r="M18" i="281"/>
  <c r="M31" i="281"/>
  <c r="P26" i="276"/>
  <c r="P10" i="276"/>
  <c r="P11" i="276" s="1"/>
  <c r="P13" i="276" s="1"/>
  <c r="P34" i="276"/>
  <c r="P22" i="276"/>
  <c r="P20" i="276"/>
  <c r="Q7" i="276"/>
  <c r="N31" i="291"/>
  <c r="N25" i="284"/>
  <c r="N15" i="284"/>
  <c r="N14" i="284"/>
  <c r="N19" i="284"/>
  <c r="N32" i="284"/>
  <c r="N18" i="284"/>
  <c r="N31" i="284"/>
  <c r="BA44" i="159"/>
  <c r="AV44" i="159"/>
  <c r="AW44" i="159"/>
  <c r="BB44" i="159"/>
  <c r="AX44" i="159"/>
  <c r="J65" i="289"/>
  <c r="G66" i="289"/>
  <c r="AA53" i="288"/>
  <c r="AC53" i="288"/>
  <c r="AB53" i="288"/>
  <c r="AI53" i="288"/>
  <c r="AL32" i="159" s="1"/>
  <c r="AG53" i="288"/>
  <c r="AE53" i="288"/>
  <c r="AH32" i="159" s="1"/>
  <c r="Z53" i="288"/>
  <c r="AD53" i="288"/>
  <c r="B49" i="288"/>
  <c r="E4" i="287"/>
  <c r="Y53" i="288"/>
  <c r="B45" i="288"/>
  <c r="P152" i="250"/>
  <c r="P153" i="250"/>
  <c r="G65" i="287"/>
  <c r="Z53" i="286"/>
  <c r="Y53" i="286"/>
  <c r="B45" i="286"/>
  <c r="AB53" i="286"/>
  <c r="AA53" i="286"/>
  <c r="AC53" i="286"/>
  <c r="AD53" i="286"/>
  <c r="AG53" i="286"/>
  <c r="AH53" i="286"/>
  <c r="AK32" i="159" s="1"/>
  <c r="G64" i="285"/>
  <c r="G65" i="283"/>
  <c r="Y53" i="281"/>
  <c r="B45" i="281"/>
  <c r="AA53" i="281"/>
  <c r="AO44" i="159" s="1"/>
  <c r="AB53" i="281"/>
  <c r="AP44" i="159" s="1"/>
  <c r="AC53" i="281"/>
  <c r="AQ44" i="159" s="1"/>
  <c r="AG53" i="281"/>
  <c r="AU44" i="159" s="1"/>
  <c r="AD53" i="281"/>
  <c r="G64" i="280"/>
  <c r="AR53" i="276"/>
  <c r="AB53" i="279"/>
  <c r="Z53" i="279"/>
  <c r="B45" i="279"/>
  <c r="Y53" i="279"/>
  <c r="AA53" i="279"/>
  <c r="B49" i="279"/>
  <c r="AR49" i="279" s="1"/>
  <c r="AR53" i="279" s="1"/>
  <c r="BC44" i="159" s="1"/>
  <c r="E4" i="278"/>
  <c r="AC53" i="279"/>
  <c r="AN44" i="159" s="1"/>
  <c r="AG53" i="279"/>
  <c r="AH53" i="279"/>
  <c r="AS44" i="159" s="1"/>
  <c r="G64" i="278"/>
  <c r="Y53" i="276"/>
  <c r="B45" i="276"/>
  <c r="B45" i="274"/>
  <c r="Y53" i="274"/>
  <c r="AA53" i="265"/>
  <c r="AW56" i="159" s="1"/>
  <c r="AB53" i="265"/>
  <c r="AX56" i="159" s="1"/>
  <c r="AG53" i="265"/>
  <c r="BC56" i="159" s="1"/>
  <c r="AI53" i="265"/>
  <c r="BE56" i="159" s="1"/>
  <c r="AF53" i="265"/>
  <c r="BB56" i="159" s="1"/>
  <c r="AK53" i="265"/>
  <c r="BG56" i="159" s="1"/>
  <c r="AL53" i="265"/>
  <c r="AP53" i="265"/>
  <c r="AD53" i="265"/>
  <c r="AZ56" i="159" s="1"/>
  <c r="AQ53" i="265"/>
  <c r="AO53" i="265"/>
  <c r="AN53" i="265"/>
  <c r="BJ56" i="159" s="1"/>
  <c r="AJ53" i="265"/>
  <c r="BF56" i="159" s="1"/>
  <c r="Z53" i="265"/>
  <c r="AV56" i="159" s="1"/>
  <c r="AE53" i="265"/>
  <c r="BA56" i="159" s="1"/>
  <c r="AC53" i="265"/>
  <c r="AY56" i="159" s="1"/>
  <c r="AH53" i="265"/>
  <c r="BD56" i="159" s="1"/>
  <c r="Y53" i="265"/>
  <c r="L31" i="265"/>
  <c r="L14" i="265"/>
  <c r="L18" i="265"/>
  <c r="L19" i="265"/>
  <c r="L25" i="265"/>
  <c r="L15" i="265"/>
  <c r="L32" i="265"/>
  <c r="N26" i="265"/>
  <c r="N22" i="265"/>
  <c r="N20" i="265"/>
  <c r="L29" i="265"/>
  <c r="L27" i="265"/>
  <c r="N40" i="265"/>
  <c r="N17" i="265"/>
  <c r="N21" i="265" s="1"/>
  <c r="O23" i="265"/>
  <c r="O16" i="265"/>
  <c r="O28" i="265"/>
  <c r="O30" i="265"/>
  <c r="O24" i="265"/>
  <c r="B179" i="250"/>
  <c r="B178" i="254"/>
  <c r="B49" i="284"/>
  <c r="AR49" i="284" s="1"/>
  <c r="AR53" i="284" s="1"/>
  <c r="M13" i="265"/>
  <c r="G64" i="273"/>
  <c r="N10" i="265"/>
  <c r="N11" i="265" s="1"/>
  <c r="B45" i="265"/>
  <c r="O6" i="265"/>
  <c r="P9" i="265"/>
  <c r="P5" i="265"/>
  <c r="O7" i="265"/>
  <c r="O34" i="265" s="1"/>
  <c r="M8" i="265"/>
  <c r="N41" i="265"/>
  <c r="N12" i="265"/>
  <c r="E21" i="140" l="1"/>
  <c r="E18" i="140"/>
  <c r="D25" i="264"/>
  <c r="E25" i="140"/>
  <c r="E26" i="140" s="1"/>
  <c r="D25" i="267"/>
  <c r="G21" i="140"/>
  <c r="L26" i="275"/>
  <c r="H27" i="275" s="1"/>
  <c r="L27" i="275" s="1"/>
  <c r="H28" i="275" s="1"/>
  <c r="L28" i="275" s="1"/>
  <c r="H29" i="275" s="1"/>
  <c r="E17" i="262"/>
  <c r="E4" i="272"/>
  <c r="E17" i="267"/>
  <c r="G27" i="140"/>
  <c r="E17" i="260"/>
  <c r="B49" i="281"/>
  <c r="AR49" i="281" s="1"/>
  <c r="AR53" i="281" s="1"/>
  <c r="BF44" i="159" s="1"/>
  <c r="BF8" i="159" s="1"/>
  <c r="G26" i="140"/>
  <c r="E4" i="280"/>
  <c r="J63" i="280" s="1"/>
  <c r="D25" i="252"/>
  <c r="G18" i="140"/>
  <c r="AR44" i="159"/>
  <c r="E4" i="285"/>
  <c r="U42" i="286" s="1"/>
  <c r="B49" i="286"/>
  <c r="AR49" i="286" s="1"/>
  <c r="AR53" i="286" s="1"/>
  <c r="E17" i="237"/>
  <c r="E14" i="250"/>
  <c r="E17" i="258"/>
  <c r="AB32" i="159"/>
  <c r="AU56" i="159"/>
  <c r="AM44" i="159"/>
  <c r="E16" i="254"/>
  <c r="E14" i="254"/>
  <c r="D18" i="254"/>
  <c r="E15" i="254"/>
  <c r="E17" i="252"/>
  <c r="AC32" i="159"/>
  <c r="AG32" i="159"/>
  <c r="AR49" i="288"/>
  <c r="AR53" i="288" s="1"/>
  <c r="AJ32" i="159"/>
  <c r="AF32" i="159"/>
  <c r="E16" i="250"/>
  <c r="E15" i="250"/>
  <c r="AD32" i="159"/>
  <c r="AE32" i="159"/>
  <c r="BG8" i="159"/>
  <c r="BK56" i="159"/>
  <c r="BK8" i="159" s="1"/>
  <c r="BH56" i="159"/>
  <c r="BH8" i="159" s="1"/>
  <c r="BM56" i="159"/>
  <c r="BM8" i="159" s="1"/>
  <c r="BE8" i="159"/>
  <c r="BJ8" i="159"/>
  <c r="BD8" i="159"/>
  <c r="BL56" i="159"/>
  <c r="BL8" i="159" s="1"/>
  <c r="L27" i="289"/>
  <c r="H28" i="289" s="1"/>
  <c r="I27" i="289"/>
  <c r="K27" i="289" s="1"/>
  <c r="AR49" i="291"/>
  <c r="AR56" i="291" s="1"/>
  <c r="AR52" i="291"/>
  <c r="AP20" i="159" s="1"/>
  <c r="Q22" i="291"/>
  <c r="Q10" i="291"/>
  <c r="Q11" i="291" s="1"/>
  <c r="Q13" i="291" s="1"/>
  <c r="Q34" i="291"/>
  <c r="Q26" i="291"/>
  <c r="Q20" i="291"/>
  <c r="R7" i="291"/>
  <c r="S26" i="279"/>
  <c r="B26" i="279" s="1"/>
  <c r="D26" i="279" s="1"/>
  <c r="S10" i="279"/>
  <c r="S34" i="279"/>
  <c r="B34" i="279" s="1"/>
  <c r="D34" i="279" s="1"/>
  <c r="S22" i="279"/>
  <c r="B22" i="279" s="1"/>
  <c r="D22" i="279" s="1"/>
  <c r="S20" i="279"/>
  <c r="B20" i="279" s="1"/>
  <c r="D20" i="279" s="1"/>
  <c r="Q26" i="284"/>
  <c r="Q10" i="284"/>
  <c r="Q11" i="284" s="1"/>
  <c r="Q34" i="284"/>
  <c r="Q22" i="284"/>
  <c r="Q20" i="284"/>
  <c r="R7" i="284"/>
  <c r="R15" i="274"/>
  <c r="R19" i="274"/>
  <c r="R25" i="274"/>
  <c r="R14" i="274"/>
  <c r="R32" i="274"/>
  <c r="R18" i="274"/>
  <c r="R31" i="274"/>
  <c r="S10" i="290"/>
  <c r="S11" i="290" s="1"/>
  <c r="S13" i="290" s="1"/>
  <c r="S34" i="290"/>
  <c r="S22" i="290"/>
  <c r="S20" i="290"/>
  <c r="S26" i="290"/>
  <c r="T7" i="290"/>
  <c r="O13" i="281"/>
  <c r="O13" i="288"/>
  <c r="P19" i="276"/>
  <c r="P15" i="276"/>
  <c r="P32" i="276"/>
  <c r="P18" i="276"/>
  <c r="P25" i="276"/>
  <c r="P14" i="276"/>
  <c r="P31" i="276"/>
  <c r="P14" i="291"/>
  <c r="P15" i="291"/>
  <c r="P19" i="291"/>
  <c r="P25" i="291"/>
  <c r="P32" i="291"/>
  <c r="P18" i="291"/>
  <c r="P31" i="291"/>
  <c r="O19" i="286"/>
  <c r="O25" i="286"/>
  <c r="O14" i="286"/>
  <c r="O15" i="286"/>
  <c r="O32" i="286"/>
  <c r="O18" i="286"/>
  <c r="O31" i="286"/>
  <c r="O15" i="291"/>
  <c r="O19" i="291"/>
  <c r="O25" i="291"/>
  <c r="O14" i="291"/>
  <c r="O32" i="291"/>
  <c r="O18" i="291"/>
  <c r="O31" i="291"/>
  <c r="Q25" i="274"/>
  <c r="Q15" i="274"/>
  <c r="Q19" i="274"/>
  <c r="Q14" i="274"/>
  <c r="Q32" i="274"/>
  <c r="Q18" i="274"/>
  <c r="Q31" i="274"/>
  <c r="R14" i="279"/>
  <c r="R25" i="279"/>
  <c r="R19" i="279"/>
  <c r="R15" i="279"/>
  <c r="R32" i="279"/>
  <c r="R18" i="279"/>
  <c r="R31" i="279"/>
  <c r="P13" i="284"/>
  <c r="P19" i="286"/>
  <c r="P15" i="286"/>
  <c r="P25" i="286"/>
  <c r="P14" i="286"/>
  <c r="P32" i="286"/>
  <c r="P18" i="286"/>
  <c r="P31" i="286"/>
  <c r="R14" i="290"/>
  <c r="R19" i="290"/>
  <c r="R25" i="290"/>
  <c r="R15" i="290"/>
  <c r="R32" i="290"/>
  <c r="R18" i="290"/>
  <c r="R31" i="290"/>
  <c r="P22" i="281"/>
  <c r="P10" i="281"/>
  <c r="P11" i="281" s="1"/>
  <c r="P13" i="281" s="1"/>
  <c r="P34" i="281"/>
  <c r="P20" i="281"/>
  <c r="P26" i="281"/>
  <c r="Q7" i="281"/>
  <c r="P10" i="288"/>
  <c r="P11" i="288" s="1"/>
  <c r="P13" i="288" s="1"/>
  <c r="P34" i="288"/>
  <c r="P26" i="288"/>
  <c r="P22" i="288"/>
  <c r="P20" i="288"/>
  <c r="Q7" i="288"/>
  <c r="Q20" i="286"/>
  <c r="Q10" i="286"/>
  <c r="Q11" i="286" s="1"/>
  <c r="Q13" i="286" s="1"/>
  <c r="Q34" i="286"/>
  <c r="Q22" i="286"/>
  <c r="Q26" i="286"/>
  <c r="R7" i="286"/>
  <c r="Q26" i="276"/>
  <c r="Q10" i="276"/>
  <c r="Q11" i="276" s="1"/>
  <c r="Q13" i="276" s="1"/>
  <c r="Q34" i="276"/>
  <c r="Q22" i="276"/>
  <c r="Q20" i="276"/>
  <c r="R7" i="276"/>
  <c r="O19" i="276"/>
  <c r="O15" i="276"/>
  <c r="O32" i="276"/>
  <c r="O14" i="276"/>
  <c r="O25" i="276"/>
  <c r="O18" i="276"/>
  <c r="O31" i="276"/>
  <c r="S20" i="274"/>
  <c r="S10" i="274"/>
  <c r="S11" i="274" s="1"/>
  <c r="S13" i="274" s="1"/>
  <c r="S34" i="274"/>
  <c r="S26" i="274"/>
  <c r="S22" i="274"/>
  <c r="T7" i="274"/>
  <c r="J66" i="289"/>
  <c r="G67" i="289"/>
  <c r="L26" i="287"/>
  <c r="H27" i="287" s="1"/>
  <c r="F11" i="287"/>
  <c r="J39" i="287"/>
  <c r="J40" i="287"/>
  <c r="J42" i="287"/>
  <c r="J41" i="287"/>
  <c r="J43" i="287"/>
  <c r="J44" i="287"/>
  <c r="J45" i="287"/>
  <c r="J46" i="287"/>
  <c r="J47" i="287"/>
  <c r="J48" i="287"/>
  <c r="J49" i="287"/>
  <c r="J50" i="287"/>
  <c r="J51" i="287"/>
  <c r="J52" i="287"/>
  <c r="J53" i="287"/>
  <c r="J54" i="287"/>
  <c r="J55" i="287"/>
  <c r="J56" i="287"/>
  <c r="J57" i="287"/>
  <c r="J58" i="287"/>
  <c r="J59" i="287"/>
  <c r="J60" i="287"/>
  <c r="J61" i="287"/>
  <c r="J62" i="287"/>
  <c r="J63" i="287"/>
  <c r="J64" i="287"/>
  <c r="J65" i="287"/>
  <c r="G66" i="287"/>
  <c r="G65" i="285"/>
  <c r="E4" i="283"/>
  <c r="J65" i="283" s="1"/>
  <c r="G66" i="283"/>
  <c r="AY8" i="159"/>
  <c r="G65" i="280"/>
  <c r="B49" i="265"/>
  <c r="AR49" i="265" s="1"/>
  <c r="AR53" i="265" s="1"/>
  <c r="BN56" i="159" s="1"/>
  <c r="BN8" i="159" s="1"/>
  <c r="J63" i="278"/>
  <c r="J28" i="278"/>
  <c r="J27" i="278"/>
  <c r="J29" i="278"/>
  <c r="J31" i="278"/>
  <c r="J30" i="278"/>
  <c r="BC8" i="159"/>
  <c r="L26" i="278"/>
  <c r="H27" i="278" s="1"/>
  <c r="F11" i="278"/>
  <c r="J39" i="278"/>
  <c r="J40" i="278"/>
  <c r="J41" i="278"/>
  <c r="J42" i="278"/>
  <c r="J43" i="278"/>
  <c r="J44" i="278"/>
  <c r="J45" i="278"/>
  <c r="J46" i="278"/>
  <c r="J47" i="278"/>
  <c r="J48" i="278"/>
  <c r="J49" i="278"/>
  <c r="J50" i="278"/>
  <c r="J51" i="278"/>
  <c r="J52" i="278"/>
  <c r="J53" i="278"/>
  <c r="J54" i="278"/>
  <c r="J55" i="278"/>
  <c r="J56" i="278"/>
  <c r="J57" i="278"/>
  <c r="J58" i="278"/>
  <c r="J59" i="278"/>
  <c r="J60" i="278"/>
  <c r="J61" i="278"/>
  <c r="J62" i="278"/>
  <c r="J64" i="278"/>
  <c r="G65" i="278"/>
  <c r="AX8" i="159"/>
  <c r="O22" i="265"/>
  <c r="O26" i="265"/>
  <c r="P24" i="265"/>
  <c r="P28" i="265"/>
  <c r="P30" i="265"/>
  <c r="P23" i="265"/>
  <c r="P16" i="265"/>
  <c r="O20" i="265"/>
  <c r="O40" i="265"/>
  <c r="O17" i="265"/>
  <c r="O21" i="265" s="1"/>
  <c r="M27" i="265"/>
  <c r="M29" i="265"/>
  <c r="M31" i="265"/>
  <c r="M18" i="265"/>
  <c r="M14" i="265"/>
  <c r="M15" i="265"/>
  <c r="M32" i="265"/>
  <c r="M25" i="265"/>
  <c r="M19" i="265"/>
  <c r="B179" i="254"/>
  <c r="AZ8" i="159"/>
  <c r="N13" i="265"/>
  <c r="G65" i="273"/>
  <c r="O10" i="265"/>
  <c r="O11" i="265" s="1"/>
  <c r="BA8" i="159"/>
  <c r="AW8" i="159"/>
  <c r="AV8" i="159"/>
  <c r="BB8" i="159"/>
  <c r="M2" i="270"/>
  <c r="N8" i="265"/>
  <c r="O41" i="265"/>
  <c r="O12" i="265"/>
  <c r="O13" i="265" s="1"/>
  <c r="P6" i="265"/>
  <c r="Q9" i="265"/>
  <c r="Q5" i="265"/>
  <c r="P7" i="265"/>
  <c r="P34" i="265" s="1"/>
  <c r="E27" i="140" l="1"/>
  <c r="F3" i="270" s="1"/>
  <c r="I27" i="275"/>
  <c r="K27" i="275" s="1"/>
  <c r="I28" i="275"/>
  <c r="K28" i="275" s="1"/>
  <c r="J39" i="280"/>
  <c r="J51" i="280"/>
  <c r="J50" i="280"/>
  <c r="J43" i="280"/>
  <c r="J41" i="280"/>
  <c r="J62" i="280"/>
  <c r="F11" i="280"/>
  <c r="J55" i="280"/>
  <c r="J64" i="280"/>
  <c r="J54" i="280"/>
  <c r="J54" i="285"/>
  <c r="J53" i="280"/>
  <c r="J53" i="285"/>
  <c r="J52" i="280"/>
  <c r="F11" i="285"/>
  <c r="U43" i="286" s="1"/>
  <c r="J42" i="280"/>
  <c r="J40" i="280"/>
  <c r="J61" i="280"/>
  <c r="J49" i="280"/>
  <c r="L26" i="280"/>
  <c r="H27" i="280" s="1"/>
  <c r="I27" i="280" s="1"/>
  <c r="K27" i="280" s="1"/>
  <c r="J60" i="280"/>
  <c r="J48" i="280"/>
  <c r="J59" i="280"/>
  <c r="J47" i="280"/>
  <c r="J46" i="280"/>
  <c r="J58" i="280"/>
  <c r="J57" i="280"/>
  <c r="J45" i="280"/>
  <c r="J56" i="280"/>
  <c r="J44" i="280"/>
  <c r="J50" i="285"/>
  <c r="J52" i="285"/>
  <c r="J49" i="285"/>
  <c r="J64" i="285"/>
  <c r="J48" i="285"/>
  <c r="J62" i="285"/>
  <c r="J47" i="285"/>
  <c r="J61" i="285"/>
  <c r="J46" i="285"/>
  <c r="J60" i="285"/>
  <c r="J42" i="285"/>
  <c r="J59" i="285"/>
  <c r="J41" i="285"/>
  <c r="J58" i="285"/>
  <c r="J40" i="285"/>
  <c r="J57" i="285"/>
  <c r="L26" i="285"/>
  <c r="H27" i="285" s="1"/>
  <c r="I27" i="285" s="1"/>
  <c r="K27" i="285" s="1"/>
  <c r="J45" i="285"/>
  <c r="J56" i="285"/>
  <c r="J44" i="285"/>
  <c r="J55" i="285"/>
  <c r="J43" i="285"/>
  <c r="J63" i="285"/>
  <c r="J51" i="285"/>
  <c r="J39" i="285"/>
  <c r="AU32" i="159"/>
  <c r="AU8" i="159" s="1"/>
  <c r="E17" i="250"/>
  <c r="E17" i="254"/>
  <c r="I28" i="289"/>
  <c r="K28" i="289" s="1"/>
  <c r="L28" i="289"/>
  <c r="H29" i="289" s="1"/>
  <c r="Q19" i="276"/>
  <c r="Q15" i="276"/>
  <c r="Q32" i="276"/>
  <c r="Q18" i="276"/>
  <c r="Q14" i="276"/>
  <c r="Q25" i="276"/>
  <c r="Q31" i="276"/>
  <c r="S15" i="274"/>
  <c r="S25" i="274"/>
  <c r="S14" i="274"/>
  <c r="S19" i="274"/>
  <c r="S32" i="274"/>
  <c r="S18" i="274"/>
  <c r="S31" i="274"/>
  <c r="R10" i="286"/>
  <c r="R11" i="286" s="1"/>
  <c r="R13" i="286" s="1"/>
  <c r="R34" i="286"/>
  <c r="R26" i="286"/>
  <c r="R20" i="286"/>
  <c r="R22" i="286"/>
  <c r="S7" i="286"/>
  <c r="S11" i="279"/>
  <c r="S12" i="279"/>
  <c r="T11" i="279"/>
  <c r="P15" i="288"/>
  <c r="P14" i="288"/>
  <c r="P19" i="288"/>
  <c r="P25" i="288"/>
  <c r="P32" i="288"/>
  <c r="P18" i="288"/>
  <c r="P31" i="288"/>
  <c r="T26" i="290"/>
  <c r="T10" i="290"/>
  <c r="T11" i="290" s="1"/>
  <c r="T13" i="290" s="1"/>
  <c r="T34" i="290"/>
  <c r="T20" i="290"/>
  <c r="T22" i="290"/>
  <c r="U7" i="290"/>
  <c r="Q14" i="291"/>
  <c r="Q25" i="291"/>
  <c r="Q19" i="291"/>
  <c r="Q15" i="291"/>
  <c r="Q32" i="291"/>
  <c r="Q18" i="291"/>
  <c r="Q31" i="291"/>
  <c r="R26" i="284"/>
  <c r="R10" i="284"/>
  <c r="R11" i="284" s="1"/>
  <c r="R34" i="284"/>
  <c r="R22" i="284"/>
  <c r="R20" i="284"/>
  <c r="S7" i="284"/>
  <c r="Q19" i="286"/>
  <c r="Q25" i="286"/>
  <c r="Q14" i="286"/>
  <c r="Q15" i="286"/>
  <c r="Q32" i="286"/>
  <c r="Q18" i="286"/>
  <c r="Q31" i="286"/>
  <c r="Q26" i="281"/>
  <c r="Q10" i="281"/>
  <c r="Q11" i="281" s="1"/>
  <c r="Q13" i="281" s="1"/>
  <c r="Q34" i="281"/>
  <c r="Q22" i="281"/>
  <c r="Q20" i="281"/>
  <c r="R7" i="281"/>
  <c r="R22" i="276"/>
  <c r="R10" i="276"/>
  <c r="R11" i="276" s="1"/>
  <c r="R13" i="276" s="1"/>
  <c r="R34" i="276"/>
  <c r="R20" i="276"/>
  <c r="R26" i="276"/>
  <c r="S7" i="276"/>
  <c r="Q26" i="288"/>
  <c r="Q10" i="288"/>
  <c r="Q11" i="288" s="1"/>
  <c r="Q13" i="288" s="1"/>
  <c r="Q34" i="288"/>
  <c r="Q22" i="288"/>
  <c r="Q20" i="288"/>
  <c r="R7" i="288"/>
  <c r="P14" i="284"/>
  <c r="P15" i="284"/>
  <c r="P19" i="284"/>
  <c r="P25" i="284"/>
  <c r="P32" i="284"/>
  <c r="P18" i="284"/>
  <c r="P31" i="284"/>
  <c r="S19" i="290"/>
  <c r="S14" i="290"/>
  <c r="S15" i="290"/>
  <c r="S25" i="290"/>
  <c r="S32" i="290"/>
  <c r="S18" i="290"/>
  <c r="S31" i="290"/>
  <c r="R26" i="291"/>
  <c r="R10" i="291"/>
  <c r="R11" i="291" s="1"/>
  <c r="R13" i="291" s="1"/>
  <c r="R34" i="291"/>
  <c r="R22" i="291"/>
  <c r="R20" i="291"/>
  <c r="S7" i="291"/>
  <c r="O25" i="288"/>
  <c r="O15" i="288"/>
  <c r="O19" i="288"/>
  <c r="O14" i="288"/>
  <c r="O32" i="288"/>
  <c r="O18" i="288"/>
  <c r="O31" i="288"/>
  <c r="Q13" i="284"/>
  <c r="T10" i="274"/>
  <c r="T11" i="274" s="1"/>
  <c r="T34" i="274"/>
  <c r="T22" i="274"/>
  <c r="T26" i="274"/>
  <c r="T20" i="274"/>
  <c r="U7" i="274"/>
  <c r="P15" i="281"/>
  <c r="P19" i="281"/>
  <c r="P14" i="281"/>
  <c r="P25" i="281"/>
  <c r="P32" i="281"/>
  <c r="P18" i="281"/>
  <c r="P31" i="281"/>
  <c r="O15" i="281"/>
  <c r="O19" i="281"/>
  <c r="O25" i="281"/>
  <c r="O14" i="281"/>
  <c r="O32" i="281"/>
  <c r="O18" i="281"/>
  <c r="O31" i="281"/>
  <c r="J67" i="289"/>
  <c r="G68" i="289"/>
  <c r="L27" i="287"/>
  <c r="H28" i="287" s="1"/>
  <c r="I27" i="287"/>
  <c r="K27" i="287" s="1"/>
  <c r="J66" i="287"/>
  <c r="G67" i="287"/>
  <c r="J65" i="285"/>
  <c r="G66" i="285"/>
  <c r="J66" i="285" s="1"/>
  <c r="F11" i="283"/>
  <c r="L26" i="283"/>
  <c r="H27" i="283" s="1"/>
  <c r="J40" i="283"/>
  <c r="J39" i="283"/>
  <c r="J41" i="283"/>
  <c r="J42" i="283"/>
  <c r="J44" i="283"/>
  <c r="J43" i="283"/>
  <c r="J45" i="283"/>
  <c r="J46" i="283"/>
  <c r="J47" i="283"/>
  <c r="J48" i="283"/>
  <c r="J49" i="283"/>
  <c r="J50" i="283"/>
  <c r="J51" i="283"/>
  <c r="J52" i="283"/>
  <c r="J53" i="283"/>
  <c r="J54" i="283"/>
  <c r="J55" i="283"/>
  <c r="J56" i="283"/>
  <c r="J57" i="283"/>
  <c r="J58" i="283"/>
  <c r="J59" i="283"/>
  <c r="J60" i="283"/>
  <c r="J61" i="283"/>
  <c r="J62" i="283"/>
  <c r="J63" i="283"/>
  <c r="J64" i="283"/>
  <c r="J66" i="283"/>
  <c r="G67" i="283"/>
  <c r="J65" i="280"/>
  <c r="G66" i="280"/>
  <c r="L27" i="278"/>
  <c r="H28" i="278" s="1"/>
  <c r="I27" i="278"/>
  <c r="K27" i="278" s="1"/>
  <c r="J65" i="278"/>
  <c r="G66" i="278"/>
  <c r="L29" i="275"/>
  <c r="H30" i="275" s="1"/>
  <c r="I29" i="275"/>
  <c r="K29" i="275" s="1"/>
  <c r="N29" i="265"/>
  <c r="N27" i="265"/>
  <c r="P20" i="265"/>
  <c r="P40" i="265"/>
  <c r="P17" i="265"/>
  <c r="P21" i="265" s="1"/>
  <c r="N31" i="265"/>
  <c r="N18" i="265"/>
  <c r="N14" i="265"/>
  <c r="N25" i="265"/>
  <c r="N15" i="265"/>
  <c r="N19" i="265"/>
  <c r="N32" i="265"/>
  <c r="P26" i="265"/>
  <c r="Q28" i="265"/>
  <c r="Q24" i="265"/>
  <c r="Q30" i="265"/>
  <c r="Q23" i="265"/>
  <c r="Q16" i="265"/>
  <c r="O31" i="265"/>
  <c r="O14" i="265"/>
  <c r="O18" i="265"/>
  <c r="O32" i="265"/>
  <c r="O19" i="265"/>
  <c r="O25" i="265"/>
  <c r="O15" i="265"/>
  <c r="P22" i="265"/>
  <c r="G66" i="273"/>
  <c r="P10" i="265"/>
  <c r="P11" i="265" s="1"/>
  <c r="E12" i="270"/>
  <c r="Q6" i="265"/>
  <c r="R9" i="265"/>
  <c r="R5" i="265"/>
  <c r="Q7" i="265"/>
  <c r="Q34" i="265" s="1"/>
  <c r="O8" i="265"/>
  <c r="P41" i="265"/>
  <c r="P12" i="265"/>
  <c r="L27" i="285" l="1"/>
  <c r="H28" i="285" s="1"/>
  <c r="L28" i="285" s="1"/>
  <c r="H29" i="285" s="1"/>
  <c r="L27" i="280"/>
  <c r="H28" i="280" s="1"/>
  <c r="L28" i="280" s="1"/>
  <c r="H29" i="280" s="1"/>
  <c r="L29" i="289"/>
  <c r="H30" i="289" s="1"/>
  <c r="I29" i="289"/>
  <c r="K29" i="289" s="1"/>
  <c r="J4" i="289" s="1"/>
  <c r="Y46" i="290" s="1" a="1"/>
  <c r="Y46" i="290" s="1"/>
  <c r="R15" i="286"/>
  <c r="R19" i="286"/>
  <c r="R25" i="286"/>
  <c r="R14" i="286"/>
  <c r="R32" i="286"/>
  <c r="R18" i="286"/>
  <c r="R31" i="286"/>
  <c r="S22" i="291"/>
  <c r="S10" i="291"/>
  <c r="S11" i="291" s="1"/>
  <c r="S13" i="291" s="1"/>
  <c r="S34" i="291"/>
  <c r="S20" i="291"/>
  <c r="S26" i="291"/>
  <c r="T7" i="291"/>
  <c r="R25" i="291"/>
  <c r="R15" i="291"/>
  <c r="R14" i="291"/>
  <c r="R19" i="291"/>
  <c r="R32" i="291"/>
  <c r="R18" i="291"/>
  <c r="R31" i="291"/>
  <c r="Q14" i="288"/>
  <c r="Q25" i="288"/>
  <c r="Q19" i="288"/>
  <c r="Q15" i="288"/>
  <c r="Q32" i="288"/>
  <c r="Q18" i="288"/>
  <c r="Q31" i="288"/>
  <c r="R20" i="281"/>
  <c r="R10" i="281"/>
  <c r="R11" i="281" s="1"/>
  <c r="R13" i="281" s="1"/>
  <c r="R34" i="281"/>
  <c r="R22" i="281"/>
  <c r="R26" i="281"/>
  <c r="S7" i="281"/>
  <c r="T13" i="279"/>
  <c r="B11" i="279"/>
  <c r="C11" i="279"/>
  <c r="R22" i="288"/>
  <c r="R10" i="288"/>
  <c r="R11" i="288" s="1"/>
  <c r="R13" i="288" s="1"/>
  <c r="R34" i="288"/>
  <c r="R20" i="288"/>
  <c r="R26" i="288"/>
  <c r="S7" i="288"/>
  <c r="S13" i="279"/>
  <c r="C12" i="279"/>
  <c r="B12" i="279"/>
  <c r="T13" i="274"/>
  <c r="S20" i="276"/>
  <c r="S10" i="276"/>
  <c r="S11" i="276" s="1"/>
  <c r="S13" i="276" s="1"/>
  <c r="S34" i="276"/>
  <c r="S22" i="276"/>
  <c r="S26" i="276"/>
  <c r="T7" i="276"/>
  <c r="T14" i="290"/>
  <c r="T25" i="290"/>
  <c r="T15" i="290"/>
  <c r="T19" i="290"/>
  <c r="T32" i="290"/>
  <c r="T18" i="290"/>
  <c r="T31" i="290"/>
  <c r="R13" i="284"/>
  <c r="Q19" i="281"/>
  <c r="Q25" i="281"/>
  <c r="Q15" i="281"/>
  <c r="Q14" i="281"/>
  <c r="Q32" i="281"/>
  <c r="Q18" i="281"/>
  <c r="Q31" i="281"/>
  <c r="U20" i="290"/>
  <c r="U10" i="290"/>
  <c r="U11" i="290" s="1"/>
  <c r="U13" i="290" s="1"/>
  <c r="U34" i="290"/>
  <c r="U22" i="290"/>
  <c r="U26" i="290"/>
  <c r="V7" i="290"/>
  <c r="Q25" i="284"/>
  <c r="Q14" i="284"/>
  <c r="Q15" i="284"/>
  <c r="Q19" i="284"/>
  <c r="Q32" i="284"/>
  <c r="Q18" i="284"/>
  <c r="Q31" i="284"/>
  <c r="R14" i="276"/>
  <c r="R18" i="276"/>
  <c r="R19" i="276"/>
  <c r="R15" i="276"/>
  <c r="R32" i="276"/>
  <c r="R25" i="276"/>
  <c r="R31" i="276"/>
  <c r="S20" i="284"/>
  <c r="B20" i="284" s="1"/>
  <c r="D20" i="284" s="1"/>
  <c r="S10" i="284"/>
  <c r="S34" i="284"/>
  <c r="B34" i="284" s="1"/>
  <c r="D34" i="284" s="1"/>
  <c r="S26" i="284"/>
  <c r="B26" i="284" s="1"/>
  <c r="D26" i="284" s="1"/>
  <c r="S22" i="284"/>
  <c r="B22" i="284" s="1"/>
  <c r="D22" i="284" s="1"/>
  <c r="S26" i="286"/>
  <c r="B26" i="286" s="1"/>
  <c r="D26" i="286" s="1"/>
  <c r="S10" i="286"/>
  <c r="S34" i="286"/>
  <c r="B34" i="286" s="1"/>
  <c r="D34" i="286" s="1"/>
  <c r="S22" i="286"/>
  <c r="B22" i="286" s="1"/>
  <c r="D22" i="286" s="1"/>
  <c r="S20" i="286"/>
  <c r="B20" i="286" s="1"/>
  <c r="D20" i="286" s="1"/>
  <c r="U20" i="274"/>
  <c r="U10" i="274"/>
  <c r="U11" i="274" s="1"/>
  <c r="U13" i="274" s="1"/>
  <c r="U34" i="274"/>
  <c r="U26" i="274"/>
  <c r="U22" i="274"/>
  <c r="V7" i="274"/>
  <c r="J68" i="289"/>
  <c r="G69" i="289"/>
  <c r="I28" i="287"/>
  <c r="K28" i="287" s="1"/>
  <c r="L28" i="287"/>
  <c r="H29" i="287" s="1"/>
  <c r="J67" i="287"/>
  <c r="G68" i="287"/>
  <c r="G67" i="285"/>
  <c r="L27" i="283"/>
  <c r="H28" i="283" s="1"/>
  <c r="I27" i="283"/>
  <c r="K27" i="283" s="1"/>
  <c r="J67" i="283"/>
  <c r="G68" i="283"/>
  <c r="J66" i="280"/>
  <c r="G67" i="280"/>
  <c r="L28" i="278"/>
  <c r="H29" i="278" s="1"/>
  <c r="I28" i="278"/>
  <c r="K28" i="278" s="1"/>
  <c r="J66" i="278"/>
  <c r="G67" i="278"/>
  <c r="L30" i="275"/>
  <c r="H31" i="275" s="1"/>
  <c r="I30" i="275"/>
  <c r="K30" i="275" s="1"/>
  <c r="R24" i="265"/>
  <c r="R30" i="265"/>
  <c r="R28" i="265"/>
  <c r="R16" i="265"/>
  <c r="R23" i="265"/>
  <c r="Q22" i="265"/>
  <c r="Q20" i="265"/>
  <c r="O29" i="265"/>
  <c r="O27" i="265"/>
  <c r="Q26" i="265"/>
  <c r="Q40" i="265"/>
  <c r="Q17" i="265"/>
  <c r="Q21" i="265" s="1"/>
  <c r="P13" i="265"/>
  <c r="G67" i="273"/>
  <c r="Q10" i="265"/>
  <c r="Q11" i="265" s="1"/>
  <c r="P8" i="265"/>
  <c r="Q41" i="265"/>
  <c r="Q12" i="265"/>
  <c r="R6" i="265"/>
  <c r="S9" i="265"/>
  <c r="S5" i="265"/>
  <c r="R7" i="265"/>
  <c r="R34" i="265" s="1"/>
  <c r="I28" i="280" l="1"/>
  <c r="K28" i="280" s="1"/>
  <c r="I28" i="285"/>
  <c r="K28" i="285" s="1"/>
  <c r="Y50" i="290"/>
  <c r="Y57" i="290" s="1"/>
  <c r="W16" i="159" s="1"/>
  <c r="Y48" i="290"/>
  <c r="I30" i="289"/>
  <c r="K30" i="289" s="1"/>
  <c r="L30" i="289"/>
  <c r="H31" i="289" s="1"/>
  <c r="D12" i="279"/>
  <c r="S11" i="286"/>
  <c r="S12" i="286"/>
  <c r="T11" i="286"/>
  <c r="S14" i="291"/>
  <c r="S15" i="291"/>
  <c r="S25" i="291"/>
  <c r="S19" i="291"/>
  <c r="S32" i="291"/>
  <c r="S18" i="291"/>
  <c r="S31" i="291"/>
  <c r="R19" i="284"/>
  <c r="R25" i="284"/>
  <c r="R14" i="284"/>
  <c r="R15" i="284"/>
  <c r="R32" i="284"/>
  <c r="R18" i="284"/>
  <c r="R31" i="284"/>
  <c r="U19" i="290"/>
  <c r="U25" i="290"/>
  <c r="U15" i="290"/>
  <c r="U14" i="290"/>
  <c r="U32" i="290"/>
  <c r="U18" i="290"/>
  <c r="U31" i="290"/>
  <c r="S22" i="288"/>
  <c r="B22" i="288" s="1"/>
  <c r="D22" i="288" s="1"/>
  <c r="S10" i="288"/>
  <c r="S34" i="288"/>
  <c r="B34" i="288" s="1"/>
  <c r="D34" i="288" s="1"/>
  <c r="S20" i="288"/>
  <c r="B20" i="288" s="1"/>
  <c r="D20" i="288" s="1"/>
  <c r="S26" i="288"/>
  <c r="B26" i="288" s="1"/>
  <c r="D26" i="288" s="1"/>
  <c r="V10" i="274"/>
  <c r="V34" i="274"/>
  <c r="B34" i="274" s="1"/>
  <c r="D34" i="274" s="1"/>
  <c r="V20" i="274"/>
  <c r="B20" i="274" s="1"/>
  <c r="D20" i="274" s="1"/>
  <c r="V26" i="274"/>
  <c r="B26" i="274" s="1"/>
  <c r="D26" i="274" s="1"/>
  <c r="V22" i="274"/>
  <c r="B22" i="274" s="1"/>
  <c r="D22" i="274" s="1"/>
  <c r="S25" i="276"/>
  <c r="S18" i="276"/>
  <c r="S19" i="276"/>
  <c r="S15" i="276"/>
  <c r="S32" i="276"/>
  <c r="S14" i="276"/>
  <c r="S31" i="276"/>
  <c r="R19" i="281"/>
  <c r="R15" i="281"/>
  <c r="R25" i="281"/>
  <c r="R14" i="281"/>
  <c r="R32" i="281"/>
  <c r="R18" i="281"/>
  <c r="R31" i="281"/>
  <c r="S11" i="284"/>
  <c r="S12" i="284"/>
  <c r="T11" i="284"/>
  <c r="R15" i="288"/>
  <c r="R25" i="288"/>
  <c r="R14" i="288"/>
  <c r="R19" i="288"/>
  <c r="R32" i="288"/>
  <c r="R18" i="288"/>
  <c r="R31" i="288"/>
  <c r="U19" i="274"/>
  <c r="U14" i="274"/>
  <c r="U15" i="274"/>
  <c r="U25" i="274"/>
  <c r="U32" i="274"/>
  <c r="U18" i="274"/>
  <c r="U31" i="274"/>
  <c r="T25" i="274"/>
  <c r="T15" i="274"/>
  <c r="T14" i="274"/>
  <c r="T19" i="274"/>
  <c r="T32" i="274"/>
  <c r="T18" i="274"/>
  <c r="T31" i="274"/>
  <c r="T22" i="291"/>
  <c r="T10" i="291"/>
  <c r="T11" i="291" s="1"/>
  <c r="T13" i="291" s="1"/>
  <c r="T34" i="291"/>
  <c r="T20" i="291"/>
  <c r="T26" i="291"/>
  <c r="U7" i="291"/>
  <c r="S20" i="281"/>
  <c r="S10" i="281"/>
  <c r="S11" i="281" s="1"/>
  <c r="S13" i="281" s="1"/>
  <c r="S34" i="281"/>
  <c r="S22" i="281"/>
  <c r="S26" i="281"/>
  <c r="T7" i="281"/>
  <c r="T22" i="276"/>
  <c r="T10" i="276"/>
  <c r="T11" i="276" s="1"/>
  <c r="T13" i="276" s="1"/>
  <c r="T34" i="276"/>
  <c r="T20" i="276"/>
  <c r="T26" i="276"/>
  <c r="U7" i="276"/>
  <c r="V20" i="290"/>
  <c r="B20" i="290" s="1"/>
  <c r="D20" i="290" s="1"/>
  <c r="V10" i="290"/>
  <c r="V34" i="290"/>
  <c r="B34" i="290" s="1"/>
  <c r="D34" i="290" s="1"/>
  <c r="V22" i="290"/>
  <c r="B22" i="290" s="1"/>
  <c r="D22" i="290" s="1"/>
  <c r="V26" i="290"/>
  <c r="B26" i="290" s="1"/>
  <c r="D26" i="290" s="1"/>
  <c r="S15" i="279"/>
  <c r="S19" i="279"/>
  <c r="S14" i="279"/>
  <c r="S25" i="279"/>
  <c r="S32" i="279"/>
  <c r="S18" i="279"/>
  <c r="S31" i="279"/>
  <c r="C13" i="279"/>
  <c r="B13" i="279"/>
  <c r="T15" i="279"/>
  <c r="T31" i="279"/>
  <c r="T25" i="279"/>
  <c r="T14" i="279"/>
  <c r="T19" i="279"/>
  <c r="T32" i="279"/>
  <c r="T18" i="279"/>
  <c r="J69" i="289"/>
  <c r="G70" i="289"/>
  <c r="I29" i="287"/>
  <c r="K29" i="287" s="1"/>
  <c r="J4" i="287" s="1"/>
  <c r="Y46" i="288" s="1" a="1"/>
  <c r="Y46" i="288" s="1"/>
  <c r="L29" i="287"/>
  <c r="H30" i="287" s="1"/>
  <c r="J68" i="287"/>
  <c r="G69" i="287"/>
  <c r="L29" i="285"/>
  <c r="H30" i="285" s="1"/>
  <c r="I29" i="285"/>
  <c r="K29" i="285" s="1"/>
  <c r="G68" i="285"/>
  <c r="J67" i="285"/>
  <c r="L28" i="283"/>
  <c r="H29" i="283" s="1"/>
  <c r="I28" i="283"/>
  <c r="K28" i="283" s="1"/>
  <c r="G69" i="283"/>
  <c r="J68" i="283"/>
  <c r="L29" i="280"/>
  <c r="H30" i="280" s="1"/>
  <c r="I29" i="280"/>
  <c r="K29" i="280" s="1"/>
  <c r="G68" i="280"/>
  <c r="J67" i="280"/>
  <c r="I29" i="278"/>
  <c r="K29" i="278" s="1"/>
  <c r="L29" i="278"/>
  <c r="H30" i="278" s="1"/>
  <c r="J67" i="278"/>
  <c r="G68" i="278"/>
  <c r="L31" i="275"/>
  <c r="H32" i="275" s="1"/>
  <c r="I31" i="275"/>
  <c r="K31" i="275" s="1"/>
  <c r="R26" i="265"/>
  <c r="R20" i="265"/>
  <c r="S28" i="265"/>
  <c r="S30" i="265"/>
  <c r="S24" i="265"/>
  <c r="S23" i="265"/>
  <c r="S16" i="265"/>
  <c r="Q13" i="265"/>
  <c r="P31" i="265"/>
  <c r="P18" i="265"/>
  <c r="P14" i="265"/>
  <c r="P32" i="265"/>
  <c r="P15" i="265"/>
  <c r="P19" i="265"/>
  <c r="P25" i="265"/>
  <c r="P29" i="265"/>
  <c r="P27" i="265"/>
  <c r="R22" i="265"/>
  <c r="R40" i="265"/>
  <c r="R17" i="265"/>
  <c r="R21" i="265" s="1"/>
  <c r="G68" i="273"/>
  <c r="R10" i="265"/>
  <c r="R11" i="265" s="1"/>
  <c r="S6" i="265"/>
  <c r="T9" i="265"/>
  <c r="T5" i="265"/>
  <c r="S7" i="265"/>
  <c r="S34" i="265" s="1"/>
  <c r="Q8" i="265"/>
  <c r="R41" i="265"/>
  <c r="R12" i="265"/>
  <c r="J4" i="285" l="1"/>
  <c r="Y46" i="286" s="1" a="1"/>
  <c r="Y46" i="286" s="1"/>
  <c r="Y48" i="286" s="1"/>
  <c r="J4" i="280"/>
  <c r="Y46" i="281" s="1" a="1"/>
  <c r="Y46" i="281" s="1"/>
  <c r="Y50" i="281" s="1"/>
  <c r="Y57" i="281" s="1"/>
  <c r="R13" i="265"/>
  <c r="L31" i="289"/>
  <c r="H32" i="289" s="1"/>
  <c r="I31" i="289"/>
  <c r="K31" i="289" s="1"/>
  <c r="B18" i="279"/>
  <c r="D18" i="279" s="1"/>
  <c r="B32" i="279"/>
  <c r="D32" i="279" s="1"/>
  <c r="B25" i="279"/>
  <c r="D25" i="279" s="1"/>
  <c r="B15" i="279"/>
  <c r="D15" i="279" s="1"/>
  <c r="B19" i="279"/>
  <c r="D19" i="279" s="1"/>
  <c r="B14" i="279"/>
  <c r="D14" i="279" s="1"/>
  <c r="T20" i="281"/>
  <c r="T10" i="281"/>
  <c r="T11" i="281" s="1"/>
  <c r="T13" i="281" s="1"/>
  <c r="T34" i="281"/>
  <c r="T26" i="281"/>
  <c r="T22" i="281"/>
  <c r="U7" i="281"/>
  <c r="V11" i="274"/>
  <c r="V12" i="274"/>
  <c r="W11" i="274"/>
  <c r="T14" i="291"/>
  <c r="T19" i="291"/>
  <c r="T25" i="291"/>
  <c r="T15" i="291"/>
  <c r="T32" i="291"/>
  <c r="T18" i="291"/>
  <c r="T31" i="291"/>
  <c r="T13" i="284"/>
  <c r="B11" i="284"/>
  <c r="C11" i="284"/>
  <c r="S13" i="284"/>
  <c r="C12" i="284"/>
  <c r="B12" i="284"/>
  <c r="T14" i="276"/>
  <c r="T25" i="276"/>
  <c r="T18" i="276"/>
  <c r="T19" i="276"/>
  <c r="T15" i="276"/>
  <c r="T32" i="276"/>
  <c r="T31" i="276"/>
  <c r="V11" i="290"/>
  <c r="V12" i="290"/>
  <c r="W11" i="290"/>
  <c r="S19" i="281"/>
  <c r="S15" i="281"/>
  <c r="S14" i="281"/>
  <c r="S25" i="281"/>
  <c r="S32" i="281"/>
  <c r="S18" i="281"/>
  <c r="S31" i="281"/>
  <c r="S11" i="288"/>
  <c r="S12" i="288"/>
  <c r="T11" i="288"/>
  <c r="T13" i="286"/>
  <c r="B11" i="286"/>
  <c r="C11" i="286"/>
  <c r="B31" i="279"/>
  <c r="D31" i="279" s="1"/>
  <c r="U22" i="276"/>
  <c r="U10" i="276"/>
  <c r="U11" i="276" s="1"/>
  <c r="U13" i="276" s="1"/>
  <c r="U34" i="276"/>
  <c r="U26" i="276"/>
  <c r="U20" i="276"/>
  <c r="V7" i="276"/>
  <c r="U20" i="291"/>
  <c r="U10" i="291"/>
  <c r="U11" i="291" s="1"/>
  <c r="U13" i="291" s="1"/>
  <c r="U34" i="291"/>
  <c r="U22" i="291"/>
  <c r="U26" i="291"/>
  <c r="V7" i="291"/>
  <c r="S13" i="286"/>
  <c r="B12" i="286"/>
  <c r="C12" i="286"/>
  <c r="J70" i="289"/>
  <c r="G71" i="289"/>
  <c r="Y48" i="288"/>
  <c r="Y50" i="288"/>
  <c r="Y57" i="288" s="1"/>
  <c r="L30" i="287"/>
  <c r="H31" i="287" s="1"/>
  <c r="I30" i="287"/>
  <c r="K30" i="287" s="1"/>
  <c r="J69" i="287"/>
  <c r="G70" i="287"/>
  <c r="L30" i="285"/>
  <c r="H31" i="285" s="1"/>
  <c r="I30" i="285"/>
  <c r="K30" i="285" s="1"/>
  <c r="J68" i="285"/>
  <c r="G69" i="285"/>
  <c r="L29" i="283"/>
  <c r="H30" i="283" s="1"/>
  <c r="I29" i="283"/>
  <c r="K29" i="283" s="1"/>
  <c r="J69" i="283"/>
  <c r="G70" i="283"/>
  <c r="I30" i="280"/>
  <c r="K30" i="280" s="1"/>
  <c r="L30" i="280"/>
  <c r="H31" i="280" s="1"/>
  <c r="J68" i="280"/>
  <c r="G69" i="280"/>
  <c r="I30" i="278"/>
  <c r="K30" i="278" s="1"/>
  <c r="L30" i="278"/>
  <c r="H31" i="278" s="1"/>
  <c r="J68" i="278"/>
  <c r="G69" i="278"/>
  <c r="I32" i="275"/>
  <c r="K32" i="275" s="1"/>
  <c r="L32" i="275"/>
  <c r="H33" i="275" s="1"/>
  <c r="R31" i="265"/>
  <c r="R18" i="265"/>
  <c r="R14" i="265"/>
  <c r="R19" i="265"/>
  <c r="R32" i="265"/>
  <c r="R15" i="265"/>
  <c r="R25" i="265"/>
  <c r="T23" i="265"/>
  <c r="T24" i="265"/>
  <c r="T16" i="265"/>
  <c r="T30" i="265"/>
  <c r="T28" i="265"/>
  <c r="S22" i="265"/>
  <c r="Q29" i="265"/>
  <c r="Q27" i="265"/>
  <c r="Q31" i="265"/>
  <c r="Q18" i="265"/>
  <c r="Q14" i="265"/>
  <c r="Q32" i="265"/>
  <c r="Q15" i="265"/>
  <c r="Q19" i="265"/>
  <c r="Q25" i="265"/>
  <c r="S20" i="265"/>
  <c r="S40" i="265"/>
  <c r="S17" i="265"/>
  <c r="S21" i="265" s="1"/>
  <c r="S26" i="265"/>
  <c r="G69" i="273"/>
  <c r="S10" i="265"/>
  <c r="S11" i="265" s="1"/>
  <c r="S41" i="265"/>
  <c r="S12" i="265"/>
  <c r="R8" i="265"/>
  <c r="U9" i="265"/>
  <c r="T6" i="265"/>
  <c r="U5" i="265"/>
  <c r="T7" i="265"/>
  <c r="T34" i="265" s="1"/>
  <c r="Y50" i="286" l="1"/>
  <c r="Y57" i="286" s="1"/>
  <c r="Y48" i="281"/>
  <c r="L32" i="289"/>
  <c r="H33" i="289" s="1"/>
  <c r="I32" i="289"/>
  <c r="K32" i="289" s="1"/>
  <c r="D12" i="284"/>
  <c r="V13" i="274"/>
  <c r="C12" i="274"/>
  <c r="B12" i="274"/>
  <c r="T13" i="288"/>
  <c r="C11" i="288"/>
  <c r="B11" i="288"/>
  <c r="U20" i="281"/>
  <c r="U10" i="281"/>
  <c r="U11" i="281" s="1"/>
  <c r="U13" i="281" s="1"/>
  <c r="U34" i="281"/>
  <c r="U22" i="281"/>
  <c r="U26" i="281"/>
  <c r="V7" i="281"/>
  <c r="C12" i="290"/>
  <c r="B12" i="290"/>
  <c r="D12" i="290" s="1"/>
  <c r="D12" i="286"/>
  <c r="U14" i="276"/>
  <c r="U25" i="276"/>
  <c r="U18" i="276"/>
  <c r="U19" i="276"/>
  <c r="U32" i="276"/>
  <c r="U15" i="276"/>
  <c r="U31" i="276"/>
  <c r="T25" i="284"/>
  <c r="T31" i="284"/>
  <c r="T19" i="284"/>
  <c r="T14" i="284"/>
  <c r="T15" i="284"/>
  <c r="T32" i="284"/>
  <c r="T18" i="284"/>
  <c r="V22" i="276"/>
  <c r="B22" i="276" s="1"/>
  <c r="D22" i="276" s="1"/>
  <c r="V10" i="276"/>
  <c r="V34" i="276"/>
  <c r="B34" i="276" s="1"/>
  <c r="D34" i="276" s="1"/>
  <c r="V26" i="276"/>
  <c r="B26" i="276" s="1"/>
  <c r="D26" i="276" s="1"/>
  <c r="V20" i="276"/>
  <c r="B20" i="276" s="1"/>
  <c r="D20" i="276" s="1"/>
  <c r="S14" i="286"/>
  <c r="S15" i="286"/>
  <c r="S25" i="286"/>
  <c r="S19" i="286"/>
  <c r="S32" i="286"/>
  <c r="S18" i="286"/>
  <c r="S31" i="286"/>
  <c r="S19" i="284"/>
  <c r="S25" i="284"/>
  <c r="S15" i="284"/>
  <c r="S14" i="284"/>
  <c r="S32" i="284"/>
  <c r="S18" i="284"/>
  <c r="S31" i="284"/>
  <c r="B13" i="284"/>
  <c r="C13" i="284"/>
  <c r="V22" i="291"/>
  <c r="B22" i="291" s="1"/>
  <c r="D22" i="291" s="1"/>
  <c r="V10" i="291"/>
  <c r="V34" i="291"/>
  <c r="B34" i="291" s="1"/>
  <c r="D34" i="291" s="1"/>
  <c r="V26" i="291"/>
  <c r="B26" i="291" s="1"/>
  <c r="D26" i="291" s="1"/>
  <c r="V20" i="291"/>
  <c r="B20" i="291" s="1"/>
  <c r="D20" i="291" s="1"/>
  <c r="S13" i="288"/>
  <c r="B12" i="288"/>
  <c r="C12" i="288"/>
  <c r="T14" i="281"/>
  <c r="T25" i="281"/>
  <c r="T19" i="281"/>
  <c r="T15" i="281"/>
  <c r="T32" i="281"/>
  <c r="T18" i="281"/>
  <c r="T31" i="281"/>
  <c r="W13" i="274"/>
  <c r="C11" i="274"/>
  <c r="B11" i="274"/>
  <c r="T14" i="286"/>
  <c r="T19" i="286"/>
  <c r="T25" i="286"/>
  <c r="T15" i="286"/>
  <c r="T31" i="286"/>
  <c r="T32" i="286"/>
  <c r="T18" i="286"/>
  <c r="C13" i="286"/>
  <c r="B13" i="286"/>
  <c r="V13" i="290"/>
  <c r="U19" i="291"/>
  <c r="U25" i="291"/>
  <c r="U15" i="291"/>
  <c r="U14" i="291"/>
  <c r="U32" i="291"/>
  <c r="U18" i="291"/>
  <c r="U31" i="291"/>
  <c r="W13" i="290"/>
  <c r="B11" i="290"/>
  <c r="C11" i="290"/>
  <c r="T20" i="265"/>
  <c r="T22" i="265"/>
  <c r="J71" i="289"/>
  <c r="G72" i="289"/>
  <c r="L31" i="287"/>
  <c r="H32" i="287" s="1"/>
  <c r="I31" i="287"/>
  <c r="K31" i="287" s="1"/>
  <c r="J70" i="287"/>
  <c r="G71" i="287"/>
  <c r="L31" i="285"/>
  <c r="H32" i="285" s="1"/>
  <c r="I31" i="285"/>
  <c r="K31" i="285" s="1"/>
  <c r="J69" i="285"/>
  <c r="G70" i="285"/>
  <c r="I30" i="283"/>
  <c r="K30" i="283" s="1"/>
  <c r="L30" i="283"/>
  <c r="H31" i="283" s="1"/>
  <c r="G71" i="283"/>
  <c r="J70" i="283"/>
  <c r="L31" i="280"/>
  <c r="H32" i="280" s="1"/>
  <c r="I31" i="280"/>
  <c r="K31" i="280" s="1"/>
  <c r="J69" i="280"/>
  <c r="G70" i="280"/>
  <c r="L31" i="278"/>
  <c r="H32" i="278" s="1"/>
  <c r="I31" i="278"/>
  <c r="K31" i="278" s="1"/>
  <c r="J69" i="278"/>
  <c r="G70" i="278"/>
  <c r="L33" i="275"/>
  <c r="H34" i="275" s="1"/>
  <c r="I33" i="275"/>
  <c r="K33" i="275" s="1"/>
  <c r="T26" i="265"/>
  <c r="R27" i="265"/>
  <c r="R29" i="265"/>
  <c r="S13" i="265"/>
  <c r="U24" i="265"/>
  <c r="U30" i="265"/>
  <c r="U28" i="265"/>
  <c r="U16" i="265"/>
  <c r="U23" i="265"/>
  <c r="T40" i="265"/>
  <c r="T17" i="265"/>
  <c r="T21" i="265" s="1"/>
  <c r="G70" i="273"/>
  <c r="T10" i="265"/>
  <c r="T11" i="265" s="1"/>
  <c r="T12" i="265"/>
  <c r="S8" i="265"/>
  <c r="T41" i="265"/>
  <c r="V5" i="265"/>
  <c r="V9" i="265"/>
  <c r="U6" i="265"/>
  <c r="U7" i="265"/>
  <c r="U34" i="265" s="1"/>
  <c r="B15" i="286" l="1"/>
  <c r="D15" i="286" s="1"/>
  <c r="B25" i="286"/>
  <c r="D25" i="286" s="1"/>
  <c r="B32" i="284"/>
  <c r="D32" i="284" s="1"/>
  <c r="B14" i="284"/>
  <c r="D14" i="284" s="1"/>
  <c r="B18" i="284"/>
  <c r="D18" i="284" s="1"/>
  <c r="B32" i="286"/>
  <c r="D32" i="286" s="1"/>
  <c r="B14" i="286"/>
  <c r="D14" i="286" s="1"/>
  <c r="L33" i="289"/>
  <c r="H34" i="289" s="1"/>
  <c r="I33" i="289"/>
  <c r="K33" i="289" s="1"/>
  <c r="B18" i="286"/>
  <c r="D18" i="286" s="1"/>
  <c r="T13" i="265"/>
  <c r="T31" i="265" s="1"/>
  <c r="D12" i="288"/>
  <c r="W15" i="290"/>
  <c r="W25" i="290"/>
  <c r="W19" i="290"/>
  <c r="W31" i="290"/>
  <c r="W14" i="290"/>
  <c r="W32" i="290"/>
  <c r="W18" i="290"/>
  <c r="C13" i="290"/>
  <c r="B13" i="290"/>
  <c r="B31" i="286"/>
  <c r="D31" i="286" s="1"/>
  <c r="V11" i="291"/>
  <c r="V12" i="291"/>
  <c r="W11" i="291"/>
  <c r="W31" i="274"/>
  <c r="W15" i="274"/>
  <c r="W25" i="274"/>
  <c r="W19" i="274"/>
  <c r="W14" i="274"/>
  <c r="W32" i="274"/>
  <c r="W18" i="274"/>
  <c r="C13" i="274"/>
  <c r="B13" i="274"/>
  <c r="V11" i="276"/>
  <c r="V12" i="276"/>
  <c r="W11" i="276"/>
  <c r="U19" i="281"/>
  <c r="U14" i="281"/>
  <c r="U25" i="281"/>
  <c r="U15" i="281"/>
  <c r="U32" i="281"/>
  <c r="U18" i="281"/>
  <c r="U31" i="281"/>
  <c r="S25" i="288"/>
  <c r="S19" i="288"/>
  <c r="S14" i="288"/>
  <c r="S15" i="288"/>
  <c r="S32" i="288"/>
  <c r="S18" i="288"/>
  <c r="S31" i="288"/>
  <c r="C13" i="288"/>
  <c r="B13" i="288"/>
  <c r="B15" i="284"/>
  <c r="D15" i="284" s="1"/>
  <c r="B19" i="286"/>
  <c r="D19" i="286" s="1"/>
  <c r="T31" i="288"/>
  <c r="T14" i="288"/>
  <c r="T19" i="288"/>
  <c r="T15" i="288"/>
  <c r="T25" i="288"/>
  <c r="T32" i="288"/>
  <c r="B32" i="288" s="1"/>
  <c r="D32" i="288" s="1"/>
  <c r="T18" i="288"/>
  <c r="B19" i="284"/>
  <c r="D19" i="284" s="1"/>
  <c r="B31" i="284"/>
  <c r="D31" i="284" s="1"/>
  <c r="D12" i="274"/>
  <c r="B25" i="284"/>
  <c r="D25" i="284" s="1"/>
  <c r="V22" i="281"/>
  <c r="B22" i="281" s="1"/>
  <c r="D22" i="281" s="1"/>
  <c r="V10" i="281"/>
  <c r="V34" i="281"/>
  <c r="B34" i="281" s="1"/>
  <c r="D34" i="281" s="1"/>
  <c r="V20" i="281"/>
  <c r="B20" i="281" s="1"/>
  <c r="D20" i="281" s="1"/>
  <c r="V26" i="281"/>
  <c r="B26" i="281" s="1"/>
  <c r="D26" i="281" s="1"/>
  <c r="V14" i="274"/>
  <c r="V25" i="274"/>
  <c r="V15" i="274"/>
  <c r="V19" i="274"/>
  <c r="V32" i="274"/>
  <c r="V18" i="274"/>
  <c r="V31" i="274"/>
  <c r="V14" i="290"/>
  <c r="V25" i="290"/>
  <c r="V19" i="290"/>
  <c r="V15" i="290"/>
  <c r="V32" i="290"/>
  <c r="V18" i="290"/>
  <c r="V31" i="290"/>
  <c r="J72" i="289"/>
  <c r="G73" i="289"/>
  <c r="I32" i="287"/>
  <c r="K32" i="287" s="1"/>
  <c r="J5" i="287" s="1"/>
  <c r="Z46" i="288" s="1" a="1"/>
  <c r="Z46" i="288" s="1"/>
  <c r="L32" i="287"/>
  <c r="H33" i="287" s="1"/>
  <c r="J71" i="287"/>
  <c r="G72" i="287"/>
  <c r="L32" i="285"/>
  <c r="H33" i="285" s="1"/>
  <c r="I32" i="285"/>
  <c r="K32" i="285" s="1"/>
  <c r="J5" i="285" s="1"/>
  <c r="Z46" i="286" s="1" a="1"/>
  <c r="Z46" i="286" s="1"/>
  <c r="J70" i="285"/>
  <c r="G71" i="285"/>
  <c r="L31" i="283"/>
  <c r="H32" i="283" s="1"/>
  <c r="I31" i="283"/>
  <c r="K31" i="283" s="1"/>
  <c r="J71" i="283"/>
  <c r="G72" i="283"/>
  <c r="L32" i="280"/>
  <c r="H33" i="280" s="1"/>
  <c r="I32" i="280"/>
  <c r="K32" i="280" s="1"/>
  <c r="G71" i="280"/>
  <c r="J70" i="280"/>
  <c r="L32" i="278"/>
  <c r="H33" i="278" s="1"/>
  <c r="I32" i="278"/>
  <c r="K32" i="278" s="1"/>
  <c r="J5" i="278" s="1"/>
  <c r="Z46" i="279" s="1" a="1"/>
  <c r="Z46" i="279" s="1"/>
  <c r="J70" i="278"/>
  <c r="G71" i="278"/>
  <c r="I34" i="275"/>
  <c r="K34" i="275" s="1"/>
  <c r="L34" i="275"/>
  <c r="H35" i="275" s="1"/>
  <c r="U22" i="265"/>
  <c r="S29" i="265"/>
  <c r="S27" i="265"/>
  <c r="V30" i="265"/>
  <c r="V28" i="265"/>
  <c r="V16" i="265"/>
  <c r="V23" i="265"/>
  <c r="V24" i="265"/>
  <c r="U26" i="265"/>
  <c r="S31" i="265"/>
  <c r="S14" i="265"/>
  <c r="S18" i="265"/>
  <c r="S25" i="265"/>
  <c r="S15" i="265"/>
  <c r="S19" i="265"/>
  <c r="S32" i="265"/>
  <c r="U40" i="265"/>
  <c r="U17" i="265"/>
  <c r="U21" i="265" s="1"/>
  <c r="U20" i="265"/>
  <c r="G71" i="273"/>
  <c r="U10" i="265"/>
  <c r="U11" i="265" s="1"/>
  <c r="T8" i="265"/>
  <c r="U41" i="265"/>
  <c r="U12" i="265"/>
  <c r="W5" i="265"/>
  <c r="V6" i="265"/>
  <c r="W9" i="265"/>
  <c r="V7" i="265"/>
  <c r="V34" i="265" s="1"/>
  <c r="B18" i="288" l="1"/>
  <c r="D18" i="288" s="1"/>
  <c r="B31" i="288"/>
  <c r="D31" i="288" s="1"/>
  <c r="T19" i="265"/>
  <c r="T32" i="265"/>
  <c r="T18" i="265"/>
  <c r="T15" i="265"/>
  <c r="T25" i="265"/>
  <c r="T14" i="265"/>
  <c r="I34" i="289"/>
  <c r="K34" i="289" s="1"/>
  <c r="L34" i="289"/>
  <c r="H35" i="289" s="1"/>
  <c r="B32" i="274"/>
  <c r="D32" i="274" s="1"/>
  <c r="B18" i="274"/>
  <c r="D18" i="274" s="1"/>
  <c r="B19" i="274"/>
  <c r="D19" i="274" s="1"/>
  <c r="B25" i="274"/>
  <c r="D25" i="274" s="1"/>
  <c r="B25" i="288"/>
  <c r="D25" i="288" s="1"/>
  <c r="B14" i="288"/>
  <c r="D14" i="288" s="1"/>
  <c r="V11" i="281"/>
  <c r="V12" i="281"/>
  <c r="W11" i="281"/>
  <c r="C12" i="276"/>
  <c r="B12" i="276"/>
  <c r="V13" i="291"/>
  <c r="B19" i="288"/>
  <c r="D19" i="288" s="1"/>
  <c r="B18" i="290"/>
  <c r="D18" i="290" s="1"/>
  <c r="B14" i="274"/>
  <c r="D14" i="274" s="1"/>
  <c r="B32" i="290"/>
  <c r="D32" i="290" s="1"/>
  <c r="V13" i="276"/>
  <c r="B14" i="290"/>
  <c r="D14" i="290" s="1"/>
  <c r="B31" i="290"/>
  <c r="D31" i="290" s="1"/>
  <c r="B15" i="274"/>
  <c r="D15" i="274" s="1"/>
  <c r="B19" i="290"/>
  <c r="D19" i="290" s="1"/>
  <c r="B31" i="274"/>
  <c r="D31" i="274" s="1"/>
  <c r="B25" i="290"/>
  <c r="D25" i="290" s="1"/>
  <c r="B12" i="291"/>
  <c r="C12" i="291"/>
  <c r="B15" i="288"/>
  <c r="D15" i="288" s="1"/>
  <c r="W13" i="276"/>
  <c r="B11" i="276"/>
  <c r="C11" i="276"/>
  <c r="W13" i="291"/>
  <c r="C11" i="291"/>
  <c r="B11" i="291"/>
  <c r="B15" i="290"/>
  <c r="D15" i="290" s="1"/>
  <c r="J73" i="289"/>
  <c r="G74" i="289"/>
  <c r="I33" i="287"/>
  <c r="K33" i="287" s="1"/>
  <c r="L33" i="287"/>
  <c r="H34" i="287" s="1"/>
  <c r="Z48" i="288"/>
  <c r="Z50" i="288"/>
  <c r="Z57" i="288" s="1"/>
  <c r="J72" i="287"/>
  <c r="G73" i="287"/>
  <c r="Z48" i="286"/>
  <c r="Z50" i="286"/>
  <c r="Z57" i="286" s="1"/>
  <c r="I33" i="285"/>
  <c r="K33" i="285" s="1"/>
  <c r="L33" i="285"/>
  <c r="H34" i="285" s="1"/>
  <c r="J71" i="285"/>
  <c r="G72" i="285"/>
  <c r="L32" i="283"/>
  <c r="H33" i="283" s="1"/>
  <c r="I32" i="283"/>
  <c r="K32" i="283" s="1"/>
  <c r="G73" i="283"/>
  <c r="J72" i="283"/>
  <c r="I33" i="280"/>
  <c r="K33" i="280" s="1"/>
  <c r="L33" i="280"/>
  <c r="H34" i="280" s="1"/>
  <c r="J71" i="280"/>
  <c r="G72" i="280"/>
  <c r="Z50" i="279"/>
  <c r="Z57" i="279" s="1"/>
  <c r="Z48" i="279"/>
  <c r="L33" i="278"/>
  <c r="H34" i="278" s="1"/>
  <c r="I33" i="278"/>
  <c r="K33" i="278" s="1"/>
  <c r="J71" i="278"/>
  <c r="G72" i="278"/>
  <c r="D26" i="275"/>
  <c r="D27" i="275"/>
  <c r="D28" i="275"/>
  <c r="D29" i="275"/>
  <c r="D30" i="275"/>
  <c r="D31" i="275"/>
  <c r="D32" i="275"/>
  <c r="D33" i="275"/>
  <c r="D34" i="275"/>
  <c r="D35" i="275"/>
  <c r="D36" i="275"/>
  <c r="D37" i="275"/>
  <c r="D38" i="275"/>
  <c r="D39" i="275"/>
  <c r="F39" i="275" s="1"/>
  <c r="D40" i="275"/>
  <c r="D41" i="275"/>
  <c r="D42" i="275"/>
  <c r="F42" i="275" s="1"/>
  <c r="D43" i="275"/>
  <c r="D44" i="275"/>
  <c r="D45" i="275"/>
  <c r="D46" i="275"/>
  <c r="D47" i="275"/>
  <c r="D48" i="275"/>
  <c r="D49" i="275"/>
  <c r="D50" i="275"/>
  <c r="D51" i="275"/>
  <c r="D52" i="275"/>
  <c r="D53" i="275"/>
  <c r="D54" i="275"/>
  <c r="D55" i="275"/>
  <c r="D56" i="275"/>
  <c r="D57" i="275"/>
  <c r="D58" i="275"/>
  <c r="D59" i="275"/>
  <c r="D60" i="275"/>
  <c r="D61" i="275"/>
  <c r="D62" i="275"/>
  <c r="D63" i="275"/>
  <c r="D64" i="275"/>
  <c r="D65" i="275"/>
  <c r="D66" i="275"/>
  <c r="D67" i="275"/>
  <c r="D68" i="275"/>
  <c r="D69" i="275"/>
  <c r="D70" i="275"/>
  <c r="D71" i="275"/>
  <c r="D72" i="275"/>
  <c r="D73" i="275"/>
  <c r="D74" i="275"/>
  <c r="D75" i="275"/>
  <c r="D76" i="275"/>
  <c r="F76" i="275" s="1"/>
  <c r="D77" i="275"/>
  <c r="F77" i="275" s="1"/>
  <c r="D78" i="275"/>
  <c r="F78" i="275" s="1"/>
  <c r="D79" i="275"/>
  <c r="F79" i="275" s="1"/>
  <c r="D80" i="275"/>
  <c r="F80" i="275" s="1"/>
  <c r="D81" i="275"/>
  <c r="F81" i="275" s="1"/>
  <c r="D82" i="275"/>
  <c r="F82" i="275" s="1"/>
  <c r="D83" i="275"/>
  <c r="F83" i="275" s="1"/>
  <c r="D84" i="275"/>
  <c r="F84" i="275" s="1"/>
  <c r="D85" i="275"/>
  <c r="F85" i="275" s="1"/>
  <c r="D86" i="275"/>
  <c r="F86" i="275" s="1"/>
  <c r="L35" i="275"/>
  <c r="H36" i="275" s="1"/>
  <c r="I35" i="275"/>
  <c r="K35" i="275" s="1"/>
  <c r="V26" i="265"/>
  <c r="V22" i="265"/>
  <c r="T29" i="265"/>
  <c r="T27" i="265"/>
  <c r="W23" i="265"/>
  <c r="W16" i="265"/>
  <c r="W24" i="265"/>
  <c r="W30" i="265"/>
  <c r="W28" i="265"/>
  <c r="U13" i="265"/>
  <c r="V40" i="265"/>
  <c r="V17" i="265"/>
  <c r="V21" i="265" s="1"/>
  <c r="V20" i="265"/>
  <c r="G72" i="273"/>
  <c r="V10" i="265"/>
  <c r="V11" i="265" s="1"/>
  <c r="X5" i="265"/>
  <c r="X9" i="265"/>
  <c r="W6" i="265"/>
  <c r="W7" i="265"/>
  <c r="W34" i="265" s="1"/>
  <c r="V41" i="265"/>
  <c r="U8" i="265"/>
  <c r="I35" i="289" l="1"/>
  <c r="K35" i="289" s="1"/>
  <c r="J6" i="289" s="1"/>
  <c r="AA46" i="290" s="1" a="1"/>
  <c r="AA46" i="290" s="1"/>
  <c r="L35" i="289"/>
  <c r="H36" i="289" s="1"/>
  <c r="V32" i="276"/>
  <c r="V14" i="276"/>
  <c r="V25" i="276"/>
  <c r="V18" i="276"/>
  <c r="V19" i="276"/>
  <c r="V15" i="276"/>
  <c r="V31" i="276"/>
  <c r="D12" i="291"/>
  <c r="W31" i="276"/>
  <c r="B31" i="276" s="1"/>
  <c r="D31" i="276" s="1"/>
  <c r="W32" i="276"/>
  <c r="W14" i="276"/>
  <c r="W25" i="276"/>
  <c r="W18" i="276"/>
  <c r="W19" i="276"/>
  <c r="W15" i="276"/>
  <c r="B13" i="276"/>
  <c r="C13" i="276"/>
  <c r="V14" i="291"/>
  <c r="V25" i="291"/>
  <c r="V19" i="291"/>
  <c r="V15" i="291"/>
  <c r="V32" i="291"/>
  <c r="V18" i="291"/>
  <c r="V31" i="291"/>
  <c r="D12" i="276"/>
  <c r="W13" i="281"/>
  <c r="C11" i="281"/>
  <c r="B11" i="281"/>
  <c r="W26" i="265"/>
  <c r="W19" i="291"/>
  <c r="W25" i="291"/>
  <c r="W31" i="291"/>
  <c r="W14" i="291"/>
  <c r="W15" i="291"/>
  <c r="W32" i="291"/>
  <c r="W18" i="291"/>
  <c r="B13" i="291"/>
  <c r="C13" i="291"/>
  <c r="V13" i="281"/>
  <c r="B12" i="281"/>
  <c r="C12" i="281"/>
  <c r="D12" i="281" s="1"/>
  <c r="W22" i="265"/>
  <c r="W20" i="265"/>
  <c r="J74" i="289"/>
  <c r="G75" i="289"/>
  <c r="L34" i="287"/>
  <c r="H35" i="287" s="1"/>
  <c r="I34" i="287"/>
  <c r="K34" i="287" s="1"/>
  <c r="J73" i="287"/>
  <c r="G74" i="287"/>
  <c r="I34" i="285"/>
  <c r="K34" i="285" s="1"/>
  <c r="L34" i="285"/>
  <c r="H35" i="285" s="1"/>
  <c r="J72" i="285"/>
  <c r="G73" i="285"/>
  <c r="L33" i="283"/>
  <c r="H34" i="283" s="1"/>
  <c r="I33" i="283"/>
  <c r="K33" i="283" s="1"/>
  <c r="J73" i="283"/>
  <c r="G74" i="283"/>
  <c r="L34" i="280"/>
  <c r="H35" i="280" s="1"/>
  <c r="I34" i="280"/>
  <c r="K34" i="280" s="1"/>
  <c r="J72" i="280"/>
  <c r="G73" i="280"/>
  <c r="I34" i="278"/>
  <c r="K34" i="278" s="1"/>
  <c r="L34" i="278"/>
  <c r="H35" i="278" s="1"/>
  <c r="J72" i="278"/>
  <c r="G73" i="278"/>
  <c r="F46" i="275"/>
  <c r="F34" i="275"/>
  <c r="F48" i="275"/>
  <c r="F69" i="275"/>
  <c r="F33" i="275"/>
  <c r="F72" i="275"/>
  <c r="F36" i="275"/>
  <c r="F71" i="275"/>
  <c r="F35" i="275"/>
  <c r="F70" i="275"/>
  <c r="F58" i="275"/>
  <c r="F57" i="275"/>
  <c r="F45" i="275"/>
  <c r="F68" i="275"/>
  <c r="F56" i="275"/>
  <c r="F44" i="275"/>
  <c r="F32" i="275"/>
  <c r="F67" i="275"/>
  <c r="F55" i="275"/>
  <c r="F43" i="275"/>
  <c r="F31" i="275"/>
  <c r="F30" i="275"/>
  <c r="F65" i="275"/>
  <c r="F53" i="275"/>
  <c r="F41" i="275"/>
  <c r="F29" i="275"/>
  <c r="F60" i="275"/>
  <c r="F54" i="275"/>
  <c r="F64" i="275"/>
  <c r="F52" i="275"/>
  <c r="F40" i="275"/>
  <c r="F28" i="275"/>
  <c r="F47" i="275"/>
  <c r="F75" i="275"/>
  <c r="F63" i="275"/>
  <c r="F51" i="275"/>
  <c r="F8" i="275"/>
  <c r="F27" i="275"/>
  <c r="F74" i="275"/>
  <c r="F62" i="275"/>
  <c r="F50" i="275"/>
  <c r="F38" i="275"/>
  <c r="F9" i="275"/>
  <c r="F59" i="275"/>
  <c r="F66" i="275"/>
  <c r="F73" i="275"/>
  <c r="F61" i="275"/>
  <c r="F49" i="275"/>
  <c r="F37" i="275"/>
  <c r="I36" i="275"/>
  <c r="K36" i="275" s="1"/>
  <c r="L36" i="275"/>
  <c r="H37" i="275" s="1"/>
  <c r="V12" i="265"/>
  <c r="V13" i="265" s="1"/>
  <c r="V31" i="265" s="1"/>
  <c r="V25" i="265"/>
  <c r="U31" i="265"/>
  <c r="U18" i="265"/>
  <c r="U14" i="265"/>
  <c r="U15" i="265"/>
  <c r="U32" i="265"/>
  <c r="U25" i="265"/>
  <c r="U19" i="265"/>
  <c r="E5" i="272"/>
  <c r="D27" i="272" s="1"/>
  <c r="X23" i="265"/>
  <c r="X16" i="265"/>
  <c r="X28" i="265"/>
  <c r="X24" i="265"/>
  <c r="X30" i="265"/>
  <c r="W40" i="265"/>
  <c r="W17" i="265"/>
  <c r="W21" i="265" s="1"/>
  <c r="G73" i="273"/>
  <c r="W10" i="265"/>
  <c r="W11" i="265" s="1"/>
  <c r="B11" i="265" s="1"/>
  <c r="Y9" i="265"/>
  <c r="Z9" i="265" s="1"/>
  <c r="AA9" i="265" s="1"/>
  <c r="AB9" i="265" s="1"/>
  <c r="AC9" i="265" s="1"/>
  <c r="AD9" i="265" s="1"/>
  <c r="AE9" i="265" s="1"/>
  <c r="AF9" i="265" s="1"/>
  <c r="AG9" i="265" s="1"/>
  <c r="AH9" i="265" s="1"/>
  <c r="AI9" i="265" s="1"/>
  <c r="AJ9" i="265" s="1"/>
  <c r="AK9" i="265" s="1"/>
  <c r="AL9" i="265" s="1"/>
  <c r="AM9" i="265" s="1"/>
  <c r="AN9" i="265" s="1"/>
  <c r="AO9" i="265" s="1"/>
  <c r="AP9" i="265" s="1"/>
  <c r="AQ9" i="265" s="1"/>
  <c r="AR9" i="265" s="1"/>
  <c r="X6" i="265"/>
  <c r="X17" i="265" s="1"/>
  <c r="X21" i="265" s="1"/>
  <c r="X7" i="265"/>
  <c r="X34" i="265" s="1"/>
  <c r="W41" i="265"/>
  <c r="W12" i="265"/>
  <c r="V8" i="265"/>
  <c r="B25" i="291" l="1"/>
  <c r="D25" i="291" s="1"/>
  <c r="B19" i="291"/>
  <c r="D19" i="291" s="1"/>
  <c r="AA50" i="290"/>
  <c r="AA57" i="290" s="1"/>
  <c r="Y16" i="159" s="1"/>
  <c r="AA48" i="290"/>
  <c r="I36" i="289"/>
  <c r="K36" i="289" s="1"/>
  <c r="L36" i="289"/>
  <c r="H37" i="289" s="1"/>
  <c r="B25" i="276"/>
  <c r="D25" i="276" s="1"/>
  <c r="D73" i="272"/>
  <c r="F73" i="272" s="1"/>
  <c r="D36" i="272"/>
  <c r="B32" i="276"/>
  <c r="D32" i="276" s="1"/>
  <c r="B12" i="265"/>
  <c r="V15" i="265"/>
  <c r="B15" i="291"/>
  <c r="D15" i="291" s="1"/>
  <c r="D37" i="272"/>
  <c r="B14" i="291"/>
  <c r="D14" i="291" s="1"/>
  <c r="B14" i="276"/>
  <c r="D14" i="276" s="1"/>
  <c r="D76" i="272"/>
  <c r="F76" i="272" s="1"/>
  <c r="V14" i="265"/>
  <c r="V14" i="281"/>
  <c r="V25" i="281"/>
  <c r="V15" i="281"/>
  <c r="V19" i="281"/>
  <c r="V32" i="281"/>
  <c r="V18" i="281"/>
  <c r="V31" i="281"/>
  <c r="B31" i="291"/>
  <c r="D31" i="291" s="1"/>
  <c r="D74" i="272"/>
  <c r="F74" i="272" s="1"/>
  <c r="W15" i="281"/>
  <c r="W14" i="281"/>
  <c r="W19" i="281"/>
  <c r="W25" i="281"/>
  <c r="W31" i="281"/>
  <c r="W32" i="281"/>
  <c r="W18" i="281"/>
  <c r="C13" i="281"/>
  <c r="B13" i="281"/>
  <c r="B15" i="276"/>
  <c r="D15" i="276" s="1"/>
  <c r="D59" i="272"/>
  <c r="F59" i="272" s="1"/>
  <c r="B18" i="291"/>
  <c r="D18" i="291" s="1"/>
  <c r="B19" i="276"/>
  <c r="D19" i="276" s="1"/>
  <c r="D55" i="272"/>
  <c r="F55" i="272" s="1"/>
  <c r="B32" i="291"/>
  <c r="D32" i="291" s="1"/>
  <c r="B18" i="276"/>
  <c r="D18" i="276" s="1"/>
  <c r="D72" i="272"/>
  <c r="F72" i="272" s="1"/>
  <c r="D53" i="272"/>
  <c r="F53" i="272" s="1"/>
  <c r="D34" i="272"/>
  <c r="F34" i="272" s="1"/>
  <c r="D54" i="272"/>
  <c r="F54" i="272" s="1"/>
  <c r="D68" i="272"/>
  <c r="F68" i="272" s="1"/>
  <c r="D50" i="272"/>
  <c r="F50" i="272" s="1"/>
  <c r="D33" i="272"/>
  <c r="D86" i="272"/>
  <c r="F86" i="272" s="1"/>
  <c r="D67" i="272"/>
  <c r="F67" i="272" s="1"/>
  <c r="D49" i="272"/>
  <c r="F49" i="272" s="1"/>
  <c r="D32" i="272"/>
  <c r="F32" i="272" s="1"/>
  <c r="D35" i="272"/>
  <c r="F35" i="272" s="1"/>
  <c r="D85" i="272"/>
  <c r="F85" i="272" s="1"/>
  <c r="D66" i="272"/>
  <c r="F66" i="272" s="1"/>
  <c r="D48" i="272"/>
  <c r="F48" i="272" s="1"/>
  <c r="D31" i="272"/>
  <c r="F31" i="272" s="1"/>
  <c r="D81" i="272"/>
  <c r="F81" i="272" s="1"/>
  <c r="D65" i="272"/>
  <c r="F65" i="272" s="1"/>
  <c r="D47" i="272"/>
  <c r="F47" i="272" s="1"/>
  <c r="D80" i="272"/>
  <c r="F80" i="272" s="1"/>
  <c r="D64" i="272"/>
  <c r="F64" i="272" s="1"/>
  <c r="D46" i="272"/>
  <c r="F46" i="272" s="1"/>
  <c r="D79" i="272"/>
  <c r="F79" i="272" s="1"/>
  <c r="D62" i="272"/>
  <c r="F62" i="272" s="1"/>
  <c r="D45" i="272"/>
  <c r="F45" i="272" s="1"/>
  <c r="D78" i="272"/>
  <c r="F78" i="272" s="1"/>
  <c r="D61" i="272"/>
  <c r="F61" i="272" s="1"/>
  <c r="D41" i="272"/>
  <c r="F41" i="272" s="1"/>
  <c r="V19" i="265"/>
  <c r="D77" i="272"/>
  <c r="F77" i="272" s="1"/>
  <c r="D60" i="272"/>
  <c r="F60" i="272" s="1"/>
  <c r="D38" i="272"/>
  <c r="F38" i="272" s="1"/>
  <c r="V32" i="265"/>
  <c r="J75" i="289"/>
  <c r="G76" i="289"/>
  <c r="L35" i="287"/>
  <c r="H36" i="287" s="1"/>
  <c r="I35" i="287"/>
  <c r="K35" i="287" s="1"/>
  <c r="J6" i="287" s="1"/>
  <c r="AA46" i="288" s="1" a="1"/>
  <c r="AA46" i="288" s="1"/>
  <c r="J74" i="287"/>
  <c r="G75" i="287"/>
  <c r="L35" i="285"/>
  <c r="H36" i="285" s="1"/>
  <c r="I35" i="285"/>
  <c r="K35" i="285" s="1"/>
  <c r="J6" i="285" s="1"/>
  <c r="AA46" i="286" s="1" a="1"/>
  <c r="AA46" i="286" s="1"/>
  <c r="J73" i="285"/>
  <c r="G74" i="285"/>
  <c r="I34" i="283"/>
  <c r="K34" i="283" s="1"/>
  <c r="L34" i="283"/>
  <c r="H35" i="283" s="1"/>
  <c r="G75" i="283"/>
  <c r="J74" i="283"/>
  <c r="L35" i="280"/>
  <c r="H36" i="280" s="1"/>
  <c r="I35" i="280"/>
  <c r="K35" i="280" s="1"/>
  <c r="J6" i="280" s="1"/>
  <c r="AA46" i="281" s="1" a="1"/>
  <c r="AA46" i="281" s="1"/>
  <c r="J73" i="280"/>
  <c r="G74" i="280"/>
  <c r="I35" i="278"/>
  <c r="K35" i="278" s="1"/>
  <c r="J6" i="278" s="1"/>
  <c r="AA46" i="279" s="1" a="1"/>
  <c r="AA46" i="279" s="1"/>
  <c r="L35" i="278"/>
  <c r="H36" i="278" s="1"/>
  <c r="J73" i="278"/>
  <c r="G74" i="278"/>
  <c r="J6" i="275"/>
  <c r="AA46" i="276" s="1" a="1"/>
  <c r="AA46" i="276" s="1"/>
  <c r="AA50" i="276" s="1"/>
  <c r="AA57" i="276" s="1"/>
  <c r="G34" i="275"/>
  <c r="G30" i="275"/>
  <c r="G31" i="275"/>
  <c r="G35" i="275"/>
  <c r="G33" i="275"/>
  <c r="G27" i="275"/>
  <c r="G29" i="275"/>
  <c r="G36" i="275"/>
  <c r="G32" i="275"/>
  <c r="G28" i="275"/>
  <c r="J4" i="275"/>
  <c r="Y46" i="276" s="1" a="1"/>
  <c r="Y46" i="276" s="1"/>
  <c r="G37" i="275"/>
  <c r="G38" i="275"/>
  <c r="I37" i="275"/>
  <c r="K37" i="275" s="1"/>
  <c r="L37" i="275"/>
  <c r="H38" i="275" s="1"/>
  <c r="V18" i="265"/>
  <c r="X22" i="265"/>
  <c r="D84" i="272"/>
  <c r="F84" i="272" s="1"/>
  <c r="D71" i="272"/>
  <c r="F71" i="272" s="1"/>
  <c r="D58" i="272"/>
  <c r="F58" i="272" s="1"/>
  <c r="D44" i="272"/>
  <c r="F44" i="272" s="1"/>
  <c r="D30" i="272"/>
  <c r="F30" i="272" s="1"/>
  <c r="D83" i="272"/>
  <c r="F83" i="272" s="1"/>
  <c r="D70" i="272"/>
  <c r="F70" i="272" s="1"/>
  <c r="D57" i="272"/>
  <c r="F57" i="272" s="1"/>
  <c r="D43" i="272"/>
  <c r="F43" i="272" s="1"/>
  <c r="D29" i="272"/>
  <c r="F29" i="272" s="1"/>
  <c r="D82" i="272"/>
  <c r="F82" i="272" s="1"/>
  <c r="D69" i="272"/>
  <c r="F69" i="272" s="1"/>
  <c r="D56" i="272"/>
  <c r="F56" i="272" s="1"/>
  <c r="D42" i="272"/>
  <c r="F42" i="272" s="1"/>
  <c r="D26" i="272"/>
  <c r="D52" i="272"/>
  <c r="F52" i="272" s="1"/>
  <c r="D40" i="272"/>
  <c r="F40" i="272" s="1"/>
  <c r="D28" i="272"/>
  <c r="F28" i="272" s="1"/>
  <c r="D75" i="272"/>
  <c r="F75" i="272" s="1"/>
  <c r="D63" i="272"/>
  <c r="F63" i="272" s="1"/>
  <c r="D51" i="272"/>
  <c r="F51" i="272" s="1"/>
  <c r="D39" i="272"/>
  <c r="F39" i="272" s="1"/>
  <c r="X20" i="265"/>
  <c r="X26" i="265"/>
  <c r="F33" i="272"/>
  <c r="F37" i="272"/>
  <c r="F36" i="272"/>
  <c r="F27" i="272"/>
  <c r="F8" i="272"/>
  <c r="G74" i="273"/>
  <c r="X10" i="265"/>
  <c r="X11" i="265" s="1"/>
  <c r="C11" i="265" s="1"/>
  <c r="B34" i="265"/>
  <c r="D34" i="265" s="1"/>
  <c r="X8" i="265"/>
  <c r="X12" i="265"/>
  <c r="C12" i="265" s="1"/>
  <c r="W8" i="265"/>
  <c r="U29" i="265" s="1"/>
  <c r="X41" i="265"/>
  <c r="W13" i="265"/>
  <c r="D12" i="265" l="1"/>
  <c r="L37" i="289"/>
  <c r="H38" i="289" s="1"/>
  <c r="I37" i="289"/>
  <c r="K37" i="289" s="1"/>
  <c r="F9" i="272"/>
  <c r="G27" i="272" s="1"/>
  <c r="G28" i="272" s="1"/>
  <c r="G29" i="272" s="1"/>
  <c r="B14" i="281"/>
  <c r="D14" i="281" s="1"/>
  <c r="B32" i="281"/>
  <c r="D32" i="281" s="1"/>
  <c r="B15" i="281"/>
  <c r="D15" i="281" s="1"/>
  <c r="B18" i="281"/>
  <c r="D18" i="281" s="1"/>
  <c r="B31" i="281"/>
  <c r="D31" i="281" s="1"/>
  <c r="B25" i="281"/>
  <c r="D25" i="281" s="1"/>
  <c r="B19" i="281"/>
  <c r="D19" i="281" s="1"/>
  <c r="J76" i="289"/>
  <c r="G77" i="289"/>
  <c r="AA48" i="288"/>
  <c r="AA50" i="288"/>
  <c r="AA57" i="288" s="1"/>
  <c r="I36" i="287"/>
  <c r="K36" i="287" s="1"/>
  <c r="L36" i="287"/>
  <c r="H37" i="287" s="1"/>
  <c r="J75" i="287"/>
  <c r="G76" i="287"/>
  <c r="AA50" i="286"/>
  <c r="AA57" i="286" s="1"/>
  <c r="AA48" i="286"/>
  <c r="I36" i="285"/>
  <c r="K36" i="285" s="1"/>
  <c r="L36" i="285"/>
  <c r="H37" i="285" s="1"/>
  <c r="J74" i="285"/>
  <c r="G75" i="285"/>
  <c r="L35" i="283"/>
  <c r="H36" i="283" s="1"/>
  <c r="I35" i="283"/>
  <c r="K35" i="283" s="1"/>
  <c r="J75" i="283"/>
  <c r="G76" i="283"/>
  <c r="AA48" i="281"/>
  <c r="AA50" i="281"/>
  <c r="AA57" i="281" s="1"/>
  <c r="I36" i="280"/>
  <c r="K36" i="280" s="1"/>
  <c r="L36" i="280"/>
  <c r="H37" i="280" s="1"/>
  <c r="J74" i="280"/>
  <c r="G75" i="280"/>
  <c r="J75" i="280" s="1"/>
  <c r="I36" i="278"/>
  <c r="K36" i="278" s="1"/>
  <c r="L36" i="278"/>
  <c r="H37" i="278" s="1"/>
  <c r="AA48" i="279"/>
  <c r="AA50" i="279"/>
  <c r="AA57" i="279" s="1"/>
  <c r="J74" i="278"/>
  <c r="G75" i="278"/>
  <c r="AA48" i="276"/>
  <c r="G39" i="275"/>
  <c r="Y48" i="276"/>
  <c r="Y50" i="276"/>
  <c r="Y57" i="276" s="1"/>
  <c r="L38" i="275"/>
  <c r="H39" i="275" s="1"/>
  <c r="I38" i="275"/>
  <c r="K38" i="275" s="1"/>
  <c r="J7" i="275" s="1"/>
  <c r="AB46" i="276" s="1" a="1"/>
  <c r="AB46" i="276" s="1"/>
  <c r="U27" i="265"/>
  <c r="V27" i="265"/>
  <c r="X29" i="265"/>
  <c r="X27" i="265"/>
  <c r="W31" i="265"/>
  <c r="W14" i="265"/>
  <c r="W18" i="265"/>
  <c r="W19" i="265"/>
  <c r="W25" i="265"/>
  <c r="W32" i="265"/>
  <c r="W15" i="265"/>
  <c r="W27" i="265"/>
  <c r="W29" i="265"/>
  <c r="V29" i="265"/>
  <c r="G75" i="273"/>
  <c r="X13" i="265"/>
  <c r="B13" i="265"/>
  <c r="G30" i="272" l="1"/>
  <c r="G31" i="272"/>
  <c r="G32" i="272" s="1"/>
  <c r="L38" i="289"/>
  <c r="H39" i="289" s="1"/>
  <c r="I38" i="289"/>
  <c r="K38" i="289" s="1"/>
  <c r="J7" i="289" s="1"/>
  <c r="AB46" i="290" s="1" a="1"/>
  <c r="AB46" i="290" s="1"/>
  <c r="J77" i="289"/>
  <c r="G78" i="289"/>
  <c r="L37" i="287"/>
  <c r="H38" i="287" s="1"/>
  <c r="I37" i="287"/>
  <c r="K37" i="287" s="1"/>
  <c r="J76" i="287"/>
  <c r="G77" i="287"/>
  <c r="L37" i="285"/>
  <c r="H38" i="285" s="1"/>
  <c r="I37" i="285"/>
  <c r="K37" i="285" s="1"/>
  <c r="J75" i="285"/>
  <c r="G76" i="285"/>
  <c r="L36" i="283"/>
  <c r="H37" i="283" s="1"/>
  <c r="I36" i="283"/>
  <c r="K36" i="283" s="1"/>
  <c r="J76" i="283"/>
  <c r="G77" i="283"/>
  <c r="I37" i="280"/>
  <c r="K37" i="280" s="1"/>
  <c r="L37" i="280"/>
  <c r="H38" i="280" s="1"/>
  <c r="G76" i="280"/>
  <c r="L37" i="278"/>
  <c r="H38" i="278" s="1"/>
  <c r="I37" i="278"/>
  <c r="K37" i="278" s="1"/>
  <c r="J75" i="278"/>
  <c r="G76" i="278"/>
  <c r="J39" i="275"/>
  <c r="L39" i="275" s="1"/>
  <c r="H40" i="275" s="1"/>
  <c r="G40" i="275"/>
  <c r="AB50" i="276"/>
  <c r="AB57" i="276" s="1"/>
  <c r="AB48" i="276"/>
  <c r="I39" i="275"/>
  <c r="X31" i="265"/>
  <c r="B31" i="265" s="1"/>
  <c r="X18" i="265"/>
  <c r="X14" i="265"/>
  <c r="X15" i="265"/>
  <c r="X32" i="265"/>
  <c r="X25" i="265"/>
  <c r="X19" i="265"/>
  <c r="G33" i="272"/>
  <c r="G76" i="273"/>
  <c r="C13" i="265"/>
  <c r="AB48" i="290" l="1"/>
  <c r="AB50" i="290"/>
  <c r="AB57" i="290" s="1"/>
  <c r="Z16" i="159" s="1"/>
  <c r="I39" i="289"/>
  <c r="K39" i="289" s="1"/>
  <c r="L39" i="289"/>
  <c r="H40" i="289" s="1"/>
  <c r="J78" i="289"/>
  <c r="G79" i="289"/>
  <c r="L38" i="287"/>
  <c r="H39" i="287" s="1"/>
  <c r="I38" i="287"/>
  <c r="K38" i="287" s="1"/>
  <c r="J7" i="287" s="1"/>
  <c r="AB46" i="288" s="1" a="1"/>
  <c r="AB46" i="288" s="1"/>
  <c r="J77" i="287"/>
  <c r="G78" i="287"/>
  <c r="I38" i="285"/>
  <c r="K38" i="285" s="1"/>
  <c r="J7" i="285" s="1"/>
  <c r="AB46" i="286" s="1" a="1"/>
  <c r="AB46" i="286" s="1"/>
  <c r="L38" i="285"/>
  <c r="H39" i="285" s="1"/>
  <c r="G77" i="285"/>
  <c r="J76" i="285"/>
  <c r="L37" i="283"/>
  <c r="H38" i="283" s="1"/>
  <c r="I37" i="283"/>
  <c r="K37" i="283" s="1"/>
  <c r="J77" i="283"/>
  <c r="G78" i="283"/>
  <c r="I38" i="280"/>
  <c r="K38" i="280" s="1"/>
  <c r="J7" i="280" s="1"/>
  <c r="AB46" i="281" s="1" a="1"/>
  <c r="AB46" i="281" s="1"/>
  <c r="L38" i="280"/>
  <c r="H39" i="280" s="1"/>
  <c r="G77" i="280"/>
  <c r="J76" i="280"/>
  <c r="K39" i="275"/>
  <c r="L38" i="278"/>
  <c r="H39" i="278" s="1"/>
  <c r="I38" i="278"/>
  <c r="K38" i="278" s="1"/>
  <c r="J7" i="278" s="1"/>
  <c r="AB46" i="279" s="1" a="1"/>
  <c r="AB46" i="279" s="1"/>
  <c r="J76" i="278"/>
  <c r="G77" i="278"/>
  <c r="J40" i="275"/>
  <c r="L40" i="275" s="1"/>
  <c r="H41" i="275" s="1"/>
  <c r="G41" i="275"/>
  <c r="I40" i="275"/>
  <c r="G34" i="272"/>
  <c r="G77" i="273"/>
  <c r="L40" i="289" l="1"/>
  <c r="H41" i="289" s="1"/>
  <c r="I40" i="289"/>
  <c r="K40" i="289" s="1"/>
  <c r="J79" i="289"/>
  <c r="G80" i="289"/>
  <c r="AB48" i="288"/>
  <c r="AB50" i="288"/>
  <c r="AB57" i="288" s="1"/>
  <c r="I39" i="287"/>
  <c r="K39" i="287" s="1"/>
  <c r="L39" i="287"/>
  <c r="H40" i="287" s="1"/>
  <c r="J78" i="287"/>
  <c r="G79" i="287"/>
  <c r="I39" i="285"/>
  <c r="K39" i="285" s="1"/>
  <c r="L39" i="285"/>
  <c r="H40" i="285" s="1"/>
  <c r="AB48" i="286"/>
  <c r="AB50" i="286"/>
  <c r="AB57" i="286" s="1"/>
  <c r="G78" i="285"/>
  <c r="J77" i="285"/>
  <c r="L38" i="283"/>
  <c r="H39" i="283" s="1"/>
  <c r="I38" i="283"/>
  <c r="K38" i="283" s="1"/>
  <c r="J4" i="283" s="1"/>
  <c r="Y46" i="284" s="1" a="1"/>
  <c r="Y46" i="284" s="1"/>
  <c r="J78" i="283"/>
  <c r="G79" i="283"/>
  <c r="AB48" i="281"/>
  <c r="AB50" i="281"/>
  <c r="AB57" i="281" s="1"/>
  <c r="I39" i="280"/>
  <c r="K39" i="280" s="1"/>
  <c r="L39" i="280"/>
  <c r="H40" i="280" s="1"/>
  <c r="G78" i="280"/>
  <c r="J77" i="280"/>
  <c r="K40" i="275"/>
  <c r="AB50" i="279"/>
  <c r="AB57" i="279" s="1"/>
  <c r="AM40" i="159" s="1"/>
  <c r="AB48" i="279"/>
  <c r="I39" i="278"/>
  <c r="K39" i="278" s="1"/>
  <c r="L39" i="278"/>
  <c r="H40" i="278" s="1"/>
  <c r="J77" i="278"/>
  <c r="G78" i="278"/>
  <c r="G42" i="275"/>
  <c r="J41" i="275"/>
  <c r="L41" i="275" s="1"/>
  <c r="H42" i="275" s="1"/>
  <c r="I41" i="275"/>
  <c r="G35" i="272"/>
  <c r="G78" i="273"/>
  <c r="M9" i="270"/>
  <c r="F26" i="140"/>
  <c r="M7" i="270"/>
  <c r="I41" i="289" l="1"/>
  <c r="K41" i="289" s="1"/>
  <c r="J8" i="289" s="1"/>
  <c r="AC46" i="290" s="1" a="1"/>
  <c r="AC46" i="290" s="1"/>
  <c r="L41" i="289"/>
  <c r="H42" i="289" s="1"/>
  <c r="J80" i="289"/>
  <c r="G81" i="289"/>
  <c r="L40" i="287"/>
  <c r="H41" i="287" s="1"/>
  <c r="I40" i="287"/>
  <c r="K40" i="287" s="1"/>
  <c r="J79" i="287"/>
  <c r="G80" i="287"/>
  <c r="L40" i="285"/>
  <c r="H41" i="285" s="1"/>
  <c r="I40" i="285"/>
  <c r="K40" i="285" s="1"/>
  <c r="J78" i="285"/>
  <c r="G79" i="285"/>
  <c r="Y48" i="284"/>
  <c r="Y50" i="284"/>
  <c r="Y57" i="284" s="1"/>
  <c r="AB28" i="159" s="1"/>
  <c r="I39" i="283"/>
  <c r="K39" i="283" s="1"/>
  <c r="L39" i="283"/>
  <c r="H40" i="283" s="1"/>
  <c r="J79" i="283"/>
  <c r="G80" i="283"/>
  <c r="L40" i="280"/>
  <c r="H41" i="280" s="1"/>
  <c r="I40" i="280"/>
  <c r="K40" i="280" s="1"/>
  <c r="J78" i="280"/>
  <c r="G79" i="280"/>
  <c r="K41" i="275"/>
  <c r="J8" i="275" s="1"/>
  <c r="AC46" i="276" s="1" a="1"/>
  <c r="AC46" i="276" s="1"/>
  <c r="AC50" i="276" s="1"/>
  <c r="AC57" i="276" s="1"/>
  <c r="I40" i="278"/>
  <c r="K40" i="278" s="1"/>
  <c r="L40" i="278"/>
  <c r="H41" i="278" s="1"/>
  <c r="J78" i="278"/>
  <c r="G79" i="278"/>
  <c r="J42" i="275"/>
  <c r="L42" i="275" s="1"/>
  <c r="H43" i="275" s="1"/>
  <c r="G43" i="275"/>
  <c r="I42" i="275"/>
  <c r="G36" i="272"/>
  <c r="G37" i="272"/>
  <c r="G38" i="272" s="1"/>
  <c r="G79" i="273"/>
  <c r="F21" i="140"/>
  <c r="F18" i="140"/>
  <c r="I42" i="289" l="1"/>
  <c r="K42" i="289" s="1"/>
  <c r="L42" i="289"/>
  <c r="H43" i="289" s="1"/>
  <c r="AC48" i="290"/>
  <c r="AC50" i="290"/>
  <c r="AC57" i="290" s="1"/>
  <c r="AA16" i="159" s="1"/>
  <c r="J81" i="289"/>
  <c r="G82" i="289"/>
  <c r="L41" i="287"/>
  <c r="H42" i="287" s="1"/>
  <c r="I41" i="287"/>
  <c r="K41" i="287" s="1"/>
  <c r="J8" i="287" s="1"/>
  <c r="AC46" i="288" s="1" a="1"/>
  <c r="AC46" i="288" s="1"/>
  <c r="J80" i="287"/>
  <c r="G81" i="287"/>
  <c r="L41" i="285"/>
  <c r="H42" i="285" s="1"/>
  <c r="I41" i="285"/>
  <c r="K41" i="285" s="1"/>
  <c r="J8" i="285" s="1"/>
  <c r="AC46" i="286" s="1" a="1"/>
  <c r="AC46" i="286" s="1"/>
  <c r="G80" i="285"/>
  <c r="J79" i="285"/>
  <c r="L40" i="283"/>
  <c r="H41" i="283" s="1"/>
  <c r="I40" i="283"/>
  <c r="K40" i="283" s="1"/>
  <c r="J80" i="283"/>
  <c r="G81" i="283"/>
  <c r="L41" i="280"/>
  <c r="H42" i="280" s="1"/>
  <c r="I41" i="280"/>
  <c r="K41" i="280" s="1"/>
  <c r="J8" i="280" s="1"/>
  <c r="AC46" i="281" s="1" a="1"/>
  <c r="AC46" i="281" s="1"/>
  <c r="J79" i="280"/>
  <c r="G80" i="280"/>
  <c r="K42" i="275"/>
  <c r="AC48" i="276"/>
  <c r="I41" i="278"/>
  <c r="K41" i="278" s="1"/>
  <c r="L41" i="278"/>
  <c r="H42" i="278" s="1"/>
  <c r="J79" i="278"/>
  <c r="G80" i="278"/>
  <c r="J43" i="275"/>
  <c r="L43" i="275" s="1"/>
  <c r="H44" i="275" s="1"/>
  <c r="G44" i="275"/>
  <c r="I43" i="275"/>
  <c r="G39" i="272"/>
  <c r="G40" i="272" s="1"/>
  <c r="G41" i="272" s="1"/>
  <c r="G42" i="272" s="1"/>
  <c r="G43" i="272" s="1"/>
  <c r="G44" i="272" s="1"/>
  <c r="G45" i="272" s="1"/>
  <c r="G46" i="272" s="1"/>
  <c r="G47" i="272" s="1"/>
  <c r="G48" i="272" s="1"/>
  <c r="G49" i="272" s="1"/>
  <c r="G50" i="272" s="1"/>
  <c r="G51" i="272" s="1"/>
  <c r="G52" i="272" s="1"/>
  <c r="G53" i="272" s="1"/>
  <c r="G54" i="272" s="1"/>
  <c r="G55" i="272" s="1"/>
  <c r="G56" i="272" s="1"/>
  <c r="G57" i="272" s="1"/>
  <c r="G58" i="272" s="1"/>
  <c r="G59" i="272" s="1"/>
  <c r="G60" i="272" s="1"/>
  <c r="G61" i="272" s="1"/>
  <c r="G62" i="272" s="1"/>
  <c r="G63" i="272" s="1"/>
  <c r="G64" i="272" s="1"/>
  <c r="G65" i="272" s="1"/>
  <c r="G66" i="272" s="1"/>
  <c r="G67" i="272" s="1"/>
  <c r="G68" i="272" s="1"/>
  <c r="G69" i="272" s="1"/>
  <c r="G70" i="272" s="1"/>
  <c r="G71" i="272" s="1"/>
  <c r="G72" i="272" s="1"/>
  <c r="G73" i="272" s="1"/>
  <c r="G74" i="272" s="1"/>
  <c r="G75" i="272" s="1"/>
  <c r="G76" i="272" s="1"/>
  <c r="G77" i="272" s="1"/>
  <c r="G78" i="272" s="1"/>
  <c r="G79" i="272" s="1"/>
  <c r="G80" i="272" s="1"/>
  <c r="G81" i="272" s="1"/>
  <c r="G82" i="272" s="1"/>
  <c r="G83" i="272" s="1"/>
  <c r="G84" i="272" s="1"/>
  <c r="G85" i="272" s="1"/>
  <c r="G86" i="272" s="1"/>
  <c r="G80" i="273"/>
  <c r="E14" i="248"/>
  <c r="E16" i="248"/>
  <c r="L43" i="289" l="1"/>
  <c r="H44" i="289" s="1"/>
  <c r="I43" i="289"/>
  <c r="K43" i="289" s="1"/>
  <c r="J82" i="289"/>
  <c r="G83" i="289"/>
  <c r="AC50" i="288"/>
  <c r="AC57" i="288" s="1"/>
  <c r="AC48" i="288"/>
  <c r="L42" i="287"/>
  <c r="H43" i="287" s="1"/>
  <c r="I42" i="287"/>
  <c r="K42" i="287" s="1"/>
  <c r="J81" i="287"/>
  <c r="G82" i="287"/>
  <c r="AC50" i="286"/>
  <c r="AC57" i="286" s="1"/>
  <c r="AC48" i="286"/>
  <c r="I42" i="285"/>
  <c r="K42" i="285" s="1"/>
  <c r="L42" i="285"/>
  <c r="H43" i="285" s="1"/>
  <c r="G81" i="285"/>
  <c r="J80" i="285"/>
  <c r="L41" i="283"/>
  <c r="H42" i="283" s="1"/>
  <c r="I41" i="283"/>
  <c r="K41" i="283" s="1"/>
  <c r="J81" i="283"/>
  <c r="G82" i="283"/>
  <c r="AC48" i="281"/>
  <c r="AC50" i="281"/>
  <c r="AC57" i="281" s="1"/>
  <c r="L42" i="280"/>
  <c r="H43" i="280" s="1"/>
  <c r="I42" i="280"/>
  <c r="K42" i="280" s="1"/>
  <c r="J80" i="280"/>
  <c r="G81" i="280"/>
  <c r="K43" i="275"/>
  <c r="L42" i="278"/>
  <c r="H43" i="278" s="1"/>
  <c r="I42" i="278"/>
  <c r="K42" i="278" s="1"/>
  <c r="J80" i="278"/>
  <c r="G81" i="278"/>
  <c r="J44" i="275"/>
  <c r="L44" i="275" s="1"/>
  <c r="H45" i="275" s="1"/>
  <c r="G45" i="275"/>
  <c r="I44" i="275"/>
  <c r="G81" i="273"/>
  <c r="E17" i="248"/>
  <c r="L44" i="289" l="1"/>
  <c r="H45" i="289" s="1"/>
  <c r="I44" i="289"/>
  <c r="K44" i="289" s="1"/>
  <c r="J9" i="289" s="1"/>
  <c r="AD46" i="290" s="1" a="1"/>
  <c r="AD46" i="290" s="1"/>
  <c r="J83" i="289"/>
  <c r="G84" i="289"/>
  <c r="L43" i="287"/>
  <c r="H44" i="287" s="1"/>
  <c r="I43" i="287"/>
  <c r="K43" i="287" s="1"/>
  <c r="J82" i="287"/>
  <c r="G83" i="287"/>
  <c r="L43" i="285"/>
  <c r="H44" i="285" s="1"/>
  <c r="I43" i="285"/>
  <c r="K43" i="285" s="1"/>
  <c r="J81" i="285"/>
  <c r="G82" i="285"/>
  <c r="L42" i="283"/>
  <c r="H43" i="283" s="1"/>
  <c r="I42" i="283"/>
  <c r="K42" i="283" s="1"/>
  <c r="J82" i="283"/>
  <c r="G83" i="283"/>
  <c r="L43" i="280"/>
  <c r="H44" i="280" s="1"/>
  <c r="I43" i="280"/>
  <c r="K43" i="280" s="1"/>
  <c r="J81" i="280"/>
  <c r="G82" i="280"/>
  <c r="L43" i="278"/>
  <c r="H44" i="278" s="1"/>
  <c r="I43" i="278"/>
  <c r="K43" i="278" s="1"/>
  <c r="J81" i="278"/>
  <c r="G82" i="278"/>
  <c r="K44" i="275"/>
  <c r="J45" i="275"/>
  <c r="L45" i="275" s="1"/>
  <c r="H46" i="275" s="1"/>
  <c r="G46" i="275"/>
  <c r="I45" i="275"/>
  <c r="G82" i="273"/>
  <c r="AD50" i="290" l="1"/>
  <c r="AD57" i="290" s="1"/>
  <c r="AB16" i="159" s="1"/>
  <c r="AD48" i="290"/>
  <c r="L45" i="289"/>
  <c r="H46" i="289" s="1"/>
  <c r="I45" i="289"/>
  <c r="K45" i="289" s="1"/>
  <c r="J84" i="289"/>
  <c r="G85" i="289"/>
  <c r="L44" i="287"/>
  <c r="H45" i="287" s="1"/>
  <c r="I44" i="287"/>
  <c r="K44" i="287" s="1"/>
  <c r="J9" i="287" s="1"/>
  <c r="AD46" i="288" s="1" a="1"/>
  <c r="AD46" i="288" s="1"/>
  <c r="J83" i="287"/>
  <c r="G84" i="287"/>
  <c r="L44" i="285"/>
  <c r="H45" i="285" s="1"/>
  <c r="I44" i="285"/>
  <c r="K44" i="285" s="1"/>
  <c r="J9" i="285" s="1"/>
  <c r="AD46" i="286" s="1" a="1"/>
  <c r="AD46" i="286" s="1"/>
  <c r="J82" i="285"/>
  <c r="G83" i="285"/>
  <c r="L43" i="283"/>
  <c r="H44" i="283" s="1"/>
  <c r="I43" i="283"/>
  <c r="K43" i="283" s="1"/>
  <c r="G84" i="283"/>
  <c r="J84" i="283" s="1"/>
  <c r="J83" i="283"/>
  <c r="I44" i="280"/>
  <c r="K44" i="280" s="1"/>
  <c r="J9" i="280" s="1"/>
  <c r="AD46" i="281" s="1" a="1"/>
  <c r="AD46" i="281" s="1"/>
  <c r="L44" i="280"/>
  <c r="H45" i="280" s="1"/>
  <c r="G83" i="280"/>
  <c r="J82" i="280"/>
  <c r="K45" i="275"/>
  <c r="I44" i="278"/>
  <c r="K44" i="278" s="1"/>
  <c r="L44" i="278"/>
  <c r="H45" i="278" s="1"/>
  <c r="J82" i="278"/>
  <c r="G83" i="278"/>
  <c r="J46" i="275"/>
  <c r="L46" i="275" s="1"/>
  <c r="H47" i="275" s="1"/>
  <c r="G47" i="275"/>
  <c r="I46" i="275"/>
  <c r="G83" i="273"/>
  <c r="M8" i="270"/>
  <c r="L46" i="289" l="1"/>
  <c r="H47" i="289" s="1"/>
  <c r="I46" i="289"/>
  <c r="K46" i="289" s="1"/>
  <c r="J85" i="289"/>
  <c r="G86" i="289"/>
  <c r="J86" i="289" s="1"/>
  <c r="AD48" i="288"/>
  <c r="AD50" i="288"/>
  <c r="AD57" i="288" s="1"/>
  <c r="L45" i="287"/>
  <c r="H46" i="287" s="1"/>
  <c r="I45" i="287"/>
  <c r="K45" i="287" s="1"/>
  <c r="J84" i="287"/>
  <c r="G85" i="287"/>
  <c r="AD50" i="286"/>
  <c r="AD57" i="286" s="1"/>
  <c r="AD48" i="286"/>
  <c r="L45" i="285"/>
  <c r="H46" i="285" s="1"/>
  <c r="I45" i="285"/>
  <c r="K45" i="285" s="1"/>
  <c r="J83" i="285"/>
  <c r="G84" i="285"/>
  <c r="J84" i="285" s="1"/>
  <c r="G85" i="283"/>
  <c r="J85" i="283" s="1"/>
  <c r="L44" i="283"/>
  <c r="H45" i="283" s="1"/>
  <c r="I44" i="283"/>
  <c r="K44" i="283" s="1"/>
  <c r="L45" i="280"/>
  <c r="H46" i="280" s="1"/>
  <c r="I45" i="280"/>
  <c r="K45" i="280" s="1"/>
  <c r="AD48" i="281"/>
  <c r="AD50" i="281"/>
  <c r="AD57" i="281" s="1"/>
  <c r="J83" i="280"/>
  <c r="G84" i="280"/>
  <c r="L45" i="278"/>
  <c r="H46" i="278" s="1"/>
  <c r="I45" i="278"/>
  <c r="K45" i="278" s="1"/>
  <c r="J83" i="278"/>
  <c r="G84" i="278"/>
  <c r="K46" i="275"/>
  <c r="J47" i="275"/>
  <c r="L47" i="275" s="1"/>
  <c r="H48" i="275" s="1"/>
  <c r="G48" i="275"/>
  <c r="I47" i="275"/>
  <c r="G84" i="273"/>
  <c r="E15" i="270"/>
  <c r="F14" i="140"/>
  <c r="F27" i="140" s="1"/>
  <c r="F4" i="270" l="1"/>
  <c r="L47" i="289"/>
  <c r="H48" i="289" s="1"/>
  <c r="I47" i="289"/>
  <c r="K47" i="289" s="1"/>
  <c r="J10" i="289" s="1"/>
  <c r="AE46" i="290" s="1" a="1"/>
  <c r="AE46" i="290" s="1"/>
  <c r="F14" i="270"/>
  <c r="E19" i="270"/>
  <c r="L46" i="287"/>
  <c r="H47" i="287" s="1"/>
  <c r="I46" i="287"/>
  <c r="K46" i="287" s="1"/>
  <c r="J85" i="287"/>
  <c r="G86" i="287"/>
  <c r="J86" i="287" s="1"/>
  <c r="L46" i="285"/>
  <c r="H47" i="285" s="1"/>
  <c r="I46" i="285"/>
  <c r="K46" i="285" s="1"/>
  <c r="G85" i="285"/>
  <c r="J85" i="285" s="1"/>
  <c r="G86" i="283"/>
  <c r="J86" i="283" s="1"/>
  <c r="L45" i="283"/>
  <c r="H46" i="283" s="1"/>
  <c r="I45" i="283"/>
  <c r="K45" i="283" s="1"/>
  <c r="L46" i="280"/>
  <c r="H47" i="280" s="1"/>
  <c r="I46" i="280"/>
  <c r="K46" i="280" s="1"/>
  <c r="J84" i="280"/>
  <c r="G85" i="280"/>
  <c r="J85" i="280" s="1"/>
  <c r="L46" i="278"/>
  <c r="H47" i="278" s="1"/>
  <c r="I46" i="278"/>
  <c r="K46" i="278" s="1"/>
  <c r="J84" i="278"/>
  <c r="G85" i="278"/>
  <c r="K47" i="275"/>
  <c r="J10" i="275" s="1"/>
  <c r="AE46" i="276" s="1" a="1"/>
  <c r="AE46" i="276" s="1"/>
  <c r="AE48" i="276" s="1"/>
  <c r="J48" i="275"/>
  <c r="L48" i="275" s="1"/>
  <c r="H49" i="275" s="1"/>
  <c r="G49" i="275"/>
  <c r="I48" i="275"/>
  <c r="G85" i="273"/>
  <c r="F13" i="270"/>
  <c r="F12" i="270"/>
  <c r="AE48" i="290" l="1"/>
  <c r="AE50" i="290"/>
  <c r="AE57" i="290" s="1"/>
  <c r="AC16" i="159" s="1"/>
  <c r="L48" i="289"/>
  <c r="H49" i="289" s="1"/>
  <c r="I48" i="289"/>
  <c r="K48" i="289" s="1"/>
  <c r="L47" i="287"/>
  <c r="H48" i="287" s="1"/>
  <c r="I47" i="287"/>
  <c r="K47" i="287" s="1"/>
  <c r="J10" i="287" s="1"/>
  <c r="AE46" i="288" s="1" a="1"/>
  <c r="AE46" i="288" s="1"/>
  <c r="L47" i="285"/>
  <c r="H48" i="285" s="1"/>
  <c r="I47" i="285"/>
  <c r="K47" i="285" s="1"/>
  <c r="G86" i="285"/>
  <c r="J86" i="285" s="1"/>
  <c r="L46" i="283"/>
  <c r="H47" i="283" s="1"/>
  <c r="I46" i="283"/>
  <c r="K46" i="283" s="1"/>
  <c r="L47" i="280"/>
  <c r="H48" i="280" s="1"/>
  <c r="I47" i="280"/>
  <c r="K47" i="280" s="1"/>
  <c r="G86" i="280"/>
  <c r="J86" i="280" s="1"/>
  <c r="L47" i="278"/>
  <c r="H48" i="278" s="1"/>
  <c r="I47" i="278"/>
  <c r="K47" i="278" s="1"/>
  <c r="J85" i="278"/>
  <c r="G86" i="278"/>
  <c r="J86" i="278" s="1"/>
  <c r="K48" i="275"/>
  <c r="AE50" i="276"/>
  <c r="AE57" i="276" s="1"/>
  <c r="J49" i="275"/>
  <c r="L49" i="275" s="1"/>
  <c r="H50" i="275" s="1"/>
  <c r="G50" i="275"/>
  <c r="I49" i="275"/>
  <c r="G86" i="273"/>
  <c r="F15" i="270"/>
  <c r="L49" i="289" l="1"/>
  <c r="H50" i="289" s="1"/>
  <c r="I49" i="289"/>
  <c r="K49" i="289" s="1"/>
  <c r="AE50" i="288"/>
  <c r="AE57" i="288" s="1"/>
  <c r="AE48" i="288"/>
  <c r="L48" i="287"/>
  <c r="H49" i="287" s="1"/>
  <c r="I48" i="287"/>
  <c r="K48" i="287" s="1"/>
  <c r="L48" i="285"/>
  <c r="H49" i="285" s="1"/>
  <c r="I48" i="285"/>
  <c r="K48" i="285" s="1"/>
  <c r="L47" i="283"/>
  <c r="H48" i="283" s="1"/>
  <c r="I47" i="283"/>
  <c r="K47" i="283" s="1"/>
  <c r="I48" i="280"/>
  <c r="K48" i="280" s="1"/>
  <c r="L48" i="280"/>
  <c r="H49" i="280" s="1"/>
  <c r="K49" i="275"/>
  <c r="L48" i="278"/>
  <c r="H49" i="278" s="1"/>
  <c r="I48" i="278"/>
  <c r="K48" i="278" s="1"/>
  <c r="J50" i="275"/>
  <c r="L50" i="275" s="1"/>
  <c r="H51" i="275" s="1"/>
  <c r="G51" i="275"/>
  <c r="I50" i="275"/>
  <c r="E22" i="270"/>
  <c r="F21" i="270" s="1"/>
  <c r="N2" i="270"/>
  <c r="N3" i="270" s="1"/>
  <c r="L50" i="289" l="1"/>
  <c r="H51" i="289" s="1"/>
  <c r="I50" i="289"/>
  <c r="K50" i="289" s="1"/>
  <c r="J11" i="289" s="1"/>
  <c r="AF46" i="290" s="1" a="1"/>
  <c r="AF46" i="290" s="1"/>
  <c r="M4" i="289"/>
  <c r="J5" i="289"/>
  <c r="Z46" i="290" s="1" a="1"/>
  <c r="Z46" i="290" s="1"/>
  <c r="L49" i="287"/>
  <c r="H50" i="287" s="1"/>
  <c r="I49" i="287"/>
  <c r="K49" i="287" s="1"/>
  <c r="I49" i="285"/>
  <c r="K49" i="285" s="1"/>
  <c r="L49" i="285"/>
  <c r="H50" i="285" s="1"/>
  <c r="I48" i="283"/>
  <c r="K48" i="283" s="1"/>
  <c r="L48" i="283"/>
  <c r="H49" i="283" s="1"/>
  <c r="I49" i="280"/>
  <c r="K49" i="280" s="1"/>
  <c r="L49" i="280"/>
  <c r="H50" i="280" s="1"/>
  <c r="K50" i="275"/>
  <c r="J11" i="275" s="1"/>
  <c r="AF46" i="276" s="1" a="1"/>
  <c r="AF46" i="276" s="1"/>
  <c r="AF50" i="276" s="1"/>
  <c r="AF57" i="276" s="1"/>
  <c r="I49" i="278"/>
  <c r="K49" i="278" s="1"/>
  <c r="L49" i="278"/>
  <c r="H50" i="278" s="1"/>
  <c r="J51" i="275"/>
  <c r="L51" i="275" s="1"/>
  <c r="H52" i="275" s="1"/>
  <c r="G52" i="275"/>
  <c r="I51" i="275"/>
  <c r="F19" i="270"/>
  <c r="F20" i="270"/>
  <c r="F18" i="270"/>
  <c r="M5" i="289" l="1"/>
  <c r="AF50" i="290"/>
  <c r="AF57" i="290" s="1"/>
  <c r="AD16" i="159" s="1"/>
  <c r="AF48" i="290"/>
  <c r="I51" i="289"/>
  <c r="K51" i="289" s="1"/>
  <c r="L51" i="289"/>
  <c r="H52" i="289" s="1"/>
  <c r="Z50" i="290"/>
  <c r="Z57" i="290" s="1"/>
  <c r="X16" i="159" s="1"/>
  <c r="Z48" i="290"/>
  <c r="L50" i="287"/>
  <c r="H51" i="287" s="1"/>
  <c r="I50" i="287"/>
  <c r="K50" i="287" s="1"/>
  <c r="M5" i="287" s="1"/>
  <c r="M4" i="287"/>
  <c r="L50" i="285"/>
  <c r="H51" i="285" s="1"/>
  <c r="I50" i="285"/>
  <c r="K50" i="285" s="1"/>
  <c r="J11" i="285" s="1"/>
  <c r="AF46" i="286" s="1" a="1"/>
  <c r="AF46" i="286" s="1"/>
  <c r="M4" i="285"/>
  <c r="J10" i="285"/>
  <c r="AE46" i="286" s="1" a="1"/>
  <c r="AE46" i="286" s="1"/>
  <c r="L49" i="283"/>
  <c r="H50" i="283" s="1"/>
  <c r="I49" i="283"/>
  <c r="K49" i="283" s="1"/>
  <c r="M4" i="283"/>
  <c r="J5" i="283"/>
  <c r="Z46" i="284" s="1" a="1"/>
  <c r="Z46" i="284" s="1"/>
  <c r="J10" i="283"/>
  <c r="AE46" i="284" s="1" a="1"/>
  <c r="AE46" i="284" s="1"/>
  <c r="I50" i="280"/>
  <c r="K50" i="280" s="1"/>
  <c r="M5" i="280" s="1"/>
  <c r="L50" i="280"/>
  <c r="H51" i="280" s="1"/>
  <c r="J5" i="280"/>
  <c r="Z46" i="281" s="1" a="1"/>
  <c r="Z46" i="281" s="1"/>
  <c r="M4" i="280"/>
  <c r="J10" i="280"/>
  <c r="AE46" i="281" s="1" a="1"/>
  <c r="AE46" i="281" s="1"/>
  <c r="AF48" i="276"/>
  <c r="L50" i="278"/>
  <c r="H51" i="278" s="1"/>
  <c r="I50" i="278"/>
  <c r="K50" i="278" s="1"/>
  <c r="J8" i="278" s="1"/>
  <c r="AC46" i="279" s="1" a="1"/>
  <c r="AC46" i="279" s="1"/>
  <c r="M4" i="278"/>
  <c r="J9" i="278"/>
  <c r="AD46" i="279" s="1" a="1"/>
  <c r="AD46" i="279" s="1"/>
  <c r="J10" i="278"/>
  <c r="AE46" i="279" s="1" a="1"/>
  <c r="AE46" i="279" s="1"/>
  <c r="K51" i="275"/>
  <c r="J52" i="275"/>
  <c r="L52" i="275" s="1"/>
  <c r="H53" i="275" s="1"/>
  <c r="G53" i="275"/>
  <c r="I52" i="275"/>
  <c r="J5" i="275"/>
  <c r="Z46" i="276" s="1" a="1"/>
  <c r="Z46" i="276" s="1"/>
  <c r="M4" i="275"/>
  <c r="J9" i="275"/>
  <c r="AD46" i="276" s="1" a="1"/>
  <c r="AD46" i="276" s="1"/>
  <c r="M5" i="275"/>
  <c r="F22" i="270"/>
  <c r="J11" i="287" l="1"/>
  <c r="AF46" i="288" s="1" a="1"/>
  <c r="AF46" i="288" s="1"/>
  <c r="AF48" i="288" s="1"/>
  <c r="M5" i="278"/>
  <c r="M5" i="285"/>
  <c r="L52" i="289"/>
  <c r="H53" i="289" s="1"/>
  <c r="I52" i="289"/>
  <c r="K52" i="289" s="1"/>
  <c r="J11" i="278"/>
  <c r="AF46" i="279" s="1" a="1"/>
  <c r="AF46" i="279" s="1"/>
  <c r="AF48" i="279" s="1"/>
  <c r="J11" i="280"/>
  <c r="AF46" i="281" s="1" a="1"/>
  <c r="AF46" i="281" s="1"/>
  <c r="AF50" i="281" s="1"/>
  <c r="AF57" i="281" s="1"/>
  <c r="L51" i="287"/>
  <c r="H52" i="287" s="1"/>
  <c r="I51" i="287"/>
  <c r="K51" i="287" s="1"/>
  <c r="L51" i="285"/>
  <c r="H52" i="285" s="1"/>
  <c r="I51" i="285"/>
  <c r="K51" i="285" s="1"/>
  <c r="AF48" i="286"/>
  <c r="AF50" i="286"/>
  <c r="AF57" i="286" s="1"/>
  <c r="AE48" i="286"/>
  <c r="AE50" i="286"/>
  <c r="AE57" i="286" s="1"/>
  <c r="AE50" i="284"/>
  <c r="AE57" i="284" s="1"/>
  <c r="AE48" i="284"/>
  <c r="Z50" i="284"/>
  <c r="Z57" i="284" s="1"/>
  <c r="AC28" i="159" s="1"/>
  <c r="Z48" i="284"/>
  <c r="L50" i="283"/>
  <c r="H51" i="283" s="1"/>
  <c r="I50" i="283"/>
  <c r="K50" i="283" s="1"/>
  <c r="L51" i="280"/>
  <c r="H52" i="280" s="1"/>
  <c r="I51" i="280"/>
  <c r="K51" i="280" s="1"/>
  <c r="AE48" i="281"/>
  <c r="AE50" i="281"/>
  <c r="AE57" i="281" s="1"/>
  <c r="Z50" i="281"/>
  <c r="Z57" i="281" s="1"/>
  <c r="Z48" i="281"/>
  <c r="AC50" i="279"/>
  <c r="AC57" i="279" s="1"/>
  <c r="AC48" i="279"/>
  <c r="L51" i="278"/>
  <c r="H52" i="278" s="1"/>
  <c r="I51" i="278"/>
  <c r="K51" i="278" s="1"/>
  <c r="AD48" i="279"/>
  <c r="AD50" i="279"/>
  <c r="AD57" i="279" s="1"/>
  <c r="AO40" i="159" s="1"/>
  <c r="AE48" i="279"/>
  <c r="AE50" i="279"/>
  <c r="AE57" i="279" s="1"/>
  <c r="AP40" i="159" s="1"/>
  <c r="K52" i="275"/>
  <c r="J53" i="275"/>
  <c r="L53" i="275" s="1"/>
  <c r="H54" i="275" s="1"/>
  <c r="G54" i="275"/>
  <c r="AD50" i="276"/>
  <c r="AD57" i="276" s="1"/>
  <c r="AD48" i="276"/>
  <c r="Z48" i="276"/>
  <c r="Z50" i="276"/>
  <c r="Z57" i="276" s="1"/>
  <c r="I53" i="275"/>
  <c r="AF50" i="288" l="1"/>
  <c r="AF57" i="288" s="1"/>
  <c r="AH28" i="159"/>
  <c r="AF50" i="279"/>
  <c r="AF57" i="279" s="1"/>
  <c r="AQ40" i="159" s="1"/>
  <c r="I53" i="289"/>
  <c r="K53" i="289" s="1"/>
  <c r="L53" i="289"/>
  <c r="H54" i="289" s="1"/>
  <c r="AN40" i="159"/>
  <c r="AF48" i="281"/>
  <c r="L52" i="287"/>
  <c r="H53" i="287" s="1"/>
  <c r="I52" i="287"/>
  <c r="K52" i="287" s="1"/>
  <c r="L52" i="285"/>
  <c r="H53" i="285" s="1"/>
  <c r="I52" i="285"/>
  <c r="K52" i="285" s="1"/>
  <c r="J11" i="283"/>
  <c r="AF46" i="284" s="1" a="1"/>
  <c r="AF46" i="284" s="1"/>
  <c r="J8" i="283"/>
  <c r="AC46" i="284" s="1" a="1"/>
  <c r="AC46" i="284" s="1"/>
  <c r="M5" i="283"/>
  <c r="L51" i="283"/>
  <c r="H52" i="283" s="1"/>
  <c r="I51" i="283"/>
  <c r="K51" i="283" s="1"/>
  <c r="L52" i="280"/>
  <c r="H53" i="280" s="1"/>
  <c r="I52" i="280"/>
  <c r="K52" i="280" s="1"/>
  <c r="K53" i="275"/>
  <c r="J12" i="275" s="1"/>
  <c r="AG46" i="276" s="1" a="1"/>
  <c r="AG46" i="276" s="1"/>
  <c r="AG48" i="276" s="1"/>
  <c r="L52" i="278"/>
  <c r="H53" i="278" s="1"/>
  <c r="I52" i="278"/>
  <c r="K52" i="278" s="1"/>
  <c r="J54" i="275"/>
  <c r="L54" i="275" s="1"/>
  <c r="H55" i="275" s="1"/>
  <c r="G55" i="275"/>
  <c r="I54" i="275"/>
  <c r="L54" i="289" l="1"/>
  <c r="H55" i="289" s="1"/>
  <c r="I54" i="289"/>
  <c r="K54" i="289" s="1"/>
  <c r="J12" i="289"/>
  <c r="AG46" i="290" s="1" a="1"/>
  <c r="AG46" i="290" s="1"/>
  <c r="L53" i="287"/>
  <c r="H54" i="287" s="1"/>
  <c r="I53" i="287"/>
  <c r="K53" i="287" s="1"/>
  <c r="L53" i="285"/>
  <c r="H54" i="285" s="1"/>
  <c r="I53" i="285"/>
  <c r="K53" i="285" s="1"/>
  <c r="J12" i="285" s="1"/>
  <c r="AG46" i="286" s="1" a="1"/>
  <c r="AG46" i="286" s="1"/>
  <c r="AC50" i="284"/>
  <c r="AC57" i="284" s="1"/>
  <c r="AF28" i="159" s="1"/>
  <c r="AC48" i="284"/>
  <c r="AF48" i="284"/>
  <c r="AF50" i="284"/>
  <c r="AF57" i="284" s="1"/>
  <c r="AI28" i="159" s="1"/>
  <c r="L52" i="283"/>
  <c r="H53" i="283" s="1"/>
  <c r="I52" i="283"/>
  <c r="K52" i="283" s="1"/>
  <c r="L53" i="280"/>
  <c r="H54" i="280" s="1"/>
  <c r="I53" i="280"/>
  <c r="K53" i="280" s="1"/>
  <c r="AG50" i="276"/>
  <c r="AG57" i="276" s="1"/>
  <c r="K54" i="275"/>
  <c r="L53" i="278"/>
  <c r="H54" i="278" s="1"/>
  <c r="I53" i="278"/>
  <c r="K53" i="278" s="1"/>
  <c r="J55" i="275"/>
  <c r="L55" i="275" s="1"/>
  <c r="H56" i="275" s="1"/>
  <c r="G56" i="275"/>
  <c r="I55" i="275"/>
  <c r="C8" i="159"/>
  <c r="AG50" i="290" l="1"/>
  <c r="AG57" i="290" s="1"/>
  <c r="AE16" i="159" s="1"/>
  <c r="AG48" i="290"/>
  <c r="L55" i="289"/>
  <c r="H56" i="289" s="1"/>
  <c r="I55" i="289"/>
  <c r="K55" i="289" s="1"/>
  <c r="L54" i="287"/>
  <c r="H55" i="287" s="1"/>
  <c r="I54" i="287"/>
  <c r="K54" i="287" s="1"/>
  <c r="J12" i="287"/>
  <c r="AG46" i="288" s="1" a="1"/>
  <c r="AG46" i="288" s="1"/>
  <c r="AG50" i="286"/>
  <c r="AG57" i="286" s="1"/>
  <c r="AG48" i="286"/>
  <c r="I54" i="285"/>
  <c r="K54" i="285" s="1"/>
  <c r="L54" i="285"/>
  <c r="H55" i="285" s="1"/>
  <c r="L53" i="283"/>
  <c r="H54" i="283" s="1"/>
  <c r="I53" i="283"/>
  <c r="K53" i="283" s="1"/>
  <c r="L54" i="280"/>
  <c r="H55" i="280" s="1"/>
  <c r="I54" i="280"/>
  <c r="K54" i="280" s="1"/>
  <c r="J12" i="280"/>
  <c r="AG46" i="281" s="1" a="1"/>
  <c r="AG46" i="281" s="1"/>
  <c r="L54" i="278"/>
  <c r="H55" i="278" s="1"/>
  <c r="I54" i="278"/>
  <c r="K54" i="278" s="1"/>
  <c r="K55" i="275"/>
  <c r="J56" i="275"/>
  <c r="L56" i="275" s="1"/>
  <c r="H57" i="275" s="1"/>
  <c r="G57" i="275"/>
  <c r="I56" i="275"/>
  <c r="L56" i="289" l="1"/>
  <c r="H57" i="289" s="1"/>
  <c r="I56" i="289"/>
  <c r="K56" i="289" s="1"/>
  <c r="J13" i="289" s="1"/>
  <c r="AH46" i="290" s="1" a="1"/>
  <c r="AH46" i="290" s="1"/>
  <c r="AG48" i="288"/>
  <c r="AG50" i="288"/>
  <c r="AG57" i="288" s="1"/>
  <c r="L55" i="287"/>
  <c r="H56" i="287" s="1"/>
  <c r="I55" i="287"/>
  <c r="K55" i="287" s="1"/>
  <c r="L55" i="285"/>
  <c r="H56" i="285" s="1"/>
  <c r="I55" i="285"/>
  <c r="K55" i="285" s="1"/>
  <c r="L54" i="283"/>
  <c r="H55" i="283" s="1"/>
  <c r="I54" i="283"/>
  <c r="K54" i="283" s="1"/>
  <c r="AG48" i="281"/>
  <c r="AG50" i="281"/>
  <c r="AG57" i="281" s="1"/>
  <c r="L55" i="280"/>
  <c r="H56" i="280" s="1"/>
  <c r="I55" i="280"/>
  <c r="K55" i="280" s="1"/>
  <c r="K56" i="275"/>
  <c r="J13" i="275" s="1"/>
  <c r="AH46" i="276" s="1" a="1"/>
  <c r="AH46" i="276" s="1"/>
  <c r="L55" i="278"/>
  <c r="H56" i="278" s="1"/>
  <c r="I55" i="278"/>
  <c r="K55" i="278" s="1"/>
  <c r="J57" i="275"/>
  <c r="L57" i="275" s="1"/>
  <c r="H58" i="275" s="1"/>
  <c r="G58" i="275"/>
  <c r="I57" i="275"/>
  <c r="C4" i="159"/>
  <c r="AH50" i="290" l="1"/>
  <c r="AH57" i="290" s="1"/>
  <c r="AF16" i="159" s="1"/>
  <c r="AH48" i="290"/>
  <c r="L57" i="289"/>
  <c r="H58" i="289" s="1"/>
  <c r="I57" i="289"/>
  <c r="K57" i="289" s="1"/>
  <c r="L56" i="287"/>
  <c r="H57" i="287" s="1"/>
  <c r="I56" i="287"/>
  <c r="K56" i="287" s="1"/>
  <c r="J13" i="287" s="1"/>
  <c r="AH46" i="288" s="1" a="1"/>
  <c r="AH46" i="288" s="1"/>
  <c r="L56" i="285"/>
  <c r="H57" i="285" s="1"/>
  <c r="I56" i="285"/>
  <c r="K56" i="285" s="1"/>
  <c r="L55" i="283"/>
  <c r="H56" i="283" s="1"/>
  <c r="I55" i="283"/>
  <c r="K55" i="283" s="1"/>
  <c r="L56" i="280"/>
  <c r="H57" i="280" s="1"/>
  <c r="I56" i="280"/>
  <c r="K56" i="280" s="1"/>
  <c r="L56" i="278"/>
  <c r="H57" i="278" s="1"/>
  <c r="I56" i="278"/>
  <c r="K56" i="278" s="1"/>
  <c r="J13" i="278" s="1"/>
  <c r="AH46" i="279" s="1" a="1"/>
  <c r="AH46" i="279" s="1"/>
  <c r="K57" i="275"/>
  <c r="J58" i="275"/>
  <c r="L58" i="275" s="1"/>
  <c r="H59" i="275" s="1"/>
  <c r="G59" i="275"/>
  <c r="AH50" i="276"/>
  <c r="AH57" i="276" s="1"/>
  <c r="AH48" i="276"/>
  <c r="I58" i="275"/>
  <c r="L58" i="289" l="1"/>
  <c r="H59" i="289" s="1"/>
  <c r="I58" i="289"/>
  <c r="K58" i="289" s="1"/>
  <c r="AH48" i="288"/>
  <c r="AH50" i="288"/>
  <c r="AH57" i="288" s="1"/>
  <c r="L57" i="287"/>
  <c r="H58" i="287" s="1"/>
  <c r="I57" i="287"/>
  <c r="K57" i="287" s="1"/>
  <c r="J13" i="285"/>
  <c r="AH46" i="286" s="1" a="1"/>
  <c r="AH46" i="286" s="1"/>
  <c r="L57" i="285"/>
  <c r="H58" i="285" s="1"/>
  <c r="I57" i="285"/>
  <c r="K57" i="285" s="1"/>
  <c r="L56" i="283"/>
  <c r="H57" i="283" s="1"/>
  <c r="I56" i="283"/>
  <c r="K56" i="283" s="1"/>
  <c r="J13" i="283" s="1"/>
  <c r="AH46" i="284" s="1" a="1"/>
  <c r="AH46" i="284" s="1"/>
  <c r="L57" i="280"/>
  <c r="H58" i="280" s="1"/>
  <c r="I57" i="280"/>
  <c r="K57" i="280" s="1"/>
  <c r="J13" i="280"/>
  <c r="AH46" i="281" s="1" a="1"/>
  <c r="AH46" i="281" s="1"/>
  <c r="K58" i="275"/>
  <c r="AH48" i="279"/>
  <c r="AH50" i="279"/>
  <c r="AH57" i="279" s="1"/>
  <c r="AS40" i="159" s="1"/>
  <c r="L57" i="278"/>
  <c r="H58" i="278" s="1"/>
  <c r="I57" i="278"/>
  <c r="K57" i="278" s="1"/>
  <c r="J59" i="275"/>
  <c r="L59" i="275" s="1"/>
  <c r="H60" i="275" s="1"/>
  <c r="G60" i="275"/>
  <c r="I59" i="275"/>
  <c r="L59" i="289" l="1"/>
  <c r="H60" i="289" s="1"/>
  <c r="I59" i="289"/>
  <c r="K59" i="289" s="1"/>
  <c r="J14" i="289" s="1"/>
  <c r="AI46" i="290" s="1" a="1"/>
  <c r="AI46" i="290" s="1"/>
  <c r="L58" i="287"/>
  <c r="H59" i="287" s="1"/>
  <c r="I58" i="287"/>
  <c r="K58" i="287" s="1"/>
  <c r="L58" i="285"/>
  <c r="H59" i="285" s="1"/>
  <c r="I58" i="285"/>
  <c r="K58" i="285" s="1"/>
  <c r="AH48" i="286"/>
  <c r="AH50" i="286"/>
  <c r="AH57" i="286" s="1"/>
  <c r="AH50" i="284"/>
  <c r="AH57" i="284" s="1"/>
  <c r="AH48" i="284"/>
  <c r="L57" i="283"/>
  <c r="H58" i="283" s="1"/>
  <c r="I57" i="283"/>
  <c r="K57" i="283" s="1"/>
  <c r="L58" i="280"/>
  <c r="H59" i="280" s="1"/>
  <c r="I58" i="280"/>
  <c r="K58" i="280" s="1"/>
  <c r="AH48" i="281"/>
  <c r="AH50" i="281"/>
  <c r="AH57" i="281" s="1"/>
  <c r="L58" i="278"/>
  <c r="H59" i="278" s="1"/>
  <c r="I58" i="278"/>
  <c r="K58" i="278" s="1"/>
  <c r="K59" i="275"/>
  <c r="J14" i="275" s="1"/>
  <c r="AI46" i="276" s="1" a="1"/>
  <c r="AI46" i="276" s="1"/>
  <c r="AI48" i="276" s="1"/>
  <c r="J60" i="275"/>
  <c r="L60" i="275" s="1"/>
  <c r="H61" i="275" s="1"/>
  <c r="G61" i="275"/>
  <c r="I60" i="275"/>
  <c r="AK28" i="159" l="1"/>
  <c r="AI50" i="290"/>
  <c r="AI57" i="290" s="1"/>
  <c r="AG16" i="159" s="1"/>
  <c r="AI48" i="290"/>
  <c r="L60" i="289"/>
  <c r="H61" i="289" s="1"/>
  <c r="I60" i="289"/>
  <c r="K60" i="289" s="1"/>
  <c r="L59" i="287"/>
  <c r="H60" i="287" s="1"/>
  <c r="I59" i="287"/>
  <c r="K59" i="287" s="1"/>
  <c r="J14" i="287" s="1"/>
  <c r="AI46" i="288" s="1" a="1"/>
  <c r="AI46" i="288" s="1"/>
  <c r="I59" i="285"/>
  <c r="K59" i="285" s="1"/>
  <c r="J14" i="285" s="1"/>
  <c r="AI46" i="286" s="1" a="1"/>
  <c r="AI46" i="286" s="1"/>
  <c r="L59" i="285"/>
  <c r="H60" i="285" s="1"/>
  <c r="L58" i="283"/>
  <c r="H59" i="283" s="1"/>
  <c r="I58" i="283"/>
  <c r="K58" i="283" s="1"/>
  <c r="L59" i="280"/>
  <c r="H60" i="280" s="1"/>
  <c r="I59" i="280"/>
  <c r="K59" i="280" s="1"/>
  <c r="J14" i="280" s="1"/>
  <c r="AI46" i="281" s="1" a="1"/>
  <c r="AI46" i="281" s="1"/>
  <c r="L59" i="278"/>
  <c r="H60" i="278" s="1"/>
  <c r="I59" i="278"/>
  <c r="K59" i="278" s="1"/>
  <c r="J14" i="278" s="1"/>
  <c r="AI46" i="279" s="1" a="1"/>
  <c r="AI46" i="279" s="1"/>
  <c r="AI50" i="276"/>
  <c r="AI57" i="276" s="1"/>
  <c r="K60" i="275"/>
  <c r="J61" i="275"/>
  <c r="L61" i="275" s="1"/>
  <c r="H62" i="275" s="1"/>
  <c r="G62" i="275"/>
  <c r="I61" i="275"/>
  <c r="L61" i="289" l="1"/>
  <c r="H62" i="289" s="1"/>
  <c r="I61" i="289"/>
  <c r="K61" i="289" s="1"/>
  <c r="AI48" i="288"/>
  <c r="AI50" i="288"/>
  <c r="AI57" i="288" s="1"/>
  <c r="L60" i="287"/>
  <c r="H61" i="287" s="1"/>
  <c r="I60" i="287"/>
  <c r="K60" i="287" s="1"/>
  <c r="L60" i="285"/>
  <c r="H61" i="285" s="1"/>
  <c r="I60" i="285"/>
  <c r="K60" i="285" s="1"/>
  <c r="AI50" i="286"/>
  <c r="AI57" i="286" s="1"/>
  <c r="AI48" i="286"/>
  <c r="L59" i="283"/>
  <c r="H60" i="283" s="1"/>
  <c r="I59" i="283"/>
  <c r="K59" i="283" s="1"/>
  <c r="J14" i="283" s="1"/>
  <c r="AI46" i="284" s="1" a="1"/>
  <c r="AI46" i="284" s="1"/>
  <c r="L60" i="280"/>
  <c r="H61" i="280" s="1"/>
  <c r="I60" i="280"/>
  <c r="K60" i="280" s="1"/>
  <c r="AI50" i="281"/>
  <c r="AI57" i="281" s="1"/>
  <c r="AI48" i="281"/>
  <c r="AI50" i="279"/>
  <c r="AI57" i="279" s="1"/>
  <c r="AT40" i="159" s="1"/>
  <c r="AI48" i="279"/>
  <c r="L60" i="278"/>
  <c r="H61" i="278" s="1"/>
  <c r="I60" i="278"/>
  <c r="K60" i="278" s="1"/>
  <c r="K61" i="275"/>
  <c r="J62" i="275"/>
  <c r="L62" i="275" s="1"/>
  <c r="H63" i="275" s="1"/>
  <c r="G63" i="275"/>
  <c r="I62" i="275"/>
  <c r="D31" i="265"/>
  <c r="J27" i="272"/>
  <c r="J28" i="272"/>
  <c r="J29" i="272"/>
  <c r="J30" i="272"/>
  <c r="J31" i="272"/>
  <c r="I62" i="289" l="1"/>
  <c r="K62" i="289" s="1"/>
  <c r="J15" i="289" s="1"/>
  <c r="AJ46" i="290" s="1" a="1"/>
  <c r="AJ46" i="290" s="1"/>
  <c r="L62" i="289"/>
  <c r="H63" i="289" s="1"/>
  <c r="L61" i="287"/>
  <c r="H62" i="287" s="1"/>
  <c r="I61" i="287"/>
  <c r="K61" i="287" s="1"/>
  <c r="I61" i="285"/>
  <c r="K61" i="285" s="1"/>
  <c r="L61" i="285"/>
  <c r="H62" i="285" s="1"/>
  <c r="AI48" i="284"/>
  <c r="AI50" i="284"/>
  <c r="AI57" i="284" s="1"/>
  <c r="AL28" i="159" s="1"/>
  <c r="L60" i="283"/>
  <c r="H61" i="283" s="1"/>
  <c r="I60" i="283"/>
  <c r="K60" i="283" s="1"/>
  <c r="L61" i="280"/>
  <c r="H62" i="280" s="1"/>
  <c r="I61" i="280"/>
  <c r="K61" i="280" s="1"/>
  <c r="I61" i="278"/>
  <c r="K61" i="278" s="1"/>
  <c r="L61" i="278"/>
  <c r="H62" i="278" s="1"/>
  <c r="K62" i="275"/>
  <c r="J15" i="275" s="1"/>
  <c r="AJ46" i="276" s="1" a="1"/>
  <c r="AJ46" i="276" s="1"/>
  <c r="AJ48" i="276" s="1"/>
  <c r="J63" i="275"/>
  <c r="L63" i="275" s="1"/>
  <c r="H64" i="275" s="1"/>
  <c r="G64" i="275"/>
  <c r="I63" i="275"/>
  <c r="AJ50" i="290" l="1"/>
  <c r="AJ57" i="290" s="1"/>
  <c r="AH16" i="159" s="1"/>
  <c r="AJ48" i="290"/>
  <c r="I63" i="289"/>
  <c r="K63" i="289" s="1"/>
  <c r="L63" i="289"/>
  <c r="H64" i="289" s="1"/>
  <c r="L62" i="287"/>
  <c r="H63" i="287" s="1"/>
  <c r="I62" i="287"/>
  <c r="K62" i="287" s="1"/>
  <c r="J15" i="287" s="1"/>
  <c r="AJ46" i="288" s="1" a="1"/>
  <c r="AJ46" i="288" s="1"/>
  <c r="L62" i="285"/>
  <c r="H63" i="285" s="1"/>
  <c r="I62" i="285"/>
  <c r="K62" i="285" s="1"/>
  <c r="J15" i="285" s="1"/>
  <c r="AJ46" i="286" s="1" a="1"/>
  <c r="AJ46" i="286" s="1"/>
  <c r="L61" i="283"/>
  <c r="H62" i="283" s="1"/>
  <c r="I61" i="283"/>
  <c r="K61" i="283" s="1"/>
  <c r="L62" i="280"/>
  <c r="H63" i="280" s="1"/>
  <c r="I62" i="280"/>
  <c r="K62" i="280" s="1"/>
  <c r="J15" i="280" s="1"/>
  <c r="AJ46" i="281" s="1" a="1"/>
  <c r="AJ46" i="281" s="1"/>
  <c r="K63" i="275"/>
  <c r="I62" i="278"/>
  <c r="K62" i="278" s="1"/>
  <c r="J15" i="278" s="1"/>
  <c r="AJ46" i="279" s="1" a="1"/>
  <c r="AJ46" i="279" s="1"/>
  <c r="L62" i="278"/>
  <c r="H63" i="278" s="1"/>
  <c r="AJ50" i="276"/>
  <c r="AJ57" i="276" s="1"/>
  <c r="J64" i="275"/>
  <c r="L64" i="275" s="1"/>
  <c r="H65" i="275" s="1"/>
  <c r="G65" i="275"/>
  <c r="I64" i="275"/>
  <c r="L64" i="289" l="1"/>
  <c r="H65" i="289" s="1"/>
  <c r="I64" i="289"/>
  <c r="K64" i="289" s="1"/>
  <c r="AJ48" i="288"/>
  <c r="AJ50" i="288"/>
  <c r="AJ57" i="288" s="1"/>
  <c r="L63" i="287"/>
  <c r="H64" i="287" s="1"/>
  <c r="I63" i="287"/>
  <c r="K63" i="287" s="1"/>
  <c r="AJ48" i="286"/>
  <c r="AJ50" i="286"/>
  <c r="AJ57" i="286" s="1"/>
  <c r="I63" i="285"/>
  <c r="K63" i="285" s="1"/>
  <c r="L63" i="285"/>
  <c r="H64" i="285" s="1"/>
  <c r="L62" i="283"/>
  <c r="H63" i="283" s="1"/>
  <c r="I62" i="283"/>
  <c r="K62" i="283" s="1"/>
  <c r="AJ50" i="281"/>
  <c r="AJ57" i="281" s="1"/>
  <c r="AJ48" i="281"/>
  <c r="L63" i="280"/>
  <c r="H64" i="280" s="1"/>
  <c r="I63" i="280"/>
  <c r="K63" i="280" s="1"/>
  <c r="J12" i="278"/>
  <c r="AG46" i="279" s="1" a="1"/>
  <c r="AG46" i="279" s="1"/>
  <c r="AG50" i="279" s="1"/>
  <c r="AG57" i="279" s="1"/>
  <c r="AR40" i="159" s="1"/>
  <c r="K64" i="275"/>
  <c r="L63" i="278"/>
  <c r="H64" i="278" s="1"/>
  <c r="I63" i="278"/>
  <c r="K63" i="278" s="1"/>
  <c r="AJ50" i="279"/>
  <c r="AJ57" i="279" s="1"/>
  <c r="AU40" i="159" s="1"/>
  <c r="AJ48" i="279"/>
  <c r="J65" i="275"/>
  <c r="L65" i="275" s="1"/>
  <c r="H66" i="275" s="1"/>
  <c r="G66" i="275"/>
  <c r="I65" i="275"/>
  <c r="L65" i="289" l="1"/>
  <c r="H66" i="289" s="1"/>
  <c r="I65" i="289"/>
  <c r="K65" i="289" s="1"/>
  <c r="L64" i="287"/>
  <c r="H65" i="287" s="1"/>
  <c r="I64" i="287"/>
  <c r="K64" i="287" s="1"/>
  <c r="L64" i="285"/>
  <c r="H65" i="285" s="1"/>
  <c r="I64" i="285"/>
  <c r="K64" i="285" s="1"/>
  <c r="J12" i="283"/>
  <c r="AG46" i="284" s="1" a="1"/>
  <c r="AG46" i="284" s="1"/>
  <c r="AG48" i="284" s="1"/>
  <c r="J15" i="283"/>
  <c r="AJ46" i="284" s="1" a="1"/>
  <c r="AJ46" i="284" s="1"/>
  <c r="L63" i="283"/>
  <c r="H64" i="283" s="1"/>
  <c r="I63" i="283"/>
  <c r="K63" i="283" s="1"/>
  <c r="I64" i="280"/>
  <c r="K64" i="280" s="1"/>
  <c r="L64" i="280"/>
  <c r="H65" i="280" s="1"/>
  <c r="AG48" i="279"/>
  <c r="K65" i="275"/>
  <c r="J16" i="275" s="1"/>
  <c r="AK46" i="276" s="1" a="1"/>
  <c r="AK46" i="276" s="1"/>
  <c r="L64" i="278"/>
  <c r="H65" i="278" s="1"/>
  <c r="I64" i="278"/>
  <c r="K64" i="278" s="1"/>
  <c r="J66" i="275"/>
  <c r="L66" i="275" s="1"/>
  <c r="H67" i="275" s="1"/>
  <c r="G67" i="275"/>
  <c r="I66" i="275"/>
  <c r="J16" i="289" l="1"/>
  <c r="AK46" i="290" s="1" a="1"/>
  <c r="AK46" i="290" s="1"/>
  <c r="L66" i="289"/>
  <c r="H67" i="289" s="1"/>
  <c r="I66" i="289"/>
  <c r="K66" i="289" s="1"/>
  <c r="L65" i="287"/>
  <c r="H66" i="287" s="1"/>
  <c r="I65" i="287"/>
  <c r="K65" i="287" s="1"/>
  <c r="J16" i="287" s="1"/>
  <c r="AK46" i="288" s="1" a="1"/>
  <c r="AK46" i="288" s="1"/>
  <c r="L65" i="285"/>
  <c r="H66" i="285" s="1"/>
  <c r="I65" i="285"/>
  <c r="K65" i="285" s="1"/>
  <c r="AG50" i="284"/>
  <c r="AG57" i="284" s="1"/>
  <c r="AJ28" i="159" s="1"/>
  <c r="AJ50" i="284"/>
  <c r="AJ57" i="284" s="1"/>
  <c r="AM28" i="159" s="1"/>
  <c r="AJ48" i="284"/>
  <c r="I64" i="283"/>
  <c r="K64" i="283" s="1"/>
  <c r="L64" i="283"/>
  <c r="H65" i="283" s="1"/>
  <c r="L65" i="280"/>
  <c r="H66" i="280" s="1"/>
  <c r="I65" i="280"/>
  <c r="K65" i="280" s="1"/>
  <c r="I65" i="278"/>
  <c r="K65" i="278" s="1"/>
  <c r="L65" i="278"/>
  <c r="H66" i="278" s="1"/>
  <c r="K66" i="275"/>
  <c r="J67" i="275"/>
  <c r="L67" i="275" s="1"/>
  <c r="H68" i="275" s="1"/>
  <c r="G68" i="275"/>
  <c r="AK50" i="276"/>
  <c r="AK57" i="276" s="1"/>
  <c r="AK48" i="276"/>
  <c r="I67" i="275"/>
  <c r="L67" i="289" l="1"/>
  <c r="H68" i="289" s="1"/>
  <c r="I67" i="289"/>
  <c r="K67" i="289" s="1"/>
  <c r="AK48" i="290"/>
  <c r="AK50" i="290"/>
  <c r="AK57" i="290" s="1"/>
  <c r="AI16" i="159" s="1"/>
  <c r="AK50" i="288"/>
  <c r="AK57" i="288" s="1"/>
  <c r="AK48" i="288"/>
  <c r="L66" i="287"/>
  <c r="H67" i="287" s="1"/>
  <c r="I66" i="287"/>
  <c r="K66" i="287" s="1"/>
  <c r="J16" i="285"/>
  <c r="AK46" i="286" s="1" a="1"/>
  <c r="AK46" i="286" s="1"/>
  <c r="I66" i="285"/>
  <c r="K66" i="285" s="1"/>
  <c r="L66" i="285"/>
  <c r="H67" i="285" s="1"/>
  <c r="L65" i="283"/>
  <c r="H66" i="283" s="1"/>
  <c r="I65" i="283"/>
  <c r="K65" i="283" s="1"/>
  <c r="J16" i="280"/>
  <c r="AK46" i="281" s="1" a="1"/>
  <c r="AK46" i="281" s="1"/>
  <c r="L66" i="280"/>
  <c r="H67" i="280" s="1"/>
  <c r="I66" i="280"/>
  <c r="K66" i="280" s="1"/>
  <c r="L66" i="278"/>
  <c r="H67" i="278" s="1"/>
  <c r="I66" i="278"/>
  <c r="K66" i="278" s="1"/>
  <c r="J68" i="275"/>
  <c r="L68" i="275" s="1"/>
  <c r="H69" i="275" s="1"/>
  <c r="G69" i="275"/>
  <c r="K67" i="275"/>
  <c r="I68" i="275"/>
  <c r="L68" i="289" l="1"/>
  <c r="H69" i="289" s="1"/>
  <c r="I68" i="289"/>
  <c r="K68" i="289" s="1"/>
  <c r="J17" i="289" s="1"/>
  <c r="AL46" i="290" s="1" a="1"/>
  <c r="AL46" i="290" s="1"/>
  <c r="I67" i="287"/>
  <c r="K67" i="287" s="1"/>
  <c r="L67" i="287"/>
  <c r="H68" i="287" s="1"/>
  <c r="L67" i="285"/>
  <c r="H68" i="285" s="1"/>
  <c r="I67" i="285"/>
  <c r="K67" i="285" s="1"/>
  <c r="AK48" i="286"/>
  <c r="AK50" i="286"/>
  <c r="AK57" i="286" s="1"/>
  <c r="I66" i="283"/>
  <c r="K66" i="283" s="1"/>
  <c r="L66" i="283"/>
  <c r="H67" i="283" s="1"/>
  <c r="L67" i="280"/>
  <c r="H68" i="280" s="1"/>
  <c r="I67" i="280"/>
  <c r="K67" i="280" s="1"/>
  <c r="AK50" i="281"/>
  <c r="AK57" i="281" s="1"/>
  <c r="AK48" i="281"/>
  <c r="K68" i="275"/>
  <c r="J17" i="275" s="1"/>
  <c r="AL46" i="276" s="1" a="1"/>
  <c r="AL46" i="276" s="1"/>
  <c r="AL48" i="276" s="1"/>
  <c r="L67" i="278"/>
  <c r="H68" i="278" s="1"/>
  <c r="I67" i="278"/>
  <c r="K67" i="278" s="1"/>
  <c r="J69" i="275"/>
  <c r="L69" i="275" s="1"/>
  <c r="H70" i="275" s="1"/>
  <c r="G70" i="275"/>
  <c r="I69" i="275"/>
  <c r="L69" i="289" l="1"/>
  <c r="H70" i="289" s="1"/>
  <c r="I69" i="289"/>
  <c r="K69" i="289" s="1"/>
  <c r="AL50" i="290"/>
  <c r="AL57" i="290" s="1"/>
  <c r="AJ16" i="159" s="1"/>
  <c r="AL48" i="290"/>
  <c r="I68" i="287"/>
  <c r="K68" i="287" s="1"/>
  <c r="J17" i="287" s="1"/>
  <c r="AL46" i="288" s="1" a="1"/>
  <c r="AL46" i="288" s="1"/>
  <c r="L68" i="287"/>
  <c r="H69" i="287" s="1"/>
  <c r="L68" i="285"/>
  <c r="H69" i="285" s="1"/>
  <c r="I68" i="285"/>
  <c r="K68" i="285" s="1"/>
  <c r="J17" i="285" s="1"/>
  <c r="AL46" i="286" s="1" a="1"/>
  <c r="AL46" i="286" s="1"/>
  <c r="I67" i="283"/>
  <c r="K67" i="283" s="1"/>
  <c r="L67" i="283"/>
  <c r="H68" i="283" s="1"/>
  <c r="I68" i="280"/>
  <c r="K68" i="280" s="1"/>
  <c r="J17" i="280" s="1"/>
  <c r="AL46" i="281" s="1" a="1"/>
  <c r="AL46" i="281" s="1"/>
  <c r="L68" i="280"/>
  <c r="H69" i="280" s="1"/>
  <c r="K69" i="275"/>
  <c r="AL50" i="276"/>
  <c r="AL57" i="276" s="1"/>
  <c r="L68" i="278"/>
  <c r="H69" i="278" s="1"/>
  <c r="I68" i="278"/>
  <c r="K68" i="278" s="1"/>
  <c r="J17" i="278" s="1"/>
  <c r="AL46" i="279" s="1" a="1"/>
  <c r="AL46" i="279" s="1"/>
  <c r="J70" i="275"/>
  <c r="L70" i="275" s="1"/>
  <c r="H71" i="275" s="1"/>
  <c r="G71" i="275"/>
  <c r="I70" i="275"/>
  <c r="L70" i="289" l="1"/>
  <c r="H71" i="289" s="1"/>
  <c r="I70" i="289"/>
  <c r="K70" i="289" s="1"/>
  <c r="AL50" i="288"/>
  <c r="AL57" i="288" s="1"/>
  <c r="AL48" i="288"/>
  <c r="I69" i="287"/>
  <c r="K69" i="287" s="1"/>
  <c r="L69" i="287"/>
  <c r="H70" i="287" s="1"/>
  <c r="AL48" i="286"/>
  <c r="AL50" i="286"/>
  <c r="AL57" i="286" s="1"/>
  <c r="L69" i="285"/>
  <c r="H70" i="285" s="1"/>
  <c r="I69" i="285"/>
  <c r="K69" i="285" s="1"/>
  <c r="I68" i="283"/>
  <c r="K68" i="283" s="1"/>
  <c r="L68" i="283"/>
  <c r="H69" i="283" s="1"/>
  <c r="I69" i="280"/>
  <c r="K69" i="280" s="1"/>
  <c r="L69" i="280"/>
  <c r="H70" i="280" s="1"/>
  <c r="AL50" i="281"/>
  <c r="AL57" i="281" s="1"/>
  <c r="AL48" i="281"/>
  <c r="K70" i="275"/>
  <c r="AL48" i="279"/>
  <c r="AL50" i="279"/>
  <c r="AL57" i="279" s="1"/>
  <c r="AW40" i="159" s="1"/>
  <c r="L69" i="278"/>
  <c r="H70" i="278" s="1"/>
  <c r="I69" i="278"/>
  <c r="K69" i="278" s="1"/>
  <c r="J71" i="275"/>
  <c r="L71" i="275" s="1"/>
  <c r="H72" i="275" s="1"/>
  <c r="G72" i="275"/>
  <c r="I71" i="275"/>
  <c r="L71" i="289" l="1"/>
  <c r="H72" i="289" s="1"/>
  <c r="I71" i="289"/>
  <c r="K71" i="289" s="1"/>
  <c r="J18" i="289" s="1"/>
  <c r="AM46" i="290" s="1" a="1"/>
  <c r="AM46" i="290" s="1"/>
  <c r="L70" i="287"/>
  <c r="H71" i="287" s="1"/>
  <c r="I70" i="287"/>
  <c r="K70" i="287" s="1"/>
  <c r="L70" i="285"/>
  <c r="H71" i="285" s="1"/>
  <c r="I70" i="285"/>
  <c r="K70" i="285" s="1"/>
  <c r="L69" i="283"/>
  <c r="H70" i="283" s="1"/>
  <c r="I69" i="283"/>
  <c r="K69" i="283" s="1"/>
  <c r="J17" i="283"/>
  <c r="AL46" i="284" s="1" a="1"/>
  <c r="AL46" i="284" s="1"/>
  <c r="I70" i="280"/>
  <c r="K70" i="280" s="1"/>
  <c r="L70" i="280"/>
  <c r="H71" i="280" s="1"/>
  <c r="K71" i="275"/>
  <c r="J18" i="275" s="1"/>
  <c r="AM46" i="276" s="1" a="1"/>
  <c r="AM46" i="276" s="1"/>
  <c r="AM48" i="276" s="1"/>
  <c r="L70" i="278"/>
  <c r="H71" i="278" s="1"/>
  <c r="I70" i="278"/>
  <c r="K70" i="278" s="1"/>
  <c r="J72" i="275"/>
  <c r="L72" i="275" s="1"/>
  <c r="H73" i="275" s="1"/>
  <c r="G73" i="275"/>
  <c r="I72" i="275"/>
  <c r="AM48" i="290" l="1"/>
  <c r="AM50" i="290"/>
  <c r="AM57" i="290" s="1"/>
  <c r="AK16" i="159" s="1"/>
  <c r="L72" i="289"/>
  <c r="H73" i="289" s="1"/>
  <c r="I72" i="289"/>
  <c r="K72" i="289" s="1"/>
  <c r="I71" i="287"/>
  <c r="K71" i="287" s="1"/>
  <c r="J18" i="287" s="1"/>
  <c r="AM46" i="288" s="1" a="1"/>
  <c r="AM46" i="288" s="1"/>
  <c r="L71" i="287"/>
  <c r="H72" i="287" s="1"/>
  <c r="L71" i="285"/>
  <c r="H72" i="285" s="1"/>
  <c r="I71" i="285"/>
  <c r="K71" i="285" s="1"/>
  <c r="J18" i="285" s="1"/>
  <c r="AM46" i="286" s="1" a="1"/>
  <c r="AM46" i="286" s="1"/>
  <c r="AL50" i="284"/>
  <c r="AL57" i="284" s="1"/>
  <c r="AO28" i="159" s="1"/>
  <c r="AL48" i="284"/>
  <c r="I70" i="283"/>
  <c r="K70" i="283" s="1"/>
  <c r="L70" i="283"/>
  <c r="H71" i="283" s="1"/>
  <c r="L71" i="280"/>
  <c r="H72" i="280" s="1"/>
  <c r="I71" i="280"/>
  <c r="K71" i="280" s="1"/>
  <c r="J18" i="280" s="1"/>
  <c r="AM46" i="281" s="1" a="1"/>
  <c r="AM46" i="281" s="1"/>
  <c r="AM50" i="276"/>
  <c r="AM57" i="276" s="1"/>
  <c r="K72" i="275"/>
  <c r="I71" i="278"/>
  <c r="K71" i="278" s="1"/>
  <c r="J18" i="278" s="1"/>
  <c r="AM46" i="279" s="1" a="1"/>
  <c r="AM46" i="279" s="1"/>
  <c r="L71" i="278"/>
  <c r="H72" i="278" s="1"/>
  <c r="J73" i="275"/>
  <c r="L73" i="275" s="1"/>
  <c r="H74" i="275" s="1"/>
  <c r="G74" i="275"/>
  <c r="I73" i="275"/>
  <c r="L73" i="289" l="1"/>
  <c r="H74" i="289" s="1"/>
  <c r="I73" i="289"/>
  <c r="K73" i="289" s="1"/>
  <c r="L72" i="287"/>
  <c r="H73" i="287" s="1"/>
  <c r="I72" i="287"/>
  <c r="K72" i="287" s="1"/>
  <c r="AM48" i="288"/>
  <c r="AM50" i="288"/>
  <c r="AM57" i="288" s="1"/>
  <c r="L72" i="285"/>
  <c r="H73" i="285" s="1"/>
  <c r="I72" i="285"/>
  <c r="K72" i="285" s="1"/>
  <c r="AM48" i="286"/>
  <c r="AM50" i="286"/>
  <c r="AM57" i="286" s="1"/>
  <c r="I71" i="283"/>
  <c r="K71" i="283" s="1"/>
  <c r="J18" i="283" s="1"/>
  <c r="AM46" i="284" s="1" a="1"/>
  <c r="AM46" i="284" s="1"/>
  <c r="L71" i="283"/>
  <c r="H72" i="283" s="1"/>
  <c r="AM50" i="281"/>
  <c r="AM57" i="281" s="1"/>
  <c r="AM48" i="281"/>
  <c r="I72" i="280"/>
  <c r="K72" i="280" s="1"/>
  <c r="L72" i="280"/>
  <c r="H73" i="280" s="1"/>
  <c r="K73" i="275"/>
  <c r="L72" i="278"/>
  <c r="H73" i="278" s="1"/>
  <c r="I72" i="278"/>
  <c r="K72" i="278" s="1"/>
  <c r="AM50" i="279"/>
  <c r="AM57" i="279" s="1"/>
  <c r="AX40" i="159" s="1"/>
  <c r="AM48" i="279"/>
  <c r="J74" i="275"/>
  <c r="L74" i="275" s="1"/>
  <c r="H75" i="275" s="1"/>
  <c r="G75" i="275"/>
  <c r="I74" i="275"/>
  <c r="I74" i="289" l="1"/>
  <c r="K74" i="289" s="1"/>
  <c r="J19" i="289" s="1"/>
  <c r="AN46" i="290" s="1" a="1"/>
  <c r="AN46" i="290" s="1"/>
  <c r="L74" i="289"/>
  <c r="H75" i="289" s="1"/>
  <c r="L73" i="287"/>
  <c r="H74" i="287" s="1"/>
  <c r="I73" i="287"/>
  <c r="K73" i="287" s="1"/>
  <c r="I73" i="285"/>
  <c r="K73" i="285" s="1"/>
  <c r="L73" i="285"/>
  <c r="H74" i="285" s="1"/>
  <c r="AM48" i="284"/>
  <c r="AM50" i="284"/>
  <c r="AM57" i="284" s="1"/>
  <c r="AP28" i="159" s="1"/>
  <c r="L72" i="283"/>
  <c r="H73" i="283" s="1"/>
  <c r="I72" i="283"/>
  <c r="K72" i="283" s="1"/>
  <c r="L73" i="280"/>
  <c r="H74" i="280" s="1"/>
  <c r="I73" i="280"/>
  <c r="K73" i="280" s="1"/>
  <c r="K74" i="275"/>
  <c r="J19" i="275" s="1"/>
  <c r="AN46" i="276" s="1" a="1"/>
  <c r="AN46" i="276" s="1"/>
  <c r="AN50" i="276" s="1"/>
  <c r="AN57" i="276" s="1"/>
  <c r="L73" i="278"/>
  <c r="H74" i="278" s="1"/>
  <c r="I73" i="278"/>
  <c r="K73" i="278" s="1"/>
  <c r="J75" i="275"/>
  <c r="L75" i="275" s="1"/>
  <c r="H76" i="275" s="1"/>
  <c r="G76" i="275"/>
  <c r="I75" i="275"/>
  <c r="L75" i="289" l="1"/>
  <c r="H76" i="289" s="1"/>
  <c r="I75" i="289"/>
  <c r="K75" i="289" s="1"/>
  <c r="AN50" i="290"/>
  <c r="AN57" i="290" s="1"/>
  <c r="AL16" i="159" s="1"/>
  <c r="AN48" i="290"/>
  <c r="L74" i="287"/>
  <c r="H75" i="287" s="1"/>
  <c r="I74" i="287"/>
  <c r="K74" i="287" s="1"/>
  <c r="J19" i="287" s="1"/>
  <c r="AN46" i="288" s="1" a="1"/>
  <c r="AN46" i="288" s="1"/>
  <c r="L74" i="285"/>
  <c r="H75" i="285" s="1"/>
  <c r="I74" i="285"/>
  <c r="K74" i="285" s="1"/>
  <c r="J19" i="285" s="1"/>
  <c r="AN46" i="286" s="1" a="1"/>
  <c r="AN46" i="286" s="1"/>
  <c r="L73" i="283"/>
  <c r="H74" i="283" s="1"/>
  <c r="I73" i="283"/>
  <c r="K73" i="283" s="1"/>
  <c r="L74" i="280"/>
  <c r="H75" i="280" s="1"/>
  <c r="I74" i="280"/>
  <c r="K74" i="280" s="1"/>
  <c r="J19" i="280" s="1"/>
  <c r="AN46" i="281" s="1" a="1"/>
  <c r="AN46" i="281" s="1"/>
  <c r="K75" i="275"/>
  <c r="AN48" i="276"/>
  <c r="L74" i="278"/>
  <c r="H75" i="278" s="1"/>
  <c r="I74" i="278"/>
  <c r="K74" i="278" s="1"/>
  <c r="J76" i="275"/>
  <c r="L76" i="275" s="1"/>
  <c r="H77" i="275" s="1"/>
  <c r="G77" i="275"/>
  <c r="I76" i="275"/>
  <c r="L76" i="289" l="1"/>
  <c r="H77" i="289" s="1"/>
  <c r="I76" i="289"/>
  <c r="K76" i="289" s="1"/>
  <c r="AN48" i="288"/>
  <c r="AN50" i="288"/>
  <c r="AN57" i="288" s="1"/>
  <c r="I75" i="287"/>
  <c r="K75" i="287" s="1"/>
  <c r="L75" i="287"/>
  <c r="H76" i="287" s="1"/>
  <c r="AN50" i="286"/>
  <c r="AN57" i="286" s="1"/>
  <c r="AN48" i="286"/>
  <c r="L75" i="285"/>
  <c r="H76" i="285" s="1"/>
  <c r="I75" i="285"/>
  <c r="K75" i="285" s="1"/>
  <c r="I74" i="283"/>
  <c r="K74" i="283" s="1"/>
  <c r="L74" i="283"/>
  <c r="H75" i="283" s="1"/>
  <c r="AN50" i="281"/>
  <c r="AN57" i="281" s="1"/>
  <c r="AN48" i="281"/>
  <c r="I75" i="280"/>
  <c r="K75" i="280" s="1"/>
  <c r="L75" i="280"/>
  <c r="H76" i="280" s="1"/>
  <c r="J19" i="278"/>
  <c r="AN46" i="279" s="1" a="1"/>
  <c r="AN46" i="279" s="1"/>
  <c r="AN48" i="279" s="1"/>
  <c r="J16" i="278"/>
  <c r="AK46" i="279" s="1" a="1"/>
  <c r="AK46" i="279" s="1"/>
  <c r="L75" i="278"/>
  <c r="H76" i="278" s="1"/>
  <c r="I75" i="278"/>
  <c r="K75" i="278" s="1"/>
  <c r="K76" i="275"/>
  <c r="J77" i="275"/>
  <c r="L77" i="275" s="1"/>
  <c r="H78" i="275" s="1"/>
  <c r="G78" i="275"/>
  <c r="I77" i="275"/>
  <c r="L77" i="289" l="1"/>
  <c r="H78" i="289" s="1"/>
  <c r="I77" i="289"/>
  <c r="K77" i="289" s="1"/>
  <c r="J20" i="289" s="1"/>
  <c r="AO46" i="290" s="1" a="1"/>
  <c r="AO46" i="290" s="1"/>
  <c r="L76" i="287"/>
  <c r="H77" i="287" s="1"/>
  <c r="I76" i="287"/>
  <c r="K76" i="287" s="1"/>
  <c r="L76" i="285"/>
  <c r="H77" i="285" s="1"/>
  <c r="I76" i="285"/>
  <c r="K76" i="285" s="1"/>
  <c r="I75" i="283"/>
  <c r="K75" i="283" s="1"/>
  <c r="L75" i="283"/>
  <c r="H76" i="283" s="1"/>
  <c r="J19" i="283"/>
  <c r="AN46" i="284" s="1" a="1"/>
  <c r="AN46" i="284" s="1"/>
  <c r="J16" i="283"/>
  <c r="AK46" i="284" s="1" a="1"/>
  <c r="AK46" i="284" s="1"/>
  <c r="I76" i="280"/>
  <c r="K76" i="280" s="1"/>
  <c r="L76" i="280"/>
  <c r="H77" i="280" s="1"/>
  <c r="AN50" i="279"/>
  <c r="AN57" i="279" s="1"/>
  <c r="AY40" i="159" s="1"/>
  <c r="AK50" i="279"/>
  <c r="AK57" i="279" s="1"/>
  <c r="AV40" i="159" s="1"/>
  <c r="AK48" i="279"/>
  <c r="K77" i="275"/>
  <c r="J20" i="275" s="1"/>
  <c r="AO46" i="276" s="1" a="1"/>
  <c r="AO46" i="276" s="1"/>
  <c r="L76" i="278"/>
  <c r="H77" i="278" s="1"/>
  <c r="I76" i="278"/>
  <c r="K76" i="278" s="1"/>
  <c r="J78" i="275"/>
  <c r="L78" i="275" s="1"/>
  <c r="H79" i="275" s="1"/>
  <c r="G79" i="275"/>
  <c r="I78" i="275"/>
  <c r="AO50" i="290" l="1"/>
  <c r="AO57" i="290" s="1"/>
  <c r="AM16" i="159" s="1"/>
  <c r="AO48" i="290"/>
  <c r="I78" i="289"/>
  <c r="K78" i="289" s="1"/>
  <c r="L78" i="289"/>
  <c r="H79" i="289" s="1"/>
  <c r="L77" i="287"/>
  <c r="H78" i="287" s="1"/>
  <c r="I77" i="287"/>
  <c r="K77" i="287" s="1"/>
  <c r="L77" i="285"/>
  <c r="H78" i="285" s="1"/>
  <c r="I77" i="285"/>
  <c r="K77" i="285" s="1"/>
  <c r="J20" i="285" s="1"/>
  <c r="AO46" i="286" s="1" a="1"/>
  <c r="AO46" i="286" s="1"/>
  <c r="AK50" i="284"/>
  <c r="AK57" i="284" s="1"/>
  <c r="AN28" i="159" s="1"/>
  <c r="AK48" i="284"/>
  <c r="AN50" i="284"/>
  <c r="AN57" i="284" s="1"/>
  <c r="AQ28" i="159" s="1"/>
  <c r="AN48" i="284"/>
  <c r="I76" i="283"/>
  <c r="K76" i="283" s="1"/>
  <c r="L76" i="283"/>
  <c r="H77" i="283" s="1"/>
  <c r="L77" i="280"/>
  <c r="H78" i="280" s="1"/>
  <c r="I77" i="280"/>
  <c r="K77" i="280" s="1"/>
  <c r="K78" i="275"/>
  <c r="L77" i="278"/>
  <c r="H78" i="278" s="1"/>
  <c r="I77" i="278"/>
  <c r="K77" i="278" s="1"/>
  <c r="J79" i="275"/>
  <c r="L79" i="275" s="1"/>
  <c r="H80" i="275" s="1"/>
  <c r="G80" i="275"/>
  <c r="AO50" i="276"/>
  <c r="AO57" i="276" s="1"/>
  <c r="AO48" i="276"/>
  <c r="I79" i="275"/>
  <c r="L79" i="289" l="1"/>
  <c r="H80" i="289" s="1"/>
  <c r="I79" i="289"/>
  <c r="K79" i="289" s="1"/>
  <c r="J20" i="287"/>
  <c r="AO46" i="288" s="1" a="1"/>
  <c r="AO46" i="288" s="1"/>
  <c r="L78" i="287"/>
  <c r="H79" i="287" s="1"/>
  <c r="I78" i="287"/>
  <c r="K78" i="287" s="1"/>
  <c r="AO48" i="286"/>
  <c r="AO50" i="286"/>
  <c r="AO57" i="286" s="1"/>
  <c r="I78" i="285"/>
  <c r="K78" i="285" s="1"/>
  <c r="L78" i="285"/>
  <c r="H79" i="285" s="1"/>
  <c r="I77" i="283"/>
  <c r="K77" i="283" s="1"/>
  <c r="L77" i="283"/>
  <c r="H78" i="283" s="1"/>
  <c r="J20" i="280"/>
  <c r="AO46" i="281" s="1" a="1"/>
  <c r="AO46" i="281" s="1"/>
  <c r="L78" i="280"/>
  <c r="H79" i="280" s="1"/>
  <c r="I78" i="280"/>
  <c r="K78" i="280" s="1"/>
  <c r="L78" i="278"/>
  <c r="H79" i="278" s="1"/>
  <c r="I78" i="278"/>
  <c r="K78" i="278" s="1"/>
  <c r="K79" i="275"/>
  <c r="J80" i="275"/>
  <c r="L80" i="275" s="1"/>
  <c r="H81" i="275" s="1"/>
  <c r="G81" i="275"/>
  <c r="I80" i="275"/>
  <c r="L80" i="289" l="1"/>
  <c r="H81" i="289" s="1"/>
  <c r="I80" i="289"/>
  <c r="K80" i="289" s="1"/>
  <c r="J21" i="289" s="1"/>
  <c r="AP46" i="290" s="1" a="1"/>
  <c r="AP46" i="290" s="1"/>
  <c r="L79" i="287"/>
  <c r="H80" i="287" s="1"/>
  <c r="I79" i="287"/>
  <c r="K79" i="287" s="1"/>
  <c r="AO50" i="288"/>
  <c r="AO57" i="288" s="1"/>
  <c r="AO48" i="288"/>
  <c r="L79" i="285"/>
  <c r="H80" i="285" s="1"/>
  <c r="I79" i="285"/>
  <c r="K79" i="285" s="1"/>
  <c r="I78" i="283"/>
  <c r="K78" i="283" s="1"/>
  <c r="L78" i="283"/>
  <c r="H79" i="283" s="1"/>
  <c r="L79" i="280"/>
  <c r="H80" i="280" s="1"/>
  <c r="I79" i="280"/>
  <c r="K79" i="280" s="1"/>
  <c r="AO50" i="281"/>
  <c r="AO57" i="281" s="1"/>
  <c r="AO48" i="281"/>
  <c r="L79" i="278"/>
  <c r="H80" i="278" s="1"/>
  <c r="I79" i="278"/>
  <c r="K79" i="278" s="1"/>
  <c r="K80" i="275"/>
  <c r="J21" i="275" s="1"/>
  <c r="AP46" i="276" s="1" a="1"/>
  <c r="AP46" i="276" s="1"/>
  <c r="AP50" i="276" s="1"/>
  <c r="AP57" i="276" s="1"/>
  <c r="J81" i="275"/>
  <c r="L81" i="275" s="1"/>
  <c r="H82" i="275" s="1"/>
  <c r="G82" i="275"/>
  <c r="I81" i="275"/>
  <c r="AP48" i="290" l="1"/>
  <c r="AP50" i="290"/>
  <c r="AP57" i="290" s="1"/>
  <c r="AN16" i="159" s="1"/>
  <c r="L81" i="289"/>
  <c r="H82" i="289" s="1"/>
  <c r="I81" i="289"/>
  <c r="K81" i="289" s="1"/>
  <c r="L80" i="287"/>
  <c r="H81" i="287" s="1"/>
  <c r="I80" i="287"/>
  <c r="K80" i="287" s="1"/>
  <c r="J21" i="287" s="1"/>
  <c r="AP46" i="288" s="1" a="1"/>
  <c r="AP46" i="288" s="1"/>
  <c r="L80" i="285"/>
  <c r="H81" i="285" s="1"/>
  <c r="I80" i="285"/>
  <c r="K80" i="285" s="1"/>
  <c r="J21" i="285" s="1"/>
  <c r="AP46" i="286" s="1" a="1"/>
  <c r="AP46" i="286" s="1"/>
  <c r="L79" i="283"/>
  <c r="H80" i="283" s="1"/>
  <c r="I79" i="283"/>
  <c r="K79" i="283" s="1"/>
  <c r="L80" i="280"/>
  <c r="H81" i="280" s="1"/>
  <c r="I80" i="280"/>
  <c r="K80" i="280" s="1"/>
  <c r="K81" i="275"/>
  <c r="I80" i="278"/>
  <c r="K80" i="278" s="1"/>
  <c r="J21" i="278" s="1"/>
  <c r="AP46" i="279" s="1" a="1"/>
  <c r="AP46" i="279" s="1"/>
  <c r="L80" i="278"/>
  <c r="H81" i="278" s="1"/>
  <c r="AP48" i="276"/>
  <c r="J82" i="275"/>
  <c r="L82" i="275" s="1"/>
  <c r="H83" i="275" s="1"/>
  <c r="G83" i="275"/>
  <c r="I82" i="275"/>
  <c r="I82" i="289" l="1"/>
  <c r="K82" i="289" s="1"/>
  <c r="L82" i="289"/>
  <c r="H83" i="289" s="1"/>
  <c r="AP48" i="288"/>
  <c r="AP50" i="288"/>
  <c r="AP57" i="288" s="1"/>
  <c r="I81" i="287"/>
  <c r="K81" i="287" s="1"/>
  <c r="L81" i="287"/>
  <c r="H82" i="287" s="1"/>
  <c r="AP48" i="286"/>
  <c r="AP50" i="286"/>
  <c r="AP57" i="286" s="1"/>
  <c r="I81" i="285"/>
  <c r="K81" i="285" s="1"/>
  <c r="L81" i="285"/>
  <c r="H82" i="285" s="1"/>
  <c r="L80" i="283"/>
  <c r="H81" i="283" s="1"/>
  <c r="I80" i="283"/>
  <c r="K80" i="283" s="1"/>
  <c r="J21" i="283" s="1"/>
  <c r="AP46" i="284" s="1" a="1"/>
  <c r="AP46" i="284" s="1"/>
  <c r="J21" i="280"/>
  <c r="AP46" i="281" s="1" a="1"/>
  <c r="AP46" i="281" s="1"/>
  <c r="L81" i="280"/>
  <c r="H82" i="280" s="1"/>
  <c r="I81" i="280"/>
  <c r="K81" i="280" s="1"/>
  <c r="AP48" i="279"/>
  <c r="AP50" i="279"/>
  <c r="AP57" i="279" s="1"/>
  <c r="BA40" i="159" s="1"/>
  <c r="L81" i="278"/>
  <c r="H82" i="278" s="1"/>
  <c r="I81" i="278"/>
  <c r="K81" i="278" s="1"/>
  <c r="K82" i="275"/>
  <c r="J83" i="275"/>
  <c r="L83" i="275" s="1"/>
  <c r="H84" i="275" s="1"/>
  <c r="G84" i="275"/>
  <c r="I83" i="275"/>
  <c r="L83" i="289" l="1"/>
  <c r="H84" i="289" s="1"/>
  <c r="I83" i="289"/>
  <c r="K83" i="289" s="1"/>
  <c r="J22" i="289" s="1"/>
  <c r="AQ46" i="290" s="1" a="1"/>
  <c r="AQ46" i="290" s="1"/>
  <c r="L82" i="287"/>
  <c r="H83" i="287" s="1"/>
  <c r="I82" i="287"/>
  <c r="K82" i="287" s="1"/>
  <c r="I82" i="285"/>
  <c r="K82" i="285" s="1"/>
  <c r="L82" i="285"/>
  <c r="H83" i="285" s="1"/>
  <c r="AP48" i="284"/>
  <c r="AP50" i="284"/>
  <c r="AP57" i="284" s="1"/>
  <c r="AS28" i="159" s="1"/>
  <c r="L81" i="283"/>
  <c r="H82" i="283" s="1"/>
  <c r="I81" i="283"/>
  <c r="K81" i="283" s="1"/>
  <c r="I82" i="280"/>
  <c r="K82" i="280" s="1"/>
  <c r="L82" i="280"/>
  <c r="H83" i="280" s="1"/>
  <c r="AP48" i="281"/>
  <c r="AP50" i="281"/>
  <c r="AP57" i="281" s="1"/>
  <c r="BD40" i="159" s="1"/>
  <c r="K83" i="275"/>
  <c r="J22" i="275" s="1"/>
  <c r="AQ46" i="276" s="1" a="1"/>
  <c r="AQ46" i="276" s="1"/>
  <c r="AQ48" i="276" s="1"/>
  <c r="L82" i="278"/>
  <c r="H83" i="278" s="1"/>
  <c r="I82" i="278"/>
  <c r="K82" i="278" s="1"/>
  <c r="J84" i="275"/>
  <c r="L84" i="275" s="1"/>
  <c r="H85" i="275" s="1"/>
  <c r="G85" i="275"/>
  <c r="I84" i="275"/>
  <c r="AQ50" i="290" l="1"/>
  <c r="AQ57" i="290" s="1"/>
  <c r="AO16" i="159" s="1"/>
  <c r="AQ48" i="290"/>
  <c r="I84" i="289"/>
  <c r="K84" i="289" s="1"/>
  <c r="L84" i="289"/>
  <c r="H85" i="289" s="1"/>
  <c r="L83" i="287"/>
  <c r="H84" i="287" s="1"/>
  <c r="I83" i="287"/>
  <c r="K83" i="287" s="1"/>
  <c r="J22" i="287" s="1"/>
  <c r="AQ46" i="288" s="1" a="1"/>
  <c r="AQ46" i="288" s="1"/>
  <c r="L83" i="285"/>
  <c r="H84" i="285" s="1"/>
  <c r="I83" i="285"/>
  <c r="K83" i="285" s="1"/>
  <c r="J22" i="285" s="1"/>
  <c r="AQ46" i="286" s="1" a="1"/>
  <c r="AQ46" i="286" s="1"/>
  <c r="L82" i="283"/>
  <c r="H83" i="283" s="1"/>
  <c r="I82" i="283"/>
  <c r="K82" i="283" s="1"/>
  <c r="L83" i="280"/>
  <c r="H84" i="280" s="1"/>
  <c r="I83" i="280"/>
  <c r="K83" i="280" s="1"/>
  <c r="J22" i="280" s="1"/>
  <c r="AQ46" i="281" s="1" a="1"/>
  <c r="AQ46" i="281" s="1"/>
  <c r="K84" i="275"/>
  <c r="AQ50" i="276"/>
  <c r="AQ57" i="276" s="1"/>
  <c r="L83" i="278"/>
  <c r="H84" i="278" s="1"/>
  <c r="I83" i="278"/>
  <c r="K83" i="278" s="1"/>
  <c r="J22" i="278" s="1"/>
  <c r="AQ46" i="279" s="1" a="1"/>
  <c r="AQ46" i="279" s="1"/>
  <c r="J85" i="275"/>
  <c r="L85" i="275" s="1"/>
  <c r="H86" i="275" s="1"/>
  <c r="G86" i="275"/>
  <c r="J86" i="275" s="1"/>
  <c r="I85" i="275"/>
  <c r="L85" i="289" l="1"/>
  <c r="H86" i="289" s="1"/>
  <c r="I85" i="289"/>
  <c r="K85" i="289" s="1"/>
  <c r="AQ50" i="288"/>
  <c r="AQ57" i="288" s="1"/>
  <c r="AQ48" i="288"/>
  <c r="L84" i="287"/>
  <c r="H85" i="287" s="1"/>
  <c r="I84" i="287"/>
  <c r="K84" i="287" s="1"/>
  <c r="I84" i="285"/>
  <c r="K84" i="285" s="1"/>
  <c r="L84" i="285"/>
  <c r="H85" i="285" s="1"/>
  <c r="AQ48" i="286"/>
  <c r="AQ50" i="286"/>
  <c r="AQ57" i="286" s="1"/>
  <c r="L83" i="283"/>
  <c r="H84" i="283" s="1"/>
  <c r="I83" i="283"/>
  <c r="K83" i="283" s="1"/>
  <c r="AQ48" i="281"/>
  <c r="AQ50" i="281"/>
  <c r="AQ57" i="281" s="1"/>
  <c r="BE40" i="159" s="1"/>
  <c r="L84" i="280"/>
  <c r="H85" i="280" s="1"/>
  <c r="I84" i="280"/>
  <c r="K84" i="280" s="1"/>
  <c r="K85" i="275"/>
  <c r="AQ48" i="279"/>
  <c r="AQ50" i="279"/>
  <c r="AQ57" i="279" s="1"/>
  <c r="BB40" i="159" s="1"/>
  <c r="I84" i="278"/>
  <c r="K84" i="278" s="1"/>
  <c r="L84" i="278"/>
  <c r="H85" i="278" s="1"/>
  <c r="L86" i="275"/>
  <c r="E13" i="275" s="1"/>
  <c r="AR47" i="276" s="1"/>
  <c r="I86" i="275"/>
  <c r="K86" i="275" s="1"/>
  <c r="L86" i="289" l="1"/>
  <c r="E13" i="289" s="1"/>
  <c r="AR47" i="290" s="1"/>
  <c r="I86" i="289"/>
  <c r="K86" i="289" s="1"/>
  <c r="L85" i="287"/>
  <c r="H86" i="287" s="1"/>
  <c r="I85" i="287"/>
  <c r="K85" i="287" s="1"/>
  <c r="L85" i="285"/>
  <c r="H86" i="285" s="1"/>
  <c r="I85" i="285"/>
  <c r="K85" i="285" s="1"/>
  <c r="J22" i="283"/>
  <c r="AQ46" i="284" s="1" a="1"/>
  <c r="AQ46" i="284" s="1"/>
  <c r="L84" i="283"/>
  <c r="H85" i="283" s="1"/>
  <c r="I84" i="283"/>
  <c r="K84" i="283" s="1"/>
  <c r="L85" i="280"/>
  <c r="H86" i="280" s="1"/>
  <c r="I85" i="280"/>
  <c r="K85" i="280" s="1"/>
  <c r="L85" i="278"/>
  <c r="H86" i="278" s="1"/>
  <c r="I85" i="278"/>
  <c r="K85" i="278" s="1"/>
  <c r="M6" i="275"/>
  <c r="M7" i="275"/>
  <c r="M8" i="275"/>
  <c r="J23" i="275"/>
  <c r="AR46" i="276" s="1" a="1"/>
  <c r="AR46" i="276" s="1"/>
  <c r="M6" i="289" l="1"/>
  <c r="M7" i="289"/>
  <c r="M8" i="289"/>
  <c r="J23" i="289"/>
  <c r="AR46" i="290" s="1" a="1"/>
  <c r="AR46" i="290" s="1"/>
  <c r="L86" i="287"/>
  <c r="E13" i="287" s="1"/>
  <c r="AR47" i="288" s="1"/>
  <c r="I86" i="287"/>
  <c r="K86" i="287" s="1"/>
  <c r="L86" i="285"/>
  <c r="E13" i="285" s="1"/>
  <c r="AR47" i="286" s="1"/>
  <c r="I86" i="285"/>
  <c r="K86" i="285" s="1"/>
  <c r="AQ50" i="284"/>
  <c r="AQ57" i="284" s="1"/>
  <c r="AT28" i="159" s="1"/>
  <c r="AQ48" i="284"/>
  <c r="L85" i="283"/>
  <c r="H86" i="283" s="1"/>
  <c r="I85" i="283"/>
  <c r="K85" i="283" s="1"/>
  <c r="L86" i="280"/>
  <c r="E13" i="280" s="1"/>
  <c r="AR47" i="281" s="1"/>
  <c r="I86" i="280"/>
  <c r="K86" i="280" s="1"/>
  <c r="L86" i="278"/>
  <c r="E13" i="278" s="1"/>
  <c r="AR47" i="279" s="1"/>
  <c r="I86" i="278"/>
  <c r="K86" i="278" s="1"/>
  <c r="AR50" i="276"/>
  <c r="AR57" i="276" s="1"/>
  <c r="AR48" i="276"/>
  <c r="B46" i="276"/>
  <c r="AR50" i="290" l="1"/>
  <c r="AR57" i="290" s="1"/>
  <c r="AP16" i="159" s="1"/>
  <c r="AR48" i="290"/>
  <c r="B46" i="290"/>
  <c r="M6" i="287"/>
  <c r="M7" i="287"/>
  <c r="M8" i="287"/>
  <c r="J23" i="287"/>
  <c r="AR46" i="288" s="1" a="1"/>
  <c r="AR46" i="288" s="1"/>
  <c r="M6" i="285"/>
  <c r="M7" i="285"/>
  <c r="M8" i="285"/>
  <c r="J23" i="285"/>
  <c r="AR46" i="286" s="1" a="1"/>
  <c r="AR46" i="286" s="1"/>
  <c r="L86" i="283"/>
  <c r="E13" i="283" s="1"/>
  <c r="AR47" i="284" s="1"/>
  <c r="I86" i="283"/>
  <c r="K86" i="283" s="1"/>
  <c r="J23" i="280"/>
  <c r="AR46" i="281" s="1" a="1"/>
  <c r="AR46" i="281" s="1"/>
  <c r="M6" i="280"/>
  <c r="M7" i="280"/>
  <c r="M8" i="280"/>
  <c r="J4" i="278"/>
  <c r="Y46" i="279" s="1" a="1"/>
  <c r="Y46" i="279" s="1"/>
  <c r="J20" i="278"/>
  <c r="AO46" i="279" s="1" a="1"/>
  <c r="AO46" i="279" s="1"/>
  <c r="M6" i="278"/>
  <c r="M7" i="278"/>
  <c r="M8" i="278"/>
  <c r="J23" i="278"/>
  <c r="AR46" i="279" s="1" a="1"/>
  <c r="AR46" i="279" s="1"/>
  <c r="AR50" i="288" l="1"/>
  <c r="AR57" i="288" s="1"/>
  <c r="AR48" i="288"/>
  <c r="B46" i="288"/>
  <c r="AR48" i="286"/>
  <c r="AR50" i="286"/>
  <c r="AR57" i="286" s="1"/>
  <c r="B46" i="286"/>
  <c r="J6" i="283"/>
  <c r="AA46" i="284" s="1" a="1"/>
  <c r="AA46" i="284" s="1"/>
  <c r="J7" i="283"/>
  <c r="AB46" i="284" s="1" a="1"/>
  <c r="AB46" i="284" s="1"/>
  <c r="J9" i="283"/>
  <c r="AD46" i="284" s="1" a="1"/>
  <c r="AD46" i="284" s="1"/>
  <c r="J23" i="283"/>
  <c r="AR46" i="284" s="1" a="1"/>
  <c r="AR46" i="284" s="1"/>
  <c r="AR48" i="284" s="1"/>
  <c r="M6" i="283"/>
  <c r="M7" i="283"/>
  <c r="M8" i="283"/>
  <c r="J20" i="283"/>
  <c r="AO46" i="284" s="1" a="1"/>
  <c r="AO46" i="284" s="1"/>
  <c r="AR48" i="281"/>
  <c r="AR50" i="281"/>
  <c r="AR57" i="281" s="1"/>
  <c r="BF40" i="159" s="1"/>
  <c r="B46" i="281"/>
  <c r="AO50" i="279"/>
  <c r="AO57" i="279" s="1"/>
  <c r="AZ40" i="159" s="1"/>
  <c r="AO48" i="279"/>
  <c r="Y48" i="279"/>
  <c r="Y50" i="279"/>
  <c r="Y57" i="279" s="1"/>
  <c r="AR50" i="279"/>
  <c r="AR57" i="279" s="1"/>
  <c r="BC40" i="159" s="1"/>
  <c r="AR48" i="279"/>
  <c r="B46" i="279"/>
  <c r="J33" i="273"/>
  <c r="J34" i="273"/>
  <c r="J35" i="273"/>
  <c r="J36" i="273"/>
  <c r="J37" i="273"/>
  <c r="J38" i="273"/>
  <c r="F11" i="272"/>
  <c r="L26" i="272"/>
  <c r="H27" i="272" s="1"/>
  <c r="L27" i="272" s="1"/>
  <c r="H28" i="272" s="1"/>
  <c r="J33" i="272"/>
  <c r="J34" i="272"/>
  <c r="J35" i="272"/>
  <c r="J36" i="272"/>
  <c r="J37" i="272"/>
  <c r="J38" i="272"/>
  <c r="J39" i="272"/>
  <c r="J40" i="272"/>
  <c r="J41" i="272"/>
  <c r="J42" i="272"/>
  <c r="J43" i="272"/>
  <c r="J44" i="272"/>
  <c r="J45" i="272"/>
  <c r="J46" i="272"/>
  <c r="J47" i="272"/>
  <c r="J48" i="272"/>
  <c r="J49" i="272"/>
  <c r="J50" i="272"/>
  <c r="J51" i="272"/>
  <c r="J52" i="272"/>
  <c r="J53" i="272"/>
  <c r="J54" i="272"/>
  <c r="J55" i="272"/>
  <c r="J56" i="272"/>
  <c r="J57" i="272"/>
  <c r="J58" i="272"/>
  <c r="J59" i="272"/>
  <c r="J60" i="272"/>
  <c r="J61" i="272"/>
  <c r="J62" i="272"/>
  <c r="J63" i="272"/>
  <c r="J64" i="272"/>
  <c r="J65" i="272"/>
  <c r="J66" i="272"/>
  <c r="J67" i="272"/>
  <c r="J68" i="272"/>
  <c r="J69" i="272"/>
  <c r="J70" i="272"/>
  <c r="J71" i="272"/>
  <c r="J72" i="272"/>
  <c r="J73" i="272"/>
  <c r="J74" i="272"/>
  <c r="J75" i="272"/>
  <c r="J76" i="272"/>
  <c r="J77" i="272"/>
  <c r="J78" i="272"/>
  <c r="J79" i="272"/>
  <c r="J80" i="272"/>
  <c r="J81" i="272"/>
  <c r="J82" i="272"/>
  <c r="J83" i="272"/>
  <c r="J84" i="272"/>
  <c r="J85" i="272"/>
  <c r="J86" i="272"/>
  <c r="AD50" i="284" l="1"/>
  <c r="AD57" i="284" s="1"/>
  <c r="AG28" i="159" s="1"/>
  <c r="AD48" i="284"/>
  <c r="AB50" i="284"/>
  <c r="AB57" i="284" s="1"/>
  <c r="AE28" i="159" s="1"/>
  <c r="AB48" i="284"/>
  <c r="AA50" i="284"/>
  <c r="AA57" i="284" s="1"/>
  <c r="AD28" i="159" s="1"/>
  <c r="AA48" i="284"/>
  <c r="AR50" i="284"/>
  <c r="AR57" i="284" s="1"/>
  <c r="AU28" i="159" s="1"/>
  <c r="AO50" i="284"/>
  <c r="AO57" i="284" s="1"/>
  <c r="AR28" i="159" s="1"/>
  <c r="AO48" i="284"/>
  <c r="B46" i="284"/>
  <c r="I27" i="272"/>
  <c r="K27" i="272" s="1"/>
  <c r="I28" i="272"/>
  <c r="K28" i="272" s="1"/>
  <c r="L28" i="272"/>
  <c r="H29" i="272" s="1"/>
  <c r="I29" i="272" l="1"/>
  <c r="K29" i="272" s="1"/>
  <c r="J4" i="272" s="1"/>
  <c r="Y46" i="265" s="1" a="1"/>
  <c r="Y46" i="265" s="1"/>
  <c r="Y50" i="265" s="1"/>
  <c r="L29" i="272"/>
  <c r="H30" i="272" s="1"/>
  <c r="L30" i="272" l="1"/>
  <c r="H31" i="272" s="1"/>
  <c r="I30" i="272"/>
  <c r="K30" i="272" s="1"/>
  <c r="Y48" i="265"/>
  <c r="Y57" i="265" l="1"/>
  <c r="I31" i="272"/>
  <c r="K31" i="272" s="1"/>
  <c r="L31" i="272"/>
  <c r="H32" i="272" s="1"/>
  <c r="I32" i="272" l="1"/>
  <c r="K32" i="272" s="1"/>
  <c r="J5" i="272" s="1"/>
  <c r="Z46" i="265" s="1" a="1"/>
  <c r="Z46" i="265" s="1"/>
  <c r="Z50" i="265" s="1"/>
  <c r="L32" i="272"/>
  <c r="H33" i="272" s="1"/>
  <c r="Z48" i="265" l="1"/>
  <c r="L33" i="272"/>
  <c r="H34" i="272" s="1"/>
  <c r="I33" i="272"/>
  <c r="K33" i="272" s="1"/>
  <c r="Z57" i="265" l="1"/>
  <c r="I34" i="272"/>
  <c r="K34" i="272" s="1"/>
  <c r="L34" i="272"/>
  <c r="H35" i="272" s="1"/>
  <c r="I35" i="272" l="1"/>
  <c r="K35" i="272" s="1"/>
  <c r="J6" i="272" s="1"/>
  <c r="AA46" i="265" s="1" a="1"/>
  <c r="AA46" i="265" s="1"/>
  <c r="AA50" i="265" s="1"/>
  <c r="L35" i="272"/>
  <c r="H36" i="272" s="1"/>
  <c r="AA48" i="265" l="1"/>
  <c r="I36" i="272"/>
  <c r="K36" i="272" s="1"/>
  <c r="L36" i="272"/>
  <c r="H37" i="272" s="1"/>
  <c r="AA57" i="265" l="1"/>
  <c r="I37" i="272"/>
  <c r="K37" i="272" s="1"/>
  <c r="L37" i="272"/>
  <c r="H38" i="272" s="1"/>
  <c r="L38" i="272" l="1"/>
  <c r="H39" i="272" s="1"/>
  <c r="I38" i="272"/>
  <c r="K38" i="272" s="1"/>
  <c r="J7" i="272" s="1"/>
  <c r="AB46" i="265" s="1" a="1"/>
  <c r="AB46" i="265" s="1"/>
  <c r="AB50" i="265" s="1"/>
  <c r="AB48" i="265" l="1"/>
  <c r="I39" i="272"/>
  <c r="K39" i="272" s="1"/>
  <c r="L39" i="272"/>
  <c r="H40" i="272" s="1"/>
  <c r="AB57" i="265" l="1"/>
  <c r="L40" i="272"/>
  <c r="H41" i="272" s="1"/>
  <c r="I40" i="272"/>
  <c r="K40" i="272" s="1"/>
  <c r="I41" i="272" l="1"/>
  <c r="K41" i="272" s="1"/>
  <c r="L41" i="272"/>
  <c r="H42" i="272" s="1"/>
  <c r="I42" i="272" l="1"/>
  <c r="K42" i="272" s="1"/>
  <c r="L42" i="272"/>
  <c r="H43" i="272" s="1"/>
  <c r="J8" i="272"/>
  <c r="AC46" i="265" s="1" a="1"/>
  <c r="AC46" i="265" s="1"/>
  <c r="AC50" i="265" s="1"/>
  <c r="AC48" i="265" l="1"/>
  <c r="I43" i="272"/>
  <c r="K43" i="272" s="1"/>
  <c r="L43" i="272"/>
  <c r="H44" i="272" s="1"/>
  <c r="AC57" i="265" l="1"/>
  <c r="I44" i="272"/>
  <c r="K44" i="272" s="1"/>
  <c r="J9" i="272" s="1"/>
  <c r="AD46" i="265" s="1" a="1"/>
  <c r="AD46" i="265" s="1"/>
  <c r="AD50" i="265" s="1"/>
  <c r="L44" i="272"/>
  <c r="H45" i="272" s="1"/>
  <c r="L45" i="272" l="1"/>
  <c r="H46" i="272" s="1"/>
  <c r="I45" i="272"/>
  <c r="K45" i="272" s="1"/>
  <c r="AD48" i="265"/>
  <c r="AD57" i="265" l="1"/>
  <c r="I46" i="272"/>
  <c r="K46" i="272" s="1"/>
  <c r="L46" i="272"/>
  <c r="H47" i="272" s="1"/>
  <c r="I47" i="272" l="1"/>
  <c r="K47" i="272" s="1"/>
  <c r="J10" i="272" s="1"/>
  <c r="AE46" i="265" s="1" a="1"/>
  <c r="AE46" i="265" s="1"/>
  <c r="AE50" i="265" s="1"/>
  <c r="L47" i="272"/>
  <c r="H48" i="272" s="1"/>
  <c r="I48" i="272" l="1"/>
  <c r="K48" i="272" s="1"/>
  <c r="L48" i="272"/>
  <c r="H49" i="272" s="1"/>
  <c r="AE48" i="265"/>
  <c r="AE57" i="265" l="1"/>
  <c r="I49" i="272"/>
  <c r="K49" i="272" s="1"/>
  <c r="L49" i="272"/>
  <c r="H50" i="272" s="1"/>
  <c r="L50" i="272" l="1"/>
  <c r="H51" i="272" s="1"/>
  <c r="I50" i="272"/>
  <c r="K50" i="272" s="1"/>
  <c r="J11" i="272" s="1"/>
  <c r="AF46" i="265" s="1" a="1"/>
  <c r="AF46" i="265" s="1"/>
  <c r="AF50" i="265" s="1"/>
  <c r="AF48" i="265" l="1"/>
  <c r="I51" i="272"/>
  <c r="K51" i="272" s="1"/>
  <c r="L51" i="272"/>
  <c r="H52" i="272" s="1"/>
  <c r="AF57" i="265" l="1"/>
  <c r="L52" i="272"/>
  <c r="H53" i="272" s="1"/>
  <c r="I52" i="272"/>
  <c r="K52" i="272" s="1"/>
  <c r="I53" i="272" l="1"/>
  <c r="K53" i="272" s="1"/>
  <c r="L53" i="272"/>
  <c r="H54" i="272" s="1"/>
  <c r="I54" i="272" l="1"/>
  <c r="K54" i="272" s="1"/>
  <c r="L54" i="272"/>
  <c r="H55" i="272" s="1"/>
  <c r="J12" i="272"/>
  <c r="AG46" i="265" s="1" a="1"/>
  <c r="AG46" i="265" s="1"/>
  <c r="AG50" i="265" s="1"/>
  <c r="AG48" i="265" l="1"/>
  <c r="I55" i="272"/>
  <c r="K55" i="272" s="1"/>
  <c r="L55" i="272"/>
  <c r="H56" i="272" s="1"/>
  <c r="AG57" i="265" l="1"/>
  <c r="I56" i="272"/>
  <c r="K56" i="272" s="1"/>
  <c r="J13" i="272" s="1"/>
  <c r="AH46" i="265" s="1" a="1"/>
  <c r="AH46" i="265" s="1"/>
  <c r="AH50" i="265" s="1"/>
  <c r="L56" i="272"/>
  <c r="H57" i="272" s="1"/>
  <c r="L57" i="272" l="1"/>
  <c r="H58" i="272" s="1"/>
  <c r="I57" i="272"/>
  <c r="K57" i="272" s="1"/>
  <c r="AH48" i="265"/>
  <c r="AH57" i="265" l="1"/>
  <c r="I58" i="272"/>
  <c r="K58" i="272" s="1"/>
  <c r="L58" i="272"/>
  <c r="H59" i="272" s="1"/>
  <c r="I59" i="272" l="1"/>
  <c r="K59" i="272" s="1"/>
  <c r="J14" i="272" s="1"/>
  <c r="AI46" i="265" s="1" a="1"/>
  <c r="AI46" i="265" s="1"/>
  <c r="AI50" i="265" s="1"/>
  <c r="L59" i="272"/>
  <c r="H60" i="272" s="1"/>
  <c r="AI48" i="265" l="1"/>
  <c r="I60" i="272"/>
  <c r="K60" i="272" s="1"/>
  <c r="L60" i="272"/>
  <c r="H61" i="272" s="1"/>
  <c r="AI57" i="265" l="1"/>
  <c r="I61" i="272"/>
  <c r="K61" i="272" s="1"/>
  <c r="L61" i="272"/>
  <c r="H62" i="272" s="1"/>
  <c r="L62" i="272" l="1"/>
  <c r="H63" i="272" s="1"/>
  <c r="I62" i="272"/>
  <c r="K62" i="272" s="1"/>
  <c r="J15" i="272" s="1"/>
  <c r="AJ46" i="265" s="1" a="1"/>
  <c r="AJ46" i="265" s="1"/>
  <c r="AJ50" i="265" s="1"/>
  <c r="AJ48" i="265" l="1"/>
  <c r="I63" i="272"/>
  <c r="K63" i="272" s="1"/>
  <c r="L63" i="272"/>
  <c r="H64" i="272" s="1"/>
  <c r="AJ57" i="265" l="1"/>
  <c r="L64" i="272"/>
  <c r="H65" i="272" s="1"/>
  <c r="I64" i="272"/>
  <c r="K64" i="272" s="1"/>
  <c r="I65" i="272" l="1"/>
  <c r="K65" i="272" s="1"/>
  <c r="L65" i="272"/>
  <c r="H66" i="272" s="1"/>
  <c r="I66" i="272" l="1"/>
  <c r="K66" i="272" s="1"/>
  <c r="L66" i="272"/>
  <c r="H67" i="272" s="1"/>
  <c r="J16" i="272"/>
  <c r="AK46" i="265" s="1" a="1"/>
  <c r="AK46" i="265" s="1"/>
  <c r="AK50" i="265" s="1"/>
  <c r="I67" i="272" l="1"/>
  <c r="K67" i="272" s="1"/>
  <c r="L67" i="272"/>
  <c r="H68" i="272" s="1"/>
  <c r="AK48" i="265"/>
  <c r="AK57" i="265" l="1"/>
  <c r="I68" i="272"/>
  <c r="K68" i="272" s="1"/>
  <c r="J17" i="272" s="1"/>
  <c r="AL46" i="265" s="1" a="1"/>
  <c r="AL46" i="265" s="1"/>
  <c r="AL50" i="265" s="1"/>
  <c r="L68" i="272"/>
  <c r="H69" i="272" s="1"/>
  <c r="AL48" i="265" l="1"/>
  <c r="L69" i="272"/>
  <c r="H70" i="272" s="1"/>
  <c r="I69" i="272"/>
  <c r="K69" i="272" s="1"/>
  <c r="I70" i="272" l="1"/>
  <c r="K70" i="272" s="1"/>
  <c r="L70" i="272"/>
  <c r="H71" i="272" s="1"/>
  <c r="AL57" i="265"/>
  <c r="I71" i="272" l="1"/>
  <c r="K71" i="272" s="1"/>
  <c r="J18" i="272" s="1"/>
  <c r="AM46" i="265" s="1" a="1"/>
  <c r="AM46" i="265" s="1"/>
  <c r="AM50" i="265" s="1"/>
  <c r="L71" i="272"/>
  <c r="H72" i="272" s="1"/>
  <c r="I72" i="272" l="1"/>
  <c r="K72" i="272" s="1"/>
  <c r="L72" i="272"/>
  <c r="H73" i="272" s="1"/>
  <c r="AM48" i="265"/>
  <c r="AM57" i="265" l="1"/>
  <c r="I73" i="272"/>
  <c r="K73" i="272" s="1"/>
  <c r="L73" i="272"/>
  <c r="H74" i="272" s="1"/>
  <c r="L74" i="272" l="1"/>
  <c r="H75" i="272" s="1"/>
  <c r="I74" i="272"/>
  <c r="K74" i="272" s="1"/>
  <c r="J19" i="272" s="1"/>
  <c r="AN46" i="265" s="1" a="1"/>
  <c r="AN46" i="265" s="1"/>
  <c r="AN50" i="265" s="1"/>
  <c r="AN48" i="265" l="1"/>
  <c r="I75" i="272"/>
  <c r="K75" i="272" s="1"/>
  <c r="L75" i="272"/>
  <c r="H76" i="272" s="1"/>
  <c r="AN57" i="265" l="1"/>
  <c r="L76" i="272"/>
  <c r="H77" i="272" s="1"/>
  <c r="I76" i="272"/>
  <c r="K76" i="272" s="1"/>
  <c r="I77" i="272" l="1"/>
  <c r="K77" i="272" s="1"/>
  <c r="L77" i="272"/>
  <c r="H78" i="272" s="1"/>
  <c r="I78" i="272" l="1"/>
  <c r="K78" i="272" s="1"/>
  <c r="L78" i="272"/>
  <c r="H79" i="272" s="1"/>
  <c r="J20" i="272"/>
  <c r="AO46" i="265" s="1" a="1"/>
  <c r="AO46" i="265" s="1"/>
  <c r="AO50" i="265" s="1"/>
  <c r="AO48" i="265" l="1"/>
  <c r="I79" i="272"/>
  <c r="K79" i="272" s="1"/>
  <c r="L79" i="272"/>
  <c r="H80" i="272" s="1"/>
  <c r="AO57" i="265" l="1"/>
  <c r="I80" i="272"/>
  <c r="K80" i="272" s="1"/>
  <c r="J21" i="272" s="1"/>
  <c r="AP46" i="265" s="1" a="1"/>
  <c r="AP46" i="265" s="1"/>
  <c r="AP50" i="265" s="1"/>
  <c r="L80" i="272"/>
  <c r="H81" i="272" s="1"/>
  <c r="L81" i="272" l="1"/>
  <c r="H82" i="272" s="1"/>
  <c r="I81" i="272"/>
  <c r="K81" i="272" s="1"/>
  <c r="AP48" i="265"/>
  <c r="AP57" i="265" l="1"/>
  <c r="I82" i="272"/>
  <c r="K82" i="272" s="1"/>
  <c r="L82" i="272"/>
  <c r="H83" i="272" s="1"/>
  <c r="I83" i="272" l="1"/>
  <c r="K83" i="272" s="1"/>
  <c r="J22" i="272" s="1"/>
  <c r="AQ46" i="265" s="1" a="1"/>
  <c r="AQ46" i="265" s="1"/>
  <c r="AQ50" i="265" s="1"/>
  <c r="L83" i="272"/>
  <c r="H84" i="272" s="1"/>
  <c r="I84" i="272" l="1"/>
  <c r="K84" i="272" s="1"/>
  <c r="L84" i="272"/>
  <c r="H85" i="272" s="1"/>
  <c r="AQ48" i="265"/>
  <c r="AQ57" i="265" l="1"/>
  <c r="I85" i="272"/>
  <c r="K85" i="272" s="1"/>
  <c r="L85" i="272"/>
  <c r="H86" i="272" s="1"/>
  <c r="L86" i="272" l="1"/>
  <c r="E13" i="272" s="1"/>
  <c r="AR47" i="265" s="1"/>
  <c r="I86" i="272"/>
  <c r="K86" i="272" s="1"/>
  <c r="M4" i="272" l="1"/>
  <c r="M5" i="272"/>
  <c r="M6" i="272"/>
  <c r="M7" i="272"/>
  <c r="M8" i="272"/>
  <c r="J23" i="272"/>
  <c r="AR46" i="265" s="1" a="1"/>
  <c r="AR46" i="265" s="1"/>
  <c r="AR50" i="265" s="1"/>
  <c r="AR48" i="265" l="1"/>
  <c r="B46" i="265"/>
  <c r="AR57" i="265" l="1"/>
  <c r="B19" i="265"/>
  <c r="D19" i="265" s="1"/>
  <c r="B18" i="265"/>
  <c r="D18" i="265" s="1"/>
  <c r="B14" i="265"/>
  <c r="D14" i="265" s="1"/>
  <c r="B15" i="265"/>
  <c r="D15" i="265" s="1"/>
  <c r="B16" i="265"/>
  <c r="D16" i="265" s="1"/>
  <c r="B17" i="265"/>
  <c r="D17" i="265" s="1"/>
  <c r="B20" i="265"/>
  <c r="D20" i="265" s="1"/>
  <c r="B21" i="265"/>
  <c r="D21" i="265" s="1"/>
  <c r="B22" i="265"/>
  <c r="D22" i="265" s="1"/>
  <c r="B23" i="265"/>
  <c r="D23" i="265" s="1"/>
  <c r="B24" i="265"/>
  <c r="D24" i="265" s="1"/>
  <c r="B25" i="265"/>
  <c r="D25" i="265" s="1"/>
  <c r="B26" i="265"/>
  <c r="D26" i="265" s="1"/>
  <c r="B27" i="265"/>
  <c r="D27" i="265" s="1"/>
  <c r="B28" i="265"/>
  <c r="D28" i="265" s="1"/>
  <c r="B29" i="265"/>
  <c r="D29" i="265" s="1"/>
  <c r="B30" i="265"/>
  <c r="D30" i="265" s="1"/>
  <c r="B32" i="265"/>
  <c r="D32" i="265" s="1"/>
  <c r="F11" i="273"/>
  <c r="L26" i="273"/>
  <c r="H27" i="273" s="1"/>
  <c r="J39" i="273"/>
  <c r="J40" i="273"/>
  <c r="J41" i="273"/>
  <c r="J42" i="273"/>
  <c r="J43" i="273"/>
  <c r="J44" i="273"/>
  <c r="J45" i="273"/>
  <c r="J46" i="273"/>
  <c r="J47" i="273"/>
  <c r="J48" i="273"/>
  <c r="J49" i="273"/>
  <c r="J50" i="273"/>
  <c r="J51" i="273"/>
  <c r="J52" i="273"/>
  <c r="J53" i="273"/>
  <c r="J54" i="273"/>
  <c r="J55" i="273"/>
  <c r="J56" i="273"/>
  <c r="J57" i="273"/>
  <c r="J58" i="273"/>
  <c r="J59" i="273"/>
  <c r="J60" i="273"/>
  <c r="J61" i="273"/>
  <c r="J62" i="273"/>
  <c r="J63" i="273"/>
  <c r="J64" i="273"/>
  <c r="J65" i="273"/>
  <c r="J66" i="273"/>
  <c r="J67" i="273"/>
  <c r="J68" i="273"/>
  <c r="J69" i="273"/>
  <c r="J70" i="273"/>
  <c r="J71" i="273"/>
  <c r="J72" i="273"/>
  <c r="J73" i="273"/>
  <c r="J74" i="273"/>
  <c r="J75" i="273"/>
  <c r="J76" i="273"/>
  <c r="J77" i="273"/>
  <c r="J78" i="273"/>
  <c r="J79" i="273"/>
  <c r="J80" i="273"/>
  <c r="J81" i="273"/>
  <c r="J82" i="273"/>
  <c r="J83" i="273"/>
  <c r="J84" i="273"/>
  <c r="J85" i="273"/>
  <c r="J86" i="273"/>
  <c r="L27" i="273" l="1"/>
  <c r="H28" i="273" s="1"/>
  <c r="I27" i="273"/>
  <c r="K27" i="273" s="1"/>
  <c r="L28" i="273" l="1"/>
  <c r="H29" i="273" s="1"/>
  <c r="I28" i="273"/>
  <c r="K28" i="273" s="1"/>
  <c r="L29" i="273" l="1"/>
  <c r="H30" i="273" s="1"/>
  <c r="I29" i="273"/>
  <c r="K29" i="273" s="1"/>
  <c r="J4" i="273" s="1"/>
  <c r="Y46" i="274" l="1" a="1"/>
  <c r="Y46" i="274" s="1"/>
  <c r="I30" i="273"/>
  <c r="K30" i="273" s="1"/>
  <c r="L30" i="273"/>
  <c r="H31" i="273" s="1"/>
  <c r="L31" i="273" l="1"/>
  <c r="H32" i="273" s="1"/>
  <c r="I31" i="273"/>
  <c r="K31" i="273" s="1"/>
  <c r="Y50" i="274"/>
  <c r="Y57" i="274" s="1"/>
  <c r="AU52" i="159" s="1"/>
  <c r="Y48" i="274"/>
  <c r="L32" i="273" l="1"/>
  <c r="H33" i="273" s="1"/>
  <c r="I32" i="273"/>
  <c r="K32" i="273" s="1"/>
  <c r="J5" i="273" s="1"/>
  <c r="Z46" i="274" l="1" a="1"/>
  <c r="Z46" i="274" s="1"/>
  <c r="I33" i="273"/>
  <c r="K33" i="273" s="1"/>
  <c r="L33" i="273"/>
  <c r="H34" i="273" s="1"/>
  <c r="L34" i="273" l="1"/>
  <c r="H35" i="273" s="1"/>
  <c r="I34" i="273"/>
  <c r="K34" i="273" s="1"/>
  <c r="Z50" i="274"/>
  <c r="Z57" i="274" s="1"/>
  <c r="AV52" i="159" s="1"/>
  <c r="Z48" i="274"/>
  <c r="L35" i="273" l="1"/>
  <c r="H36" i="273" s="1"/>
  <c r="I35" i="273"/>
  <c r="K35" i="273" s="1"/>
  <c r="J6" i="273" s="1"/>
  <c r="AA46" i="274" l="1" a="1"/>
  <c r="AA46" i="274" s="1"/>
  <c r="I36" i="273"/>
  <c r="K36" i="273" s="1"/>
  <c r="L36" i="273"/>
  <c r="H37" i="273" s="1"/>
  <c r="I37" i="273" l="1"/>
  <c r="K37" i="273" s="1"/>
  <c r="L37" i="273"/>
  <c r="H38" i="273" s="1"/>
  <c r="AA48" i="274"/>
  <c r="AA50" i="274"/>
  <c r="AA57" i="274" s="1"/>
  <c r="AW52" i="159" s="1"/>
  <c r="L38" i="273" l="1"/>
  <c r="H39" i="273" s="1"/>
  <c r="I38" i="273"/>
  <c r="K38" i="273" s="1"/>
  <c r="J7" i="273" s="1"/>
  <c r="AB46" i="274" l="1" a="1"/>
  <c r="AB46" i="274" s="1"/>
  <c r="I39" i="273"/>
  <c r="K39" i="273" s="1"/>
  <c r="L39" i="273"/>
  <c r="H40" i="273" s="1"/>
  <c r="I40" i="273" l="1"/>
  <c r="K40" i="273" s="1"/>
  <c r="L40" i="273"/>
  <c r="H41" i="273" s="1"/>
  <c r="AB48" i="274"/>
  <c r="AB50" i="274"/>
  <c r="AB57" i="274" s="1"/>
  <c r="AX52" i="159" s="1"/>
  <c r="L41" i="273" l="1"/>
  <c r="H42" i="273" s="1"/>
  <c r="I41" i="273"/>
  <c r="K41" i="273" s="1"/>
  <c r="J8" i="273" s="1"/>
  <c r="AC46" i="274" l="1" a="1"/>
  <c r="AC46" i="274" s="1"/>
  <c r="L42" i="273"/>
  <c r="H43" i="273" s="1"/>
  <c r="I42" i="273"/>
  <c r="K42" i="273" s="1"/>
  <c r="L43" i="273" l="1"/>
  <c r="H44" i="273" s="1"/>
  <c r="I43" i="273"/>
  <c r="K43" i="273" s="1"/>
  <c r="AC50" i="274"/>
  <c r="AC57" i="274" s="1"/>
  <c r="AY52" i="159" s="1"/>
  <c r="AC48" i="274"/>
  <c r="I44" i="273" l="1"/>
  <c r="K44" i="273" s="1"/>
  <c r="J9" i="273" s="1"/>
  <c r="L44" i="273"/>
  <c r="H45" i="273" s="1"/>
  <c r="AD46" i="274" l="1" a="1"/>
  <c r="AD46" i="274" s="1"/>
  <c r="L45" i="273"/>
  <c r="H46" i="273" s="1"/>
  <c r="I45" i="273"/>
  <c r="K45" i="273" s="1"/>
  <c r="L46" i="273" l="1"/>
  <c r="H47" i="273" s="1"/>
  <c r="I46" i="273"/>
  <c r="K46" i="273" s="1"/>
  <c r="AD48" i="274"/>
  <c r="AD50" i="274"/>
  <c r="AD57" i="274" s="1"/>
  <c r="AZ52" i="159" s="1"/>
  <c r="L47" i="273" l="1"/>
  <c r="H48" i="273" s="1"/>
  <c r="I47" i="273"/>
  <c r="K47" i="273" s="1"/>
  <c r="J10" i="273" s="1"/>
  <c r="AE46" i="274" l="1" a="1"/>
  <c r="AE46" i="274" s="1"/>
  <c r="L48" i="273"/>
  <c r="H49" i="273" s="1"/>
  <c r="I48" i="273"/>
  <c r="K48" i="273" s="1"/>
  <c r="L49" i="273" l="1"/>
  <c r="H50" i="273" s="1"/>
  <c r="I49" i="273"/>
  <c r="K49" i="273" s="1"/>
  <c r="AE50" i="274"/>
  <c r="AE57" i="274" s="1"/>
  <c r="BA52" i="159" s="1"/>
  <c r="AE48" i="274"/>
  <c r="L50" i="273" l="1"/>
  <c r="H51" i="273" s="1"/>
  <c r="I50" i="273"/>
  <c r="K50" i="273" s="1"/>
  <c r="J11" i="273" s="1"/>
  <c r="AF46" i="274" l="1" a="1"/>
  <c r="AF46" i="274" s="1"/>
  <c r="I51" i="273"/>
  <c r="K51" i="273" s="1"/>
  <c r="L51" i="273"/>
  <c r="H52" i="273" s="1"/>
  <c r="I52" i="273" l="1"/>
  <c r="K52" i="273" s="1"/>
  <c r="L52" i="273"/>
  <c r="H53" i="273" s="1"/>
  <c r="AF48" i="274"/>
  <c r="AF50" i="274"/>
  <c r="AF57" i="274" s="1"/>
  <c r="BB52" i="159" s="1"/>
  <c r="I53" i="273" l="1"/>
  <c r="K53" i="273" s="1"/>
  <c r="J12" i="273" s="1"/>
  <c r="L53" i="273"/>
  <c r="H54" i="273" s="1"/>
  <c r="L54" i="273" l="1"/>
  <c r="H55" i="273" s="1"/>
  <c r="I54" i="273"/>
  <c r="K54" i="273" s="1"/>
  <c r="AG46" i="274" a="1"/>
  <c r="AG46" i="274" s="1"/>
  <c r="AG50" i="274" l="1"/>
  <c r="AG57" i="274" s="1"/>
  <c r="BC52" i="159" s="1"/>
  <c r="AG48" i="274"/>
  <c r="L55" i="273"/>
  <c r="H56" i="273" s="1"/>
  <c r="I55" i="273"/>
  <c r="K55" i="273" s="1"/>
  <c r="L56" i="273" l="1"/>
  <c r="H57" i="273" s="1"/>
  <c r="I56" i="273"/>
  <c r="K56" i="273" s="1"/>
  <c r="J13" i="273" s="1"/>
  <c r="AH46" i="274" l="1" a="1"/>
  <c r="AH46" i="274" s="1"/>
  <c r="I57" i="273"/>
  <c r="K57" i="273" s="1"/>
  <c r="L57" i="273"/>
  <c r="H58" i="273" s="1"/>
  <c r="I58" i="273" l="1"/>
  <c r="K58" i="273" s="1"/>
  <c r="L58" i="273"/>
  <c r="H59" i="273" s="1"/>
  <c r="AH50" i="274"/>
  <c r="AH57" i="274" s="1"/>
  <c r="BD52" i="159" s="1"/>
  <c r="AH48" i="274"/>
  <c r="L59" i="273" l="1"/>
  <c r="H60" i="273" s="1"/>
  <c r="I59" i="273"/>
  <c r="K59" i="273" s="1"/>
  <c r="J14" i="273" s="1"/>
  <c r="AI46" i="274" l="1" a="1"/>
  <c r="AI46" i="274" s="1"/>
  <c r="L60" i="273"/>
  <c r="H61" i="273" s="1"/>
  <c r="I60" i="273"/>
  <c r="K60" i="273" s="1"/>
  <c r="L61" i="273" l="1"/>
  <c r="H62" i="273" s="1"/>
  <c r="I61" i="273"/>
  <c r="K61" i="273" s="1"/>
  <c r="AI50" i="274"/>
  <c r="AI57" i="274" s="1"/>
  <c r="BE52" i="159" s="1"/>
  <c r="AI48" i="274"/>
  <c r="L62" i="273" l="1"/>
  <c r="H63" i="273" s="1"/>
  <c r="I62" i="273"/>
  <c r="K62" i="273" s="1"/>
  <c r="J15" i="273" s="1"/>
  <c r="AJ46" i="274" l="1" a="1"/>
  <c r="AJ46" i="274" s="1"/>
  <c r="I63" i="273"/>
  <c r="K63" i="273" s="1"/>
  <c r="L63" i="273"/>
  <c r="H64" i="273" s="1"/>
  <c r="L64" i="273" l="1"/>
  <c r="H65" i="273" s="1"/>
  <c r="I64" i="273"/>
  <c r="K64" i="273" s="1"/>
  <c r="AJ50" i="274"/>
  <c r="AJ57" i="274" s="1"/>
  <c r="BF52" i="159" s="1"/>
  <c r="AJ48" i="274"/>
  <c r="I65" i="273" l="1"/>
  <c r="K65" i="273" s="1"/>
  <c r="J16" i="273" s="1"/>
  <c r="L65" i="273"/>
  <c r="H66" i="273" s="1"/>
  <c r="L66" i="273" l="1"/>
  <c r="H67" i="273" s="1"/>
  <c r="I66" i="273"/>
  <c r="K66" i="273" s="1"/>
  <c r="AK46" i="274" a="1"/>
  <c r="AK46" i="274" s="1"/>
  <c r="AK50" i="274" l="1"/>
  <c r="AK57" i="274" s="1"/>
  <c r="BG52" i="159" s="1"/>
  <c r="AK48" i="274"/>
  <c r="I67" i="273"/>
  <c r="K67" i="273" s="1"/>
  <c r="L67" i="273"/>
  <c r="H68" i="273" s="1"/>
  <c r="L68" i="273" l="1"/>
  <c r="H69" i="273" s="1"/>
  <c r="I68" i="273"/>
  <c r="K68" i="273" s="1"/>
  <c r="J17" i="273" s="1"/>
  <c r="AL46" i="274" l="1" a="1"/>
  <c r="AL46" i="274" s="1"/>
  <c r="L69" i="273"/>
  <c r="H70" i="273" s="1"/>
  <c r="I69" i="273"/>
  <c r="K69" i="273" s="1"/>
  <c r="I70" i="273" l="1"/>
  <c r="K70" i="273" s="1"/>
  <c r="L70" i="273"/>
  <c r="H71" i="273" s="1"/>
  <c r="AL50" i="274"/>
  <c r="AL57" i="274" s="1"/>
  <c r="BH52" i="159" s="1"/>
  <c r="AL48" i="274"/>
  <c r="I71" i="273" l="1"/>
  <c r="K71" i="273" s="1"/>
  <c r="J18" i="273" s="1"/>
  <c r="L71" i="273"/>
  <c r="H72" i="273" s="1"/>
  <c r="I72" i="273" l="1"/>
  <c r="K72" i="273" s="1"/>
  <c r="L72" i="273"/>
  <c r="H73" i="273" s="1"/>
  <c r="AM46" i="274" a="1"/>
  <c r="AM46" i="274" s="1"/>
  <c r="AM50" i="274" l="1"/>
  <c r="AM57" i="274" s="1"/>
  <c r="BI52" i="159" s="1"/>
  <c r="AM48" i="274"/>
  <c r="I73" i="273"/>
  <c r="K73" i="273" s="1"/>
  <c r="L73" i="273"/>
  <c r="H74" i="273" s="1"/>
  <c r="I74" i="273" l="1"/>
  <c r="K74" i="273" s="1"/>
  <c r="J19" i="273" s="1"/>
  <c r="L74" i="273"/>
  <c r="H75" i="273" s="1"/>
  <c r="L75" i="273" l="1"/>
  <c r="H76" i="273" s="1"/>
  <c r="I75" i="273"/>
  <c r="K75" i="273" s="1"/>
  <c r="AN46" i="274" a="1"/>
  <c r="AN46" i="274" s="1"/>
  <c r="AN50" i="274" l="1"/>
  <c r="AN57" i="274" s="1"/>
  <c r="BJ52" i="159" s="1"/>
  <c r="AN48" i="274"/>
  <c r="I76" i="273"/>
  <c r="K76" i="273" s="1"/>
  <c r="L76" i="273"/>
  <c r="H77" i="273" s="1"/>
  <c r="I77" i="273" l="1"/>
  <c r="K77" i="273" s="1"/>
  <c r="J20" i="273" s="1"/>
  <c r="L77" i="273"/>
  <c r="H78" i="273" s="1"/>
  <c r="I78" i="273" l="1"/>
  <c r="K78" i="273" s="1"/>
  <c r="L78" i="273"/>
  <c r="H79" i="273" s="1"/>
  <c r="AO46" i="274" a="1"/>
  <c r="AO46" i="274" s="1"/>
  <c r="AO50" i="274" l="1"/>
  <c r="AO57" i="274" s="1"/>
  <c r="BK52" i="159" s="1"/>
  <c r="AO48" i="274"/>
  <c r="L79" i="273"/>
  <c r="H80" i="273" s="1"/>
  <c r="I79" i="273"/>
  <c r="K79" i="273" s="1"/>
  <c r="I80" i="273" l="1"/>
  <c r="K80" i="273" s="1"/>
  <c r="J21" i="273" s="1"/>
  <c r="L80" i="273"/>
  <c r="H81" i="273" s="1"/>
  <c r="AP46" i="274" l="1" a="1"/>
  <c r="AP46" i="274" s="1"/>
  <c r="L81" i="273"/>
  <c r="H82" i="273" s="1"/>
  <c r="I81" i="273"/>
  <c r="K81" i="273" s="1"/>
  <c r="I82" i="273" l="1"/>
  <c r="K82" i="273" s="1"/>
  <c r="L82" i="273"/>
  <c r="H83" i="273" s="1"/>
  <c r="AP48" i="274"/>
  <c r="AP50" i="274"/>
  <c r="AP57" i="274" s="1"/>
  <c r="BL52" i="159" s="1"/>
  <c r="I83" i="273" l="1"/>
  <c r="K83" i="273" s="1"/>
  <c r="J22" i="273" s="1"/>
  <c r="L83" i="273"/>
  <c r="H84" i="273" s="1"/>
  <c r="L84" i="273" l="1"/>
  <c r="H85" i="273" s="1"/>
  <c r="I84" i="273"/>
  <c r="K84" i="273" s="1"/>
  <c r="AQ46" i="274" a="1"/>
  <c r="AQ46" i="274" s="1"/>
  <c r="M4" i="273"/>
  <c r="M5" i="273"/>
  <c r="M6" i="273"/>
  <c r="M7" i="273"/>
  <c r="AQ48" i="274" l="1"/>
  <c r="AQ50" i="274"/>
  <c r="AQ57" i="274" s="1"/>
  <c r="BM52" i="159" s="1"/>
  <c r="L85" i="273"/>
  <c r="H86" i="273" s="1"/>
  <c r="I85" i="273"/>
  <c r="K85" i="273" s="1"/>
  <c r="L86" i="273" l="1"/>
  <c r="E13" i="273" s="1"/>
  <c r="AR47" i="274" s="1"/>
  <c r="I86" i="273"/>
  <c r="K86" i="273" s="1"/>
  <c r="J23" i="273" s="1"/>
  <c r="M8" i="273" l="1"/>
  <c r="AR46" i="274" a="1"/>
  <c r="AR46" i="274" s="1"/>
  <c r="AR48" i="274" l="1"/>
  <c r="AR50" i="274"/>
  <c r="AR57" i="274" s="1"/>
  <c r="BN52" i="159" s="1"/>
  <c r="BN4" i="159" s="1"/>
  <c r="B46" i="274"/>
  <c r="V38" i="279"/>
  <c r="W38" i="279"/>
  <c r="X38" i="279"/>
  <c r="X40" i="279"/>
  <c r="U40" i="281"/>
  <c r="V38" i="284"/>
  <c r="W38" i="284"/>
  <c r="X38" i="284"/>
  <c r="X40" i="284"/>
  <c r="AU4" i="159"/>
  <c r="AV4" i="159"/>
  <c r="AW4" i="159"/>
  <c r="AX4" i="159"/>
  <c r="AY4" i="159"/>
  <c r="AZ4" i="159"/>
  <c r="BA4" i="159"/>
  <c r="BB4" i="159"/>
  <c r="BC4" i="159"/>
  <c r="BD4" i="159"/>
  <c r="BE4" i="159"/>
  <c r="BF4" i="159"/>
  <c r="BG4" i="159"/>
  <c r="BH4" i="159"/>
  <c r="BI4" i="159"/>
  <c r="BJ4" i="159"/>
  <c r="BK4" i="159"/>
  <c r="BL4" i="159"/>
  <c r="BM4" i="159"/>
  <c r="XFD4" i="270"/>
  <c r="M6" i="270"/>
  <c r="B33" i="291"/>
  <c r="D33" i="291"/>
  <c r="F33" i="291"/>
  <c r="G33" i="291"/>
  <c r="H33" i="291"/>
  <c r="I33" i="291"/>
  <c r="J33" i="291"/>
  <c r="K33" i="291"/>
  <c r="L33" i="291"/>
  <c r="M33" i="291"/>
  <c r="N33" i="291"/>
  <c r="O33" i="291"/>
  <c r="P33" i="291"/>
  <c r="Q33" i="291"/>
  <c r="R33" i="291"/>
  <c r="S33" i="291"/>
  <c r="T33" i="291"/>
  <c r="U33" i="291"/>
  <c r="V33" i="291"/>
  <c r="W33" i="291"/>
  <c r="X33" i="291"/>
  <c r="B36" i="291"/>
  <c r="D36" i="291"/>
  <c r="F36" i="291"/>
  <c r="G36" i="291"/>
  <c r="H36" i="291"/>
  <c r="I36" i="291"/>
  <c r="J36" i="291"/>
  <c r="K36" i="291"/>
  <c r="L36" i="291"/>
  <c r="M36" i="291"/>
  <c r="N36" i="291"/>
  <c r="O36" i="291"/>
  <c r="P36" i="291"/>
  <c r="Q36" i="291"/>
  <c r="R36" i="291"/>
  <c r="S36" i="291"/>
  <c r="T36" i="291"/>
  <c r="U36" i="291"/>
  <c r="V36" i="291"/>
  <c r="W36" i="291"/>
  <c r="X36" i="291"/>
  <c r="B37" i="291"/>
  <c r="F37" i="291"/>
  <c r="G37" i="291"/>
  <c r="H37" i="291"/>
  <c r="I37" i="291"/>
  <c r="J37" i="291"/>
  <c r="K37" i="291"/>
  <c r="L37" i="291"/>
  <c r="M37" i="291"/>
  <c r="N37" i="291"/>
  <c r="O37" i="291"/>
  <c r="P37" i="291"/>
  <c r="Q37" i="291"/>
  <c r="R37" i="291"/>
  <c r="S37" i="291"/>
  <c r="T37" i="291"/>
  <c r="U37" i="291"/>
  <c r="V37" i="291"/>
  <c r="W37" i="291"/>
  <c r="X37" i="291"/>
  <c r="F38" i="291"/>
  <c r="G38" i="291"/>
  <c r="H38" i="291"/>
  <c r="I38" i="291"/>
  <c r="J38" i="291"/>
  <c r="K38" i="291"/>
  <c r="L38" i="291"/>
  <c r="M38" i="291"/>
  <c r="N38" i="291"/>
  <c r="O38" i="291"/>
  <c r="P38" i="291"/>
  <c r="Q38" i="291"/>
  <c r="R38" i="291"/>
  <c r="S38" i="291"/>
  <c r="T38" i="291"/>
  <c r="U38" i="291"/>
  <c r="V38" i="291"/>
  <c r="W38" i="291"/>
  <c r="X38" i="291"/>
  <c r="B39" i="291"/>
  <c r="F39" i="291"/>
  <c r="G39" i="291"/>
  <c r="H39" i="291"/>
  <c r="I39" i="291"/>
  <c r="J39" i="291"/>
  <c r="K39" i="291"/>
  <c r="L39" i="291"/>
  <c r="M39" i="291"/>
  <c r="N39" i="291"/>
  <c r="O39" i="291"/>
  <c r="P39" i="291"/>
  <c r="Q39" i="291"/>
  <c r="R39" i="291"/>
  <c r="S39" i="291"/>
  <c r="T39" i="291"/>
  <c r="U39" i="291"/>
  <c r="V39" i="291"/>
  <c r="W39" i="291"/>
  <c r="X39" i="291"/>
  <c r="B40" i="291"/>
  <c r="X40" i="291"/>
  <c r="B42" i="291"/>
  <c r="E42" i="291"/>
  <c r="F42" i="291"/>
  <c r="G42" i="291"/>
  <c r="H42" i="291"/>
  <c r="I42" i="291"/>
  <c r="J42" i="291"/>
  <c r="K42" i="291"/>
  <c r="L42" i="291"/>
  <c r="M42" i="291"/>
  <c r="N42" i="291"/>
  <c r="O42" i="291"/>
  <c r="P42" i="291"/>
  <c r="Q42" i="291"/>
  <c r="R42" i="291"/>
  <c r="S42" i="291"/>
  <c r="T42" i="291"/>
  <c r="U42" i="291"/>
  <c r="V42" i="291"/>
  <c r="W42" i="291"/>
  <c r="X42" i="291"/>
  <c r="B43" i="291"/>
  <c r="X43" i="291"/>
  <c r="B46" i="291"/>
  <c r="B49" i="291"/>
  <c r="X49" i="291"/>
  <c r="B52" i="291"/>
  <c r="F52" i="291"/>
  <c r="G52" i="291"/>
  <c r="H52" i="291"/>
  <c r="I52" i="291"/>
  <c r="J52" i="291"/>
  <c r="K52" i="291"/>
  <c r="L52" i="291"/>
  <c r="M52" i="291"/>
  <c r="N52" i="291"/>
  <c r="O52" i="291"/>
  <c r="P52" i="291"/>
  <c r="Q52" i="291"/>
  <c r="R52" i="291"/>
  <c r="S52" i="291"/>
  <c r="T52" i="291"/>
  <c r="U52" i="291"/>
  <c r="V52" i="291"/>
  <c r="W52" i="291"/>
  <c r="B53" i="291"/>
  <c r="B54" i="291"/>
  <c r="B56" i="291"/>
  <c r="F56" i="291"/>
  <c r="G56" i="291"/>
  <c r="H56" i="291"/>
  <c r="I56" i="291"/>
  <c r="J56" i="291"/>
  <c r="K56" i="291"/>
  <c r="L56" i="291"/>
  <c r="M56" i="291"/>
  <c r="N56" i="291"/>
  <c r="O56" i="291"/>
  <c r="P56" i="291"/>
  <c r="Q56" i="291"/>
  <c r="R56" i="291"/>
  <c r="S56" i="291"/>
  <c r="T56" i="291"/>
  <c r="U56" i="291"/>
  <c r="V56" i="291"/>
  <c r="W56" i="291"/>
  <c r="X56" i="291"/>
  <c r="B57" i="291"/>
  <c r="B58" i="291"/>
  <c r="D20" i="248"/>
  <c r="D21" i="248"/>
  <c r="D22" i="248"/>
  <c r="D23" i="248"/>
  <c r="B33" i="290"/>
  <c r="D33" i="290"/>
  <c r="F33" i="290"/>
  <c r="G33" i="290"/>
  <c r="H33" i="290"/>
  <c r="I33" i="290"/>
  <c r="J33" i="290"/>
  <c r="K33" i="290"/>
  <c r="L33" i="290"/>
  <c r="M33" i="290"/>
  <c r="N33" i="290"/>
  <c r="O33" i="290"/>
  <c r="P33" i="290"/>
  <c r="Q33" i="290"/>
  <c r="R33" i="290"/>
  <c r="S33" i="290"/>
  <c r="T33" i="290"/>
  <c r="U33" i="290"/>
  <c r="V33" i="290"/>
  <c r="W33" i="290"/>
  <c r="X33" i="290"/>
  <c r="B36" i="290"/>
  <c r="D36" i="290"/>
  <c r="F36" i="290"/>
  <c r="G36" i="290"/>
  <c r="H36" i="290"/>
  <c r="I36" i="290"/>
  <c r="J36" i="290"/>
  <c r="K36" i="290"/>
  <c r="L36" i="290"/>
  <c r="M36" i="290"/>
  <c r="N36" i="290"/>
  <c r="O36" i="290"/>
  <c r="P36" i="290"/>
  <c r="Q36" i="290"/>
  <c r="R36" i="290"/>
  <c r="S36" i="290"/>
  <c r="T36" i="290"/>
  <c r="U36" i="290"/>
  <c r="V36" i="290"/>
  <c r="W36" i="290"/>
  <c r="X36" i="290"/>
  <c r="B37" i="290"/>
  <c r="F37" i="290"/>
  <c r="G37" i="290"/>
  <c r="H37" i="290"/>
  <c r="I37" i="290"/>
  <c r="J37" i="290"/>
  <c r="K37" i="290"/>
  <c r="L37" i="290"/>
  <c r="M37" i="290"/>
  <c r="N37" i="290"/>
  <c r="O37" i="290"/>
  <c r="P37" i="290"/>
  <c r="Q37" i="290"/>
  <c r="R37" i="290"/>
  <c r="S37" i="290"/>
  <c r="T37" i="290"/>
  <c r="U37" i="290"/>
  <c r="V37" i="290"/>
  <c r="W37" i="290"/>
  <c r="X37" i="290"/>
  <c r="F38" i="290"/>
  <c r="G38" i="290"/>
  <c r="H38" i="290"/>
  <c r="I38" i="290"/>
  <c r="J38" i="290"/>
  <c r="K38" i="290"/>
  <c r="L38" i="290"/>
  <c r="M38" i="290"/>
  <c r="N38" i="290"/>
  <c r="O38" i="290"/>
  <c r="P38" i="290"/>
  <c r="Q38" i="290"/>
  <c r="R38" i="290"/>
  <c r="S38" i="290"/>
  <c r="T38" i="290"/>
  <c r="U38" i="290"/>
  <c r="V38" i="290"/>
  <c r="W38" i="290"/>
  <c r="X38" i="290"/>
  <c r="B39" i="290"/>
  <c r="F39" i="290"/>
  <c r="G39" i="290"/>
  <c r="H39" i="290"/>
  <c r="I39" i="290"/>
  <c r="J39" i="290"/>
  <c r="K39" i="290"/>
  <c r="L39" i="290"/>
  <c r="M39" i="290"/>
  <c r="N39" i="290"/>
  <c r="O39" i="290"/>
  <c r="P39" i="290"/>
  <c r="Q39" i="290"/>
  <c r="R39" i="290"/>
  <c r="S39" i="290"/>
  <c r="T39" i="290"/>
  <c r="U39" i="290"/>
  <c r="V39" i="290"/>
  <c r="W39" i="290"/>
  <c r="X39" i="290"/>
  <c r="B40" i="290"/>
  <c r="X40" i="290"/>
  <c r="B42" i="290"/>
  <c r="E42" i="290"/>
  <c r="F42" i="290"/>
  <c r="G42" i="290"/>
  <c r="H42" i="290"/>
  <c r="I42" i="290"/>
  <c r="J42" i="290"/>
  <c r="K42" i="290"/>
  <c r="L42" i="290"/>
  <c r="M42" i="290"/>
  <c r="N42" i="290"/>
  <c r="O42" i="290"/>
  <c r="P42" i="290"/>
  <c r="Q42" i="290"/>
  <c r="R42" i="290"/>
  <c r="S42" i="290"/>
  <c r="T42" i="290"/>
  <c r="U42" i="290"/>
  <c r="V42" i="290"/>
  <c r="W42" i="290"/>
  <c r="X42" i="290"/>
  <c r="B43" i="290"/>
  <c r="E43" i="290"/>
  <c r="F43" i="290"/>
  <c r="G43" i="290"/>
  <c r="H43" i="290"/>
  <c r="I43" i="290"/>
  <c r="J43" i="290"/>
  <c r="K43" i="290"/>
  <c r="L43" i="290"/>
  <c r="M43" i="290"/>
  <c r="N43" i="290"/>
  <c r="O43" i="290"/>
  <c r="P43" i="290"/>
  <c r="Q43" i="290"/>
  <c r="R43" i="290"/>
  <c r="S43" i="290"/>
  <c r="T43" i="290"/>
  <c r="U43" i="290"/>
  <c r="V43" i="290"/>
  <c r="W43" i="290"/>
  <c r="X43" i="290"/>
  <c r="B44" i="290"/>
  <c r="X44" i="290"/>
  <c r="B47" i="290"/>
  <c r="B50" i="290"/>
  <c r="X50" i="290"/>
  <c r="B53" i="290"/>
  <c r="F53" i="290"/>
  <c r="G53" i="290"/>
  <c r="H53" i="290"/>
  <c r="I53" i="290"/>
  <c r="J53" i="290"/>
  <c r="K53" i="290"/>
  <c r="L53" i="290"/>
  <c r="M53" i="290"/>
  <c r="N53" i="290"/>
  <c r="O53" i="290"/>
  <c r="P53" i="290"/>
  <c r="Q53" i="290"/>
  <c r="R53" i="290"/>
  <c r="S53" i="290"/>
  <c r="T53" i="290"/>
  <c r="U53" i="290"/>
  <c r="V53" i="290"/>
  <c r="W53" i="290"/>
  <c r="X53" i="290"/>
  <c r="B54" i="290"/>
  <c r="B55" i="290"/>
  <c r="B57" i="290"/>
  <c r="F57" i="290"/>
  <c r="G57" i="290"/>
  <c r="H57" i="290"/>
  <c r="I57" i="290"/>
  <c r="J57" i="290"/>
  <c r="K57" i="290"/>
  <c r="L57" i="290"/>
  <c r="M57" i="290"/>
  <c r="N57" i="290"/>
  <c r="O57" i="290"/>
  <c r="P57" i="290"/>
  <c r="Q57" i="290"/>
  <c r="R57" i="290"/>
  <c r="S57" i="290"/>
  <c r="T57" i="290"/>
  <c r="U57" i="290"/>
  <c r="V57" i="290"/>
  <c r="W57" i="290"/>
  <c r="X57" i="290"/>
  <c r="B58" i="290"/>
  <c r="B59" i="290"/>
  <c r="D20" i="237"/>
  <c r="D21" i="237"/>
  <c r="D22" i="237"/>
  <c r="D23" i="237"/>
  <c r="B33" i="288"/>
  <c r="D33" i="288"/>
  <c r="F33" i="288"/>
  <c r="G33" i="288"/>
  <c r="H33" i="288"/>
  <c r="I33" i="288"/>
  <c r="J33" i="288"/>
  <c r="K33" i="288"/>
  <c r="L33" i="288"/>
  <c r="M33" i="288"/>
  <c r="N33" i="288"/>
  <c r="O33" i="288"/>
  <c r="P33" i="288"/>
  <c r="Q33" i="288"/>
  <c r="R33" i="288"/>
  <c r="S33" i="288"/>
  <c r="T33" i="288"/>
  <c r="U33" i="288"/>
  <c r="V33" i="288"/>
  <c r="W33" i="288"/>
  <c r="X33" i="288"/>
  <c r="B36" i="288"/>
  <c r="D36" i="288"/>
  <c r="F36" i="288"/>
  <c r="G36" i="288"/>
  <c r="H36" i="288"/>
  <c r="I36" i="288"/>
  <c r="J36" i="288"/>
  <c r="K36" i="288"/>
  <c r="L36" i="288"/>
  <c r="M36" i="288"/>
  <c r="N36" i="288"/>
  <c r="O36" i="288"/>
  <c r="P36" i="288"/>
  <c r="Q36" i="288"/>
  <c r="R36" i="288"/>
  <c r="S36" i="288"/>
  <c r="T36" i="288"/>
  <c r="U36" i="288"/>
  <c r="V36" i="288"/>
  <c r="W36" i="288"/>
  <c r="X36" i="288"/>
  <c r="B37" i="288"/>
  <c r="F37" i="288"/>
  <c r="G37" i="288"/>
  <c r="H37" i="288"/>
  <c r="I37" i="288"/>
  <c r="J37" i="288"/>
  <c r="K37" i="288"/>
  <c r="L37" i="288"/>
  <c r="M37" i="288"/>
  <c r="N37" i="288"/>
  <c r="O37" i="288"/>
  <c r="P37" i="288"/>
  <c r="Q37" i="288"/>
  <c r="R37" i="288"/>
  <c r="S37" i="288"/>
  <c r="T37" i="288"/>
  <c r="U37" i="288"/>
  <c r="V37" i="288"/>
  <c r="W37" i="288"/>
  <c r="X37" i="288"/>
  <c r="F38" i="288"/>
  <c r="G38" i="288"/>
  <c r="H38" i="288"/>
  <c r="I38" i="288"/>
  <c r="J38" i="288"/>
  <c r="K38" i="288"/>
  <c r="L38" i="288"/>
  <c r="M38" i="288"/>
  <c r="N38" i="288"/>
  <c r="O38" i="288"/>
  <c r="P38" i="288"/>
  <c r="Q38" i="288"/>
  <c r="R38" i="288"/>
  <c r="S38" i="288"/>
  <c r="T38" i="288"/>
  <c r="U38" i="288"/>
  <c r="B39" i="288"/>
  <c r="F39" i="288"/>
  <c r="G39" i="288"/>
  <c r="H39" i="288"/>
  <c r="I39" i="288"/>
  <c r="J39" i="288"/>
  <c r="K39" i="288"/>
  <c r="L39" i="288"/>
  <c r="M39" i="288"/>
  <c r="N39" i="288"/>
  <c r="O39" i="288"/>
  <c r="P39" i="288"/>
  <c r="Q39" i="288"/>
  <c r="R39" i="288"/>
  <c r="S39" i="288"/>
  <c r="T39" i="288"/>
  <c r="U39" i="288"/>
  <c r="V39" i="288"/>
  <c r="W39" i="288"/>
  <c r="X39" i="288"/>
  <c r="B40" i="288"/>
  <c r="U40" i="288"/>
  <c r="B42" i="288"/>
  <c r="E42" i="288"/>
  <c r="F42" i="288"/>
  <c r="G42" i="288"/>
  <c r="H42" i="288"/>
  <c r="I42" i="288"/>
  <c r="J42" i="288"/>
  <c r="K42" i="288"/>
  <c r="L42" i="288"/>
  <c r="M42" i="288"/>
  <c r="N42" i="288"/>
  <c r="O42" i="288"/>
  <c r="P42" i="288"/>
  <c r="Q42" i="288"/>
  <c r="R42" i="288"/>
  <c r="S42" i="288"/>
  <c r="T42" i="288"/>
  <c r="U42" i="288"/>
  <c r="V42" i="288"/>
  <c r="W42" i="288"/>
  <c r="X42" i="288"/>
  <c r="B43" i="288"/>
  <c r="E43" i="288"/>
  <c r="F43" i="288"/>
  <c r="G43" i="288"/>
  <c r="H43" i="288"/>
  <c r="I43" i="288"/>
  <c r="J43" i="288"/>
  <c r="K43" i="288"/>
  <c r="L43" i="288"/>
  <c r="M43" i="288"/>
  <c r="N43" i="288"/>
  <c r="O43" i="288"/>
  <c r="P43" i="288"/>
  <c r="Q43" i="288"/>
  <c r="R43" i="288"/>
  <c r="S43" i="288"/>
  <c r="T43" i="288"/>
  <c r="U43" i="288"/>
  <c r="V43" i="288"/>
  <c r="W43" i="288"/>
  <c r="X43" i="288"/>
  <c r="B44" i="288"/>
  <c r="U44" i="288"/>
  <c r="B47" i="288"/>
  <c r="B50" i="288"/>
  <c r="U50" i="288"/>
  <c r="B53" i="288"/>
  <c r="F53" i="288"/>
  <c r="G53" i="288"/>
  <c r="H53" i="288"/>
  <c r="I53" i="288"/>
  <c r="J53" i="288"/>
  <c r="K53" i="288"/>
  <c r="L53" i="288"/>
  <c r="M53" i="288"/>
  <c r="N53" i="288"/>
  <c r="O53" i="288"/>
  <c r="P53" i="288"/>
  <c r="Q53" i="288"/>
  <c r="R53" i="288"/>
  <c r="S53" i="288"/>
  <c r="T53" i="288"/>
  <c r="U53" i="288"/>
  <c r="V53" i="288"/>
  <c r="W53" i="288"/>
  <c r="X53" i="288"/>
  <c r="B54" i="288"/>
  <c r="B55" i="288"/>
  <c r="B57" i="288"/>
  <c r="F57" i="288"/>
  <c r="G57" i="288"/>
  <c r="H57" i="288"/>
  <c r="I57" i="288"/>
  <c r="J57" i="288"/>
  <c r="K57" i="288"/>
  <c r="L57" i="288"/>
  <c r="M57" i="288"/>
  <c r="N57" i="288"/>
  <c r="O57" i="288"/>
  <c r="P57" i="288"/>
  <c r="Q57" i="288"/>
  <c r="R57" i="288"/>
  <c r="S57" i="288"/>
  <c r="T57" i="288"/>
  <c r="U57" i="288"/>
  <c r="V57" i="288"/>
  <c r="W57" i="288"/>
  <c r="X57" i="288"/>
  <c r="B58" i="288"/>
  <c r="B59" i="288"/>
  <c r="D20" i="250"/>
  <c r="D21" i="250"/>
  <c r="D22" i="250"/>
  <c r="D23" i="250"/>
  <c r="B33" i="286"/>
  <c r="D33" i="286"/>
  <c r="F33" i="286"/>
  <c r="G33" i="286"/>
  <c r="H33" i="286"/>
  <c r="I33" i="286"/>
  <c r="J33" i="286"/>
  <c r="K33" i="286"/>
  <c r="L33" i="286"/>
  <c r="M33" i="286"/>
  <c r="N33" i="286"/>
  <c r="O33" i="286"/>
  <c r="P33" i="286"/>
  <c r="Q33" i="286"/>
  <c r="R33" i="286"/>
  <c r="S33" i="286"/>
  <c r="T33" i="286"/>
  <c r="U33" i="286"/>
  <c r="V33" i="286"/>
  <c r="W33" i="286"/>
  <c r="X33" i="286"/>
  <c r="B36" i="286"/>
  <c r="D36" i="286"/>
  <c r="F36" i="286"/>
  <c r="G36" i="286"/>
  <c r="H36" i="286"/>
  <c r="I36" i="286"/>
  <c r="J36" i="286"/>
  <c r="K36" i="286"/>
  <c r="L36" i="286"/>
  <c r="M36" i="286"/>
  <c r="N36" i="286"/>
  <c r="O36" i="286"/>
  <c r="P36" i="286"/>
  <c r="Q36" i="286"/>
  <c r="R36" i="286"/>
  <c r="S36" i="286"/>
  <c r="T36" i="286"/>
  <c r="U36" i="286"/>
  <c r="V36" i="286"/>
  <c r="W36" i="286"/>
  <c r="X36" i="286"/>
  <c r="B37" i="286"/>
  <c r="F37" i="286"/>
  <c r="G37" i="286"/>
  <c r="H37" i="286"/>
  <c r="I37" i="286"/>
  <c r="J37" i="286"/>
  <c r="K37" i="286"/>
  <c r="L37" i="286"/>
  <c r="M37" i="286"/>
  <c r="N37" i="286"/>
  <c r="O37" i="286"/>
  <c r="P37" i="286"/>
  <c r="Q37" i="286"/>
  <c r="R37" i="286"/>
  <c r="S37" i="286"/>
  <c r="T37" i="286"/>
  <c r="U37" i="286"/>
  <c r="V37" i="286"/>
  <c r="W37" i="286"/>
  <c r="X37" i="286"/>
  <c r="F38" i="286"/>
  <c r="G38" i="286"/>
  <c r="H38" i="286"/>
  <c r="I38" i="286"/>
  <c r="J38" i="286"/>
  <c r="K38" i="286"/>
  <c r="L38" i="286"/>
  <c r="M38" i="286"/>
  <c r="N38" i="286"/>
  <c r="O38" i="286"/>
  <c r="P38" i="286"/>
  <c r="Q38" i="286"/>
  <c r="R38" i="286"/>
  <c r="S38" i="286"/>
  <c r="T38" i="286"/>
  <c r="U38" i="286"/>
  <c r="B39" i="286"/>
  <c r="F39" i="286"/>
  <c r="G39" i="286"/>
  <c r="H39" i="286"/>
  <c r="I39" i="286"/>
  <c r="J39" i="286"/>
  <c r="K39" i="286"/>
  <c r="L39" i="286"/>
  <c r="M39" i="286"/>
  <c r="N39" i="286"/>
  <c r="O39" i="286"/>
  <c r="P39" i="286"/>
  <c r="Q39" i="286"/>
  <c r="R39" i="286"/>
  <c r="S39" i="286"/>
  <c r="T39" i="286"/>
  <c r="U39" i="286"/>
  <c r="V39" i="286"/>
  <c r="W39" i="286"/>
  <c r="X39" i="286"/>
  <c r="B40" i="286"/>
  <c r="U40" i="286"/>
  <c r="B42" i="286"/>
  <c r="E42" i="286"/>
  <c r="F42" i="286"/>
  <c r="G42" i="286"/>
  <c r="H42" i="286"/>
  <c r="I42" i="286"/>
  <c r="J42" i="286"/>
  <c r="K42" i="286"/>
  <c r="L42" i="286"/>
  <c r="M42" i="286"/>
  <c r="N42" i="286"/>
  <c r="O42" i="286"/>
  <c r="P42" i="286"/>
  <c r="Q42" i="286"/>
  <c r="R42" i="286"/>
  <c r="S42" i="286"/>
  <c r="T42" i="286"/>
  <c r="V42" i="286"/>
  <c r="W42" i="286"/>
  <c r="X42" i="286"/>
  <c r="B43" i="286"/>
  <c r="E43" i="286"/>
  <c r="F43" i="286"/>
  <c r="G43" i="286"/>
  <c r="H43" i="286"/>
  <c r="I43" i="286"/>
  <c r="J43" i="286"/>
  <c r="K43" i="286"/>
  <c r="L43" i="286"/>
  <c r="M43" i="286"/>
  <c r="N43" i="286"/>
  <c r="O43" i="286"/>
  <c r="P43" i="286"/>
  <c r="Q43" i="286"/>
  <c r="R43" i="286"/>
  <c r="S43" i="286"/>
  <c r="T43" i="286"/>
  <c r="V43" i="286"/>
  <c r="W43" i="286"/>
  <c r="X43" i="286"/>
  <c r="B44" i="286"/>
  <c r="U44" i="286"/>
  <c r="B47" i="286"/>
  <c r="B50" i="286"/>
  <c r="U50" i="286"/>
  <c r="B53" i="286"/>
  <c r="F53" i="286"/>
  <c r="G53" i="286"/>
  <c r="H53" i="286"/>
  <c r="I53" i="286"/>
  <c r="J53" i="286"/>
  <c r="K53" i="286"/>
  <c r="L53" i="286"/>
  <c r="M53" i="286"/>
  <c r="N53" i="286"/>
  <c r="O53" i="286"/>
  <c r="P53" i="286"/>
  <c r="Q53" i="286"/>
  <c r="R53" i="286"/>
  <c r="S53" i="286"/>
  <c r="T53" i="286"/>
  <c r="U53" i="286"/>
  <c r="V53" i="286"/>
  <c r="W53" i="286"/>
  <c r="X53" i="286"/>
  <c r="B54" i="286"/>
  <c r="B55" i="286"/>
  <c r="B57" i="286"/>
  <c r="F57" i="286"/>
  <c r="G57" i="286"/>
  <c r="H57" i="286"/>
  <c r="I57" i="286"/>
  <c r="J57" i="286"/>
  <c r="K57" i="286"/>
  <c r="L57" i="286"/>
  <c r="M57" i="286"/>
  <c r="N57" i="286"/>
  <c r="O57" i="286"/>
  <c r="P57" i="286"/>
  <c r="Q57" i="286"/>
  <c r="R57" i="286"/>
  <c r="S57" i="286"/>
  <c r="T57" i="286"/>
  <c r="U57" i="286"/>
  <c r="V57" i="286"/>
  <c r="W57" i="286"/>
  <c r="X57" i="286"/>
  <c r="B58" i="286"/>
  <c r="B59" i="286"/>
  <c r="D20" i="252"/>
  <c r="D21" i="252"/>
  <c r="D22" i="252"/>
  <c r="D23" i="252"/>
  <c r="B33" i="284"/>
  <c r="D33" i="284"/>
  <c r="F33" i="284"/>
  <c r="G33" i="284"/>
  <c r="H33" i="284"/>
  <c r="I33" i="284"/>
  <c r="J33" i="284"/>
  <c r="K33" i="284"/>
  <c r="L33" i="284"/>
  <c r="M33" i="284"/>
  <c r="N33" i="284"/>
  <c r="O33" i="284"/>
  <c r="P33" i="284"/>
  <c r="Q33" i="284"/>
  <c r="R33" i="284"/>
  <c r="S33" i="284"/>
  <c r="T33" i="284"/>
  <c r="U33" i="284"/>
  <c r="V33" i="284"/>
  <c r="W33" i="284"/>
  <c r="X33" i="284"/>
  <c r="B36" i="284"/>
  <c r="D36" i="284"/>
  <c r="F36" i="284"/>
  <c r="G36" i="284"/>
  <c r="H36" i="284"/>
  <c r="I36" i="284"/>
  <c r="J36" i="284"/>
  <c r="K36" i="284"/>
  <c r="L36" i="284"/>
  <c r="M36" i="284"/>
  <c r="N36" i="284"/>
  <c r="O36" i="284"/>
  <c r="P36" i="284"/>
  <c r="Q36" i="284"/>
  <c r="R36" i="284"/>
  <c r="S36" i="284"/>
  <c r="T36" i="284"/>
  <c r="U36" i="284"/>
  <c r="V36" i="284"/>
  <c r="W36" i="284"/>
  <c r="X36" i="284"/>
  <c r="B37" i="284"/>
  <c r="F37" i="284"/>
  <c r="G37" i="284"/>
  <c r="H37" i="284"/>
  <c r="I37" i="284"/>
  <c r="J37" i="284"/>
  <c r="K37" i="284"/>
  <c r="L37" i="284"/>
  <c r="M37" i="284"/>
  <c r="N37" i="284"/>
  <c r="O37" i="284"/>
  <c r="P37" i="284"/>
  <c r="Q37" i="284"/>
  <c r="R37" i="284"/>
  <c r="S37" i="284"/>
  <c r="T37" i="284"/>
  <c r="U37" i="284"/>
  <c r="V37" i="284"/>
  <c r="W37" i="284"/>
  <c r="X37" i="284"/>
  <c r="F38" i="284"/>
  <c r="G38" i="284"/>
  <c r="H38" i="284"/>
  <c r="I38" i="284"/>
  <c r="J38" i="284"/>
  <c r="K38" i="284"/>
  <c r="L38" i="284"/>
  <c r="M38" i="284"/>
  <c r="N38" i="284"/>
  <c r="O38" i="284"/>
  <c r="P38" i="284"/>
  <c r="Q38" i="284"/>
  <c r="R38" i="284"/>
  <c r="S38" i="284"/>
  <c r="T38" i="284"/>
  <c r="U38" i="284"/>
  <c r="B39" i="284"/>
  <c r="F39" i="284"/>
  <c r="G39" i="284"/>
  <c r="H39" i="284"/>
  <c r="I39" i="284"/>
  <c r="J39" i="284"/>
  <c r="K39" i="284"/>
  <c r="L39" i="284"/>
  <c r="M39" i="284"/>
  <c r="N39" i="284"/>
  <c r="O39" i="284"/>
  <c r="P39" i="284"/>
  <c r="Q39" i="284"/>
  <c r="R39" i="284"/>
  <c r="S39" i="284"/>
  <c r="T39" i="284"/>
  <c r="U39" i="284"/>
  <c r="V39" i="284"/>
  <c r="W39" i="284"/>
  <c r="X39" i="284"/>
  <c r="B40" i="284"/>
  <c r="U40" i="284"/>
  <c r="B42" i="284"/>
  <c r="E42" i="284"/>
  <c r="F42" i="284"/>
  <c r="G42" i="284"/>
  <c r="H42" i="284"/>
  <c r="I42" i="284"/>
  <c r="J42" i="284"/>
  <c r="K42" i="284"/>
  <c r="L42" i="284"/>
  <c r="M42" i="284"/>
  <c r="N42" i="284"/>
  <c r="O42" i="284"/>
  <c r="P42" i="284"/>
  <c r="Q42" i="284"/>
  <c r="R42" i="284"/>
  <c r="S42" i="284"/>
  <c r="T42" i="284"/>
  <c r="U42" i="284"/>
  <c r="V42" i="284"/>
  <c r="W42" i="284"/>
  <c r="X42" i="284"/>
  <c r="B43" i="284"/>
  <c r="E43" i="284"/>
  <c r="F43" i="284"/>
  <c r="G43" i="284"/>
  <c r="H43" i="284"/>
  <c r="I43" i="284"/>
  <c r="J43" i="284"/>
  <c r="K43" i="284"/>
  <c r="L43" i="284"/>
  <c r="M43" i="284"/>
  <c r="N43" i="284"/>
  <c r="O43" i="284"/>
  <c r="P43" i="284"/>
  <c r="Q43" i="284"/>
  <c r="R43" i="284"/>
  <c r="S43" i="284"/>
  <c r="T43" i="284"/>
  <c r="U43" i="284"/>
  <c r="V43" i="284"/>
  <c r="W43" i="284"/>
  <c r="X43" i="284"/>
  <c r="B44" i="284"/>
  <c r="U44" i="284"/>
  <c r="B47" i="284"/>
  <c r="B50" i="284"/>
  <c r="U50" i="284"/>
  <c r="B53" i="284"/>
  <c r="F53" i="284"/>
  <c r="G53" i="284"/>
  <c r="H53" i="284"/>
  <c r="I53" i="284"/>
  <c r="J53" i="284"/>
  <c r="K53" i="284"/>
  <c r="L53" i="284"/>
  <c r="M53" i="284"/>
  <c r="N53" i="284"/>
  <c r="O53" i="284"/>
  <c r="P53" i="284"/>
  <c r="Q53" i="284"/>
  <c r="R53" i="284"/>
  <c r="S53" i="284"/>
  <c r="T53" i="284"/>
  <c r="U53" i="284"/>
  <c r="V53" i="284"/>
  <c r="W53" i="284"/>
  <c r="X53" i="284"/>
  <c r="B54" i="284"/>
  <c r="B55" i="284"/>
  <c r="B57" i="284"/>
  <c r="F57" i="284"/>
  <c r="G57" i="284"/>
  <c r="H57" i="284"/>
  <c r="I57" i="284"/>
  <c r="J57" i="284"/>
  <c r="K57" i="284"/>
  <c r="L57" i="284"/>
  <c r="M57" i="284"/>
  <c r="N57" i="284"/>
  <c r="O57" i="284"/>
  <c r="P57" i="284"/>
  <c r="Q57" i="284"/>
  <c r="R57" i="284"/>
  <c r="S57" i="284"/>
  <c r="T57" i="284"/>
  <c r="U57" i="284"/>
  <c r="V57" i="284"/>
  <c r="W57" i="284"/>
  <c r="X57" i="284"/>
  <c r="B58" i="284"/>
  <c r="B59" i="284"/>
  <c r="D20" i="254"/>
  <c r="D21" i="254"/>
  <c r="D22" i="254"/>
  <c r="D23" i="254"/>
  <c r="B33" i="281"/>
  <c r="D33" i="281"/>
  <c r="F33" i="281"/>
  <c r="G33" i="281"/>
  <c r="H33" i="281"/>
  <c r="I33" i="281"/>
  <c r="J33" i="281"/>
  <c r="K33" i="281"/>
  <c r="L33" i="281"/>
  <c r="M33" i="281"/>
  <c r="N33" i="281"/>
  <c r="O33" i="281"/>
  <c r="P33" i="281"/>
  <c r="Q33" i="281"/>
  <c r="R33" i="281"/>
  <c r="S33" i="281"/>
  <c r="T33" i="281"/>
  <c r="U33" i="281"/>
  <c r="V33" i="281"/>
  <c r="W33" i="281"/>
  <c r="X33" i="281"/>
  <c r="B36" i="281"/>
  <c r="D36" i="281"/>
  <c r="F36" i="281"/>
  <c r="G36" i="281"/>
  <c r="H36" i="281"/>
  <c r="I36" i="281"/>
  <c r="J36" i="281"/>
  <c r="K36" i="281"/>
  <c r="L36" i="281"/>
  <c r="M36" i="281"/>
  <c r="N36" i="281"/>
  <c r="O36" i="281"/>
  <c r="P36" i="281"/>
  <c r="Q36" i="281"/>
  <c r="R36" i="281"/>
  <c r="S36" i="281"/>
  <c r="T36" i="281"/>
  <c r="U36" i="281"/>
  <c r="V36" i="281"/>
  <c r="W36" i="281"/>
  <c r="X36" i="281"/>
  <c r="B37" i="281"/>
  <c r="F37" i="281"/>
  <c r="G37" i="281"/>
  <c r="H37" i="281"/>
  <c r="I37" i="281"/>
  <c r="J37" i="281"/>
  <c r="K37" i="281"/>
  <c r="L37" i="281"/>
  <c r="M37" i="281"/>
  <c r="N37" i="281"/>
  <c r="O37" i="281"/>
  <c r="P37" i="281"/>
  <c r="Q37" i="281"/>
  <c r="R37" i="281"/>
  <c r="S37" i="281"/>
  <c r="T37" i="281"/>
  <c r="U37" i="281"/>
  <c r="V37" i="281"/>
  <c r="W37" i="281"/>
  <c r="X37" i="281"/>
  <c r="F38" i="281"/>
  <c r="G38" i="281"/>
  <c r="H38" i="281"/>
  <c r="I38" i="281"/>
  <c r="J38" i="281"/>
  <c r="K38" i="281"/>
  <c r="L38" i="281"/>
  <c r="M38" i="281"/>
  <c r="N38" i="281"/>
  <c r="O38" i="281"/>
  <c r="P38" i="281"/>
  <c r="Q38" i="281"/>
  <c r="R38" i="281"/>
  <c r="S38" i="281"/>
  <c r="T38" i="281"/>
  <c r="U38" i="281"/>
  <c r="V38" i="281"/>
  <c r="W38" i="281"/>
  <c r="X38" i="281"/>
  <c r="B39" i="281"/>
  <c r="F39" i="281"/>
  <c r="G39" i="281"/>
  <c r="H39" i="281"/>
  <c r="I39" i="281"/>
  <c r="J39" i="281"/>
  <c r="K39" i="281"/>
  <c r="L39" i="281"/>
  <c r="M39" i="281"/>
  <c r="N39" i="281"/>
  <c r="O39" i="281"/>
  <c r="P39" i="281"/>
  <c r="Q39" i="281"/>
  <c r="R39" i="281"/>
  <c r="S39" i="281"/>
  <c r="T39" i="281"/>
  <c r="U39" i="281"/>
  <c r="V39" i="281"/>
  <c r="W39" i="281"/>
  <c r="X39" i="281"/>
  <c r="B40" i="281"/>
  <c r="X40" i="281"/>
  <c r="B42" i="281"/>
  <c r="E42" i="281"/>
  <c r="F42" i="281"/>
  <c r="G42" i="281"/>
  <c r="H42" i="281"/>
  <c r="I42" i="281"/>
  <c r="J42" i="281"/>
  <c r="K42" i="281"/>
  <c r="L42" i="281"/>
  <c r="M42" i="281"/>
  <c r="N42" i="281"/>
  <c r="O42" i="281"/>
  <c r="P42" i="281"/>
  <c r="Q42" i="281"/>
  <c r="R42" i="281"/>
  <c r="S42" i="281"/>
  <c r="T42" i="281"/>
  <c r="U42" i="281"/>
  <c r="V42" i="281"/>
  <c r="W42" i="281"/>
  <c r="X42" i="281"/>
  <c r="B43" i="281"/>
  <c r="E43" i="281"/>
  <c r="F43" i="281"/>
  <c r="G43" i="281"/>
  <c r="H43" i="281"/>
  <c r="I43" i="281"/>
  <c r="J43" i="281"/>
  <c r="K43" i="281"/>
  <c r="L43" i="281"/>
  <c r="M43" i="281"/>
  <c r="N43" i="281"/>
  <c r="O43" i="281"/>
  <c r="P43" i="281"/>
  <c r="Q43" i="281"/>
  <c r="R43" i="281"/>
  <c r="S43" i="281"/>
  <c r="T43" i="281"/>
  <c r="U43" i="281"/>
  <c r="V43" i="281"/>
  <c r="W43" i="281"/>
  <c r="X43" i="281"/>
  <c r="B44" i="281"/>
  <c r="X44" i="281"/>
  <c r="B47" i="281"/>
  <c r="B50" i="281"/>
  <c r="X50" i="281"/>
  <c r="B53" i="281"/>
  <c r="F53" i="281"/>
  <c r="G53" i="281"/>
  <c r="H53" i="281"/>
  <c r="I53" i="281"/>
  <c r="J53" i="281"/>
  <c r="K53" i="281"/>
  <c r="L53" i="281"/>
  <c r="M53" i="281"/>
  <c r="N53" i="281"/>
  <c r="O53" i="281"/>
  <c r="P53" i="281"/>
  <c r="Q53" i="281"/>
  <c r="R53" i="281"/>
  <c r="S53" i="281"/>
  <c r="T53" i="281"/>
  <c r="U53" i="281"/>
  <c r="V53" i="281"/>
  <c r="W53" i="281"/>
  <c r="X53" i="281"/>
  <c r="B54" i="281"/>
  <c r="B55" i="281"/>
  <c r="B57" i="281"/>
  <c r="F57" i="281"/>
  <c r="G57" i="281"/>
  <c r="H57" i="281"/>
  <c r="I57" i="281"/>
  <c r="J57" i="281"/>
  <c r="K57" i="281"/>
  <c r="L57" i="281"/>
  <c r="M57" i="281"/>
  <c r="N57" i="281"/>
  <c r="O57" i="281"/>
  <c r="P57" i="281"/>
  <c r="Q57" i="281"/>
  <c r="R57" i="281"/>
  <c r="S57" i="281"/>
  <c r="T57" i="281"/>
  <c r="U57" i="281"/>
  <c r="V57" i="281"/>
  <c r="W57" i="281"/>
  <c r="X57" i="281"/>
  <c r="B58" i="281"/>
  <c r="B59" i="281"/>
  <c r="D20" i="267"/>
  <c r="D21" i="267"/>
  <c r="D22" i="267"/>
  <c r="D23" i="267"/>
  <c r="B33" i="279"/>
  <c r="D33" i="279"/>
  <c r="F33" i="279"/>
  <c r="G33" i="279"/>
  <c r="H33" i="279"/>
  <c r="I33" i="279"/>
  <c r="J33" i="279"/>
  <c r="K33" i="279"/>
  <c r="L33" i="279"/>
  <c r="M33" i="279"/>
  <c r="N33" i="279"/>
  <c r="O33" i="279"/>
  <c r="P33" i="279"/>
  <c r="Q33" i="279"/>
  <c r="R33" i="279"/>
  <c r="S33" i="279"/>
  <c r="T33" i="279"/>
  <c r="U33" i="279"/>
  <c r="V33" i="279"/>
  <c r="W33" i="279"/>
  <c r="X33" i="279"/>
  <c r="B36" i="279"/>
  <c r="D36" i="279"/>
  <c r="F36" i="279"/>
  <c r="G36" i="279"/>
  <c r="H36" i="279"/>
  <c r="I36" i="279"/>
  <c r="J36" i="279"/>
  <c r="K36" i="279"/>
  <c r="L36" i="279"/>
  <c r="M36" i="279"/>
  <c r="N36" i="279"/>
  <c r="O36" i="279"/>
  <c r="P36" i="279"/>
  <c r="Q36" i="279"/>
  <c r="R36" i="279"/>
  <c r="S36" i="279"/>
  <c r="T36" i="279"/>
  <c r="U36" i="279"/>
  <c r="V36" i="279"/>
  <c r="W36" i="279"/>
  <c r="X36" i="279"/>
  <c r="B37" i="279"/>
  <c r="F37" i="279"/>
  <c r="G37" i="279"/>
  <c r="H37" i="279"/>
  <c r="I37" i="279"/>
  <c r="J37" i="279"/>
  <c r="K37" i="279"/>
  <c r="L37" i="279"/>
  <c r="M37" i="279"/>
  <c r="N37" i="279"/>
  <c r="O37" i="279"/>
  <c r="P37" i="279"/>
  <c r="Q37" i="279"/>
  <c r="R37" i="279"/>
  <c r="S37" i="279"/>
  <c r="T37" i="279"/>
  <c r="U37" i="279"/>
  <c r="V37" i="279"/>
  <c r="W37" i="279"/>
  <c r="X37" i="279"/>
  <c r="F38" i="279"/>
  <c r="G38" i="279"/>
  <c r="H38" i="279"/>
  <c r="I38" i="279"/>
  <c r="J38" i="279"/>
  <c r="K38" i="279"/>
  <c r="L38" i="279"/>
  <c r="M38" i="279"/>
  <c r="N38" i="279"/>
  <c r="O38" i="279"/>
  <c r="P38" i="279"/>
  <c r="Q38" i="279"/>
  <c r="R38" i="279"/>
  <c r="S38" i="279"/>
  <c r="T38" i="279"/>
  <c r="U38" i="279"/>
  <c r="B39" i="279"/>
  <c r="F39" i="279"/>
  <c r="G39" i="279"/>
  <c r="H39" i="279"/>
  <c r="I39" i="279"/>
  <c r="J39" i="279"/>
  <c r="K39" i="279"/>
  <c r="L39" i="279"/>
  <c r="M39" i="279"/>
  <c r="N39" i="279"/>
  <c r="O39" i="279"/>
  <c r="P39" i="279"/>
  <c r="Q39" i="279"/>
  <c r="R39" i="279"/>
  <c r="S39" i="279"/>
  <c r="T39" i="279"/>
  <c r="U39" i="279"/>
  <c r="V39" i="279"/>
  <c r="W39" i="279"/>
  <c r="X39" i="279"/>
  <c r="B40" i="279"/>
  <c r="U40" i="279"/>
  <c r="B42" i="279"/>
  <c r="E42" i="279"/>
  <c r="F42" i="279"/>
  <c r="G42" i="279"/>
  <c r="H42" i="279"/>
  <c r="I42" i="279"/>
  <c r="J42" i="279"/>
  <c r="K42" i="279"/>
  <c r="L42" i="279"/>
  <c r="M42" i="279"/>
  <c r="N42" i="279"/>
  <c r="O42" i="279"/>
  <c r="P42" i="279"/>
  <c r="Q42" i="279"/>
  <c r="R42" i="279"/>
  <c r="S42" i="279"/>
  <c r="T42" i="279"/>
  <c r="U42" i="279"/>
  <c r="V42" i="279"/>
  <c r="W42" i="279"/>
  <c r="X42" i="279"/>
  <c r="B43" i="279"/>
  <c r="E43" i="279"/>
  <c r="F43" i="279"/>
  <c r="G43" i="279"/>
  <c r="H43" i="279"/>
  <c r="I43" i="279"/>
  <c r="J43" i="279"/>
  <c r="K43" i="279"/>
  <c r="L43" i="279"/>
  <c r="M43" i="279"/>
  <c r="N43" i="279"/>
  <c r="O43" i="279"/>
  <c r="P43" i="279"/>
  <c r="Q43" i="279"/>
  <c r="R43" i="279"/>
  <c r="S43" i="279"/>
  <c r="T43" i="279"/>
  <c r="U43" i="279"/>
  <c r="V43" i="279"/>
  <c r="W43" i="279"/>
  <c r="X43" i="279"/>
  <c r="B44" i="279"/>
  <c r="U44" i="279"/>
  <c r="B47" i="279"/>
  <c r="B50" i="279"/>
  <c r="U50" i="279"/>
  <c r="B53" i="279"/>
  <c r="F53" i="279"/>
  <c r="G53" i="279"/>
  <c r="H53" i="279"/>
  <c r="I53" i="279"/>
  <c r="J53" i="279"/>
  <c r="K53" i="279"/>
  <c r="L53" i="279"/>
  <c r="M53" i="279"/>
  <c r="N53" i="279"/>
  <c r="O53" i="279"/>
  <c r="P53" i="279"/>
  <c r="Q53" i="279"/>
  <c r="R53" i="279"/>
  <c r="S53" i="279"/>
  <c r="T53" i="279"/>
  <c r="U53" i="279"/>
  <c r="V53" i="279"/>
  <c r="W53" i="279"/>
  <c r="X53" i="279"/>
  <c r="B54" i="279"/>
  <c r="B55" i="279"/>
  <c r="B57" i="279"/>
  <c r="F57" i="279"/>
  <c r="G57" i="279"/>
  <c r="H57" i="279"/>
  <c r="I57" i="279"/>
  <c r="J57" i="279"/>
  <c r="K57" i="279"/>
  <c r="L57" i="279"/>
  <c r="M57" i="279"/>
  <c r="N57" i="279"/>
  <c r="O57" i="279"/>
  <c r="P57" i="279"/>
  <c r="Q57" i="279"/>
  <c r="R57" i="279"/>
  <c r="S57" i="279"/>
  <c r="T57" i="279"/>
  <c r="U57" i="279"/>
  <c r="V57" i="279"/>
  <c r="W57" i="279"/>
  <c r="X57" i="279"/>
  <c r="B58" i="279"/>
  <c r="B59" i="279"/>
  <c r="D20" i="258"/>
  <c r="D21" i="258"/>
  <c r="D22" i="258"/>
  <c r="D23" i="258"/>
  <c r="B33" i="276"/>
  <c r="D33" i="276"/>
  <c r="F33" i="276"/>
  <c r="G33" i="276"/>
  <c r="H33" i="276"/>
  <c r="I33" i="276"/>
  <c r="J33" i="276"/>
  <c r="K33" i="276"/>
  <c r="L33" i="276"/>
  <c r="M33" i="276"/>
  <c r="N33" i="276"/>
  <c r="O33" i="276"/>
  <c r="P33" i="276"/>
  <c r="Q33" i="276"/>
  <c r="R33" i="276"/>
  <c r="S33" i="276"/>
  <c r="T33" i="276"/>
  <c r="U33" i="276"/>
  <c r="V33" i="276"/>
  <c r="W33" i="276"/>
  <c r="X33" i="276"/>
  <c r="B36" i="276"/>
  <c r="D36" i="276"/>
  <c r="F36" i="276"/>
  <c r="G36" i="276"/>
  <c r="H36" i="276"/>
  <c r="I36" i="276"/>
  <c r="J36" i="276"/>
  <c r="K36" i="276"/>
  <c r="L36" i="276"/>
  <c r="M36" i="276"/>
  <c r="N36" i="276"/>
  <c r="O36" i="276"/>
  <c r="P36" i="276"/>
  <c r="Q36" i="276"/>
  <c r="R36" i="276"/>
  <c r="S36" i="276"/>
  <c r="T36" i="276"/>
  <c r="U36" i="276"/>
  <c r="V36" i="276"/>
  <c r="W36" i="276"/>
  <c r="X36" i="276"/>
  <c r="B37" i="276"/>
  <c r="F37" i="276"/>
  <c r="G37" i="276"/>
  <c r="H37" i="276"/>
  <c r="I37" i="276"/>
  <c r="J37" i="276"/>
  <c r="K37" i="276"/>
  <c r="L37" i="276"/>
  <c r="M37" i="276"/>
  <c r="N37" i="276"/>
  <c r="O37" i="276"/>
  <c r="P37" i="276"/>
  <c r="Q37" i="276"/>
  <c r="R37" i="276"/>
  <c r="S37" i="276"/>
  <c r="T37" i="276"/>
  <c r="U37" i="276"/>
  <c r="V37" i="276"/>
  <c r="W37" i="276"/>
  <c r="X37" i="276"/>
  <c r="F38" i="276"/>
  <c r="G38" i="276"/>
  <c r="H38" i="276"/>
  <c r="I38" i="276"/>
  <c r="J38" i="276"/>
  <c r="K38" i="276"/>
  <c r="L38" i="276"/>
  <c r="M38" i="276"/>
  <c r="N38" i="276"/>
  <c r="O38" i="276"/>
  <c r="P38" i="276"/>
  <c r="Q38" i="276"/>
  <c r="R38" i="276"/>
  <c r="S38" i="276"/>
  <c r="T38" i="276"/>
  <c r="U38" i="276"/>
  <c r="V38" i="276"/>
  <c r="W38" i="276"/>
  <c r="X38" i="276"/>
  <c r="B39" i="276"/>
  <c r="F39" i="276"/>
  <c r="G39" i="276"/>
  <c r="H39" i="276"/>
  <c r="I39" i="276"/>
  <c r="J39" i="276"/>
  <c r="K39" i="276"/>
  <c r="L39" i="276"/>
  <c r="M39" i="276"/>
  <c r="N39" i="276"/>
  <c r="O39" i="276"/>
  <c r="P39" i="276"/>
  <c r="Q39" i="276"/>
  <c r="R39" i="276"/>
  <c r="S39" i="276"/>
  <c r="T39" i="276"/>
  <c r="U39" i="276"/>
  <c r="V39" i="276"/>
  <c r="W39" i="276"/>
  <c r="X39" i="276"/>
  <c r="B40" i="276"/>
  <c r="X40" i="276"/>
  <c r="B42" i="276"/>
  <c r="E42" i="276"/>
  <c r="F42" i="276"/>
  <c r="G42" i="276"/>
  <c r="H42" i="276"/>
  <c r="I42" i="276"/>
  <c r="J42" i="276"/>
  <c r="K42" i="276"/>
  <c r="L42" i="276"/>
  <c r="M42" i="276"/>
  <c r="N42" i="276"/>
  <c r="O42" i="276"/>
  <c r="P42" i="276"/>
  <c r="Q42" i="276"/>
  <c r="R42" i="276"/>
  <c r="S42" i="276"/>
  <c r="T42" i="276"/>
  <c r="U42" i="276"/>
  <c r="V42" i="276"/>
  <c r="W42" i="276"/>
  <c r="X42" i="276"/>
  <c r="B43" i="276"/>
  <c r="E43" i="276"/>
  <c r="F43" i="276"/>
  <c r="G43" i="276"/>
  <c r="H43" i="276"/>
  <c r="I43" i="276"/>
  <c r="J43" i="276"/>
  <c r="K43" i="276"/>
  <c r="L43" i="276"/>
  <c r="M43" i="276"/>
  <c r="N43" i="276"/>
  <c r="O43" i="276"/>
  <c r="P43" i="276"/>
  <c r="Q43" i="276"/>
  <c r="R43" i="276"/>
  <c r="S43" i="276"/>
  <c r="T43" i="276"/>
  <c r="U43" i="276"/>
  <c r="V43" i="276"/>
  <c r="W43" i="276"/>
  <c r="X43" i="276"/>
  <c r="B44" i="276"/>
  <c r="X44" i="276"/>
  <c r="B47" i="276"/>
  <c r="B50" i="276"/>
  <c r="X50" i="276"/>
  <c r="B53" i="276"/>
  <c r="F53" i="276"/>
  <c r="G53" i="276"/>
  <c r="H53" i="276"/>
  <c r="I53" i="276"/>
  <c r="J53" i="276"/>
  <c r="K53" i="276"/>
  <c r="L53" i="276"/>
  <c r="M53" i="276"/>
  <c r="N53" i="276"/>
  <c r="O53" i="276"/>
  <c r="P53" i="276"/>
  <c r="Q53" i="276"/>
  <c r="R53" i="276"/>
  <c r="S53" i="276"/>
  <c r="T53" i="276"/>
  <c r="U53" i="276"/>
  <c r="V53" i="276"/>
  <c r="W53" i="276"/>
  <c r="X53" i="276"/>
  <c r="B54" i="276"/>
  <c r="B55" i="276"/>
  <c r="B57" i="276"/>
  <c r="F57" i="276"/>
  <c r="G57" i="276"/>
  <c r="H57" i="276"/>
  <c r="I57" i="276"/>
  <c r="J57" i="276"/>
  <c r="K57" i="276"/>
  <c r="L57" i="276"/>
  <c r="M57" i="276"/>
  <c r="N57" i="276"/>
  <c r="O57" i="276"/>
  <c r="P57" i="276"/>
  <c r="Q57" i="276"/>
  <c r="R57" i="276"/>
  <c r="S57" i="276"/>
  <c r="T57" i="276"/>
  <c r="U57" i="276"/>
  <c r="V57" i="276"/>
  <c r="W57" i="276"/>
  <c r="X57" i="276"/>
  <c r="B58" i="276"/>
  <c r="B59" i="276"/>
  <c r="D20" i="260"/>
  <c r="D21" i="260"/>
  <c r="D22" i="260"/>
  <c r="D23" i="260"/>
  <c r="B33" i="274"/>
  <c r="D33" i="274"/>
  <c r="F33" i="274"/>
  <c r="G33" i="274"/>
  <c r="H33" i="274"/>
  <c r="I33" i="274"/>
  <c r="J33" i="274"/>
  <c r="K33" i="274"/>
  <c r="L33" i="274"/>
  <c r="M33" i="274"/>
  <c r="N33" i="274"/>
  <c r="O33" i="274"/>
  <c r="P33" i="274"/>
  <c r="Q33" i="274"/>
  <c r="R33" i="274"/>
  <c r="S33" i="274"/>
  <c r="T33" i="274"/>
  <c r="U33" i="274"/>
  <c r="V33" i="274"/>
  <c r="W33" i="274"/>
  <c r="X33" i="274"/>
  <c r="B36" i="274"/>
  <c r="D36" i="274"/>
  <c r="F36" i="274"/>
  <c r="G36" i="274"/>
  <c r="H36" i="274"/>
  <c r="I36" i="274"/>
  <c r="J36" i="274"/>
  <c r="K36" i="274"/>
  <c r="L36" i="274"/>
  <c r="M36" i="274"/>
  <c r="N36" i="274"/>
  <c r="O36" i="274"/>
  <c r="P36" i="274"/>
  <c r="Q36" i="274"/>
  <c r="R36" i="274"/>
  <c r="S36" i="274"/>
  <c r="T36" i="274"/>
  <c r="U36" i="274"/>
  <c r="V36" i="274"/>
  <c r="W36" i="274"/>
  <c r="X36" i="274"/>
  <c r="B37" i="274"/>
  <c r="F37" i="274"/>
  <c r="G37" i="274"/>
  <c r="H37" i="274"/>
  <c r="I37" i="274"/>
  <c r="J37" i="274"/>
  <c r="K37" i="274"/>
  <c r="L37" i="274"/>
  <c r="M37" i="274"/>
  <c r="N37" i="274"/>
  <c r="O37" i="274"/>
  <c r="P37" i="274"/>
  <c r="Q37" i="274"/>
  <c r="R37" i="274"/>
  <c r="S37" i="274"/>
  <c r="T37" i="274"/>
  <c r="U37" i="274"/>
  <c r="V37" i="274"/>
  <c r="W37" i="274"/>
  <c r="X37" i="274"/>
  <c r="F38" i="274"/>
  <c r="G38" i="274"/>
  <c r="H38" i="274"/>
  <c r="I38" i="274"/>
  <c r="J38" i="274"/>
  <c r="K38" i="274"/>
  <c r="L38" i="274"/>
  <c r="M38" i="274"/>
  <c r="N38" i="274"/>
  <c r="O38" i="274"/>
  <c r="P38" i="274"/>
  <c r="Q38" i="274"/>
  <c r="R38" i="274"/>
  <c r="S38" i="274"/>
  <c r="T38" i="274"/>
  <c r="U38" i="274"/>
  <c r="V38" i="274"/>
  <c r="W38" i="274"/>
  <c r="X38" i="274"/>
  <c r="B39" i="274"/>
  <c r="F39" i="274"/>
  <c r="G39" i="274"/>
  <c r="H39" i="274"/>
  <c r="I39" i="274"/>
  <c r="J39" i="274"/>
  <c r="K39" i="274"/>
  <c r="L39" i="274"/>
  <c r="M39" i="274"/>
  <c r="N39" i="274"/>
  <c r="O39" i="274"/>
  <c r="P39" i="274"/>
  <c r="Q39" i="274"/>
  <c r="R39" i="274"/>
  <c r="S39" i="274"/>
  <c r="T39" i="274"/>
  <c r="U39" i="274"/>
  <c r="V39" i="274"/>
  <c r="W39" i="274"/>
  <c r="X39" i="274"/>
  <c r="B40" i="274"/>
  <c r="X40" i="274"/>
  <c r="B42" i="274"/>
  <c r="E42" i="274"/>
  <c r="F42" i="274"/>
  <c r="G42" i="274"/>
  <c r="H42" i="274"/>
  <c r="I42" i="274"/>
  <c r="J42" i="274"/>
  <c r="K42" i="274"/>
  <c r="L42" i="274"/>
  <c r="M42" i="274"/>
  <c r="N42" i="274"/>
  <c r="O42" i="274"/>
  <c r="P42" i="274"/>
  <c r="Q42" i="274"/>
  <c r="R42" i="274"/>
  <c r="S42" i="274"/>
  <c r="T42" i="274"/>
  <c r="U42" i="274"/>
  <c r="V42" i="274"/>
  <c r="W42" i="274"/>
  <c r="X42" i="274"/>
  <c r="B43" i="274"/>
  <c r="E43" i="274"/>
  <c r="F43" i="274"/>
  <c r="G43" i="274"/>
  <c r="H43" i="274"/>
  <c r="I43" i="274"/>
  <c r="J43" i="274"/>
  <c r="K43" i="274"/>
  <c r="L43" i="274"/>
  <c r="M43" i="274"/>
  <c r="N43" i="274"/>
  <c r="O43" i="274"/>
  <c r="P43" i="274"/>
  <c r="Q43" i="274"/>
  <c r="R43" i="274"/>
  <c r="S43" i="274"/>
  <c r="T43" i="274"/>
  <c r="U43" i="274"/>
  <c r="V43" i="274"/>
  <c r="W43" i="274"/>
  <c r="X43" i="274"/>
  <c r="B44" i="274"/>
  <c r="X44" i="274"/>
  <c r="B47" i="274"/>
  <c r="B50" i="274"/>
  <c r="X50" i="274"/>
  <c r="B53" i="274"/>
  <c r="F53" i="274"/>
  <c r="G53" i="274"/>
  <c r="H53" i="274"/>
  <c r="I53" i="274"/>
  <c r="J53" i="274"/>
  <c r="K53" i="274"/>
  <c r="L53" i="274"/>
  <c r="M53" i="274"/>
  <c r="N53" i="274"/>
  <c r="O53" i="274"/>
  <c r="P53" i="274"/>
  <c r="Q53" i="274"/>
  <c r="R53" i="274"/>
  <c r="S53" i="274"/>
  <c r="T53" i="274"/>
  <c r="U53" i="274"/>
  <c r="V53" i="274"/>
  <c r="W53" i="274"/>
  <c r="X53" i="274"/>
  <c r="B54" i="274"/>
  <c r="B55" i="274"/>
  <c r="B57" i="274"/>
  <c r="F57" i="274"/>
  <c r="G57" i="274"/>
  <c r="H57" i="274"/>
  <c r="I57" i="274"/>
  <c r="J57" i="274"/>
  <c r="K57" i="274"/>
  <c r="L57" i="274"/>
  <c r="M57" i="274"/>
  <c r="N57" i="274"/>
  <c r="O57" i="274"/>
  <c r="P57" i="274"/>
  <c r="Q57" i="274"/>
  <c r="R57" i="274"/>
  <c r="S57" i="274"/>
  <c r="T57" i="274"/>
  <c r="U57" i="274"/>
  <c r="V57" i="274"/>
  <c r="W57" i="274"/>
  <c r="X57" i="274"/>
  <c r="B58" i="274"/>
  <c r="B59" i="274"/>
  <c r="D20" i="262"/>
  <c r="D21" i="262"/>
  <c r="D22" i="262"/>
  <c r="D23" i="262"/>
  <c r="B33" i="265"/>
  <c r="D33" i="265"/>
  <c r="F33" i="265"/>
  <c r="G33" i="265"/>
  <c r="H33" i="265"/>
  <c r="I33" i="265"/>
  <c r="J33" i="265"/>
  <c r="K33" i="265"/>
  <c r="L33" i="265"/>
  <c r="M33" i="265"/>
  <c r="N33" i="265"/>
  <c r="O33" i="265"/>
  <c r="P33" i="265"/>
  <c r="Q33" i="265"/>
  <c r="R33" i="265"/>
  <c r="S33" i="265"/>
  <c r="T33" i="265"/>
  <c r="U33" i="265"/>
  <c r="V33" i="265"/>
  <c r="W33" i="265"/>
  <c r="X33" i="265"/>
  <c r="B36" i="265"/>
  <c r="D36" i="265"/>
  <c r="F36" i="265"/>
  <c r="G36" i="265"/>
  <c r="H36" i="265"/>
  <c r="I36" i="265"/>
  <c r="J36" i="265"/>
  <c r="K36" i="265"/>
  <c r="L36" i="265"/>
  <c r="M36" i="265"/>
  <c r="N36" i="265"/>
  <c r="O36" i="265"/>
  <c r="P36" i="265"/>
  <c r="Q36" i="265"/>
  <c r="R36" i="265"/>
  <c r="S36" i="265"/>
  <c r="T36" i="265"/>
  <c r="U36" i="265"/>
  <c r="V36" i="265"/>
  <c r="W36" i="265"/>
  <c r="X36" i="265"/>
  <c r="B37" i="265"/>
  <c r="F37" i="265"/>
  <c r="G37" i="265"/>
  <c r="H37" i="265"/>
  <c r="I37" i="265"/>
  <c r="J37" i="265"/>
  <c r="K37" i="265"/>
  <c r="L37" i="265"/>
  <c r="M37" i="265"/>
  <c r="N37" i="265"/>
  <c r="O37" i="265"/>
  <c r="P37" i="265"/>
  <c r="Q37" i="265"/>
  <c r="R37" i="265"/>
  <c r="S37" i="265"/>
  <c r="T37" i="265"/>
  <c r="U37" i="265"/>
  <c r="V37" i="265"/>
  <c r="W37" i="265"/>
  <c r="X37" i="265"/>
  <c r="F38" i="265"/>
  <c r="G38" i="265"/>
  <c r="H38" i="265"/>
  <c r="I38" i="265"/>
  <c r="J38" i="265"/>
  <c r="K38" i="265"/>
  <c r="L38" i="265"/>
  <c r="M38" i="265"/>
  <c r="N38" i="265"/>
  <c r="O38" i="265"/>
  <c r="P38" i="265"/>
  <c r="Q38" i="265"/>
  <c r="R38" i="265"/>
  <c r="S38" i="265"/>
  <c r="T38" i="265"/>
  <c r="U38" i="265"/>
  <c r="V38" i="265"/>
  <c r="W38" i="265"/>
  <c r="X38" i="265"/>
  <c r="B39" i="265"/>
  <c r="F39" i="265"/>
  <c r="G39" i="265"/>
  <c r="H39" i="265"/>
  <c r="I39" i="265"/>
  <c r="J39" i="265"/>
  <c r="K39" i="265"/>
  <c r="L39" i="265"/>
  <c r="M39" i="265"/>
  <c r="N39" i="265"/>
  <c r="O39" i="265"/>
  <c r="P39" i="265"/>
  <c r="Q39" i="265"/>
  <c r="R39" i="265"/>
  <c r="S39" i="265"/>
  <c r="T39" i="265"/>
  <c r="U39" i="265"/>
  <c r="V39" i="265"/>
  <c r="W39" i="265"/>
  <c r="X39" i="265"/>
  <c r="B40" i="265"/>
  <c r="X40" i="265"/>
  <c r="B42" i="265"/>
  <c r="E42" i="265"/>
  <c r="F42" i="265"/>
  <c r="G42" i="265"/>
  <c r="H42" i="265"/>
  <c r="I42" i="265"/>
  <c r="J42" i="265"/>
  <c r="K42" i="265"/>
  <c r="L42" i="265"/>
  <c r="M42" i="265"/>
  <c r="N42" i="265"/>
  <c r="O42" i="265"/>
  <c r="P42" i="265"/>
  <c r="Q42" i="265"/>
  <c r="R42" i="265"/>
  <c r="S42" i="265"/>
  <c r="T42" i="265"/>
  <c r="U42" i="265"/>
  <c r="V42" i="265"/>
  <c r="W42" i="265"/>
  <c r="X42" i="265"/>
  <c r="B43" i="265"/>
  <c r="E43" i="265"/>
  <c r="F43" i="265"/>
  <c r="G43" i="265"/>
  <c r="H43" i="265"/>
  <c r="I43" i="265"/>
  <c r="J43" i="265"/>
  <c r="K43" i="265"/>
  <c r="L43" i="265"/>
  <c r="M43" i="265"/>
  <c r="N43" i="265"/>
  <c r="O43" i="265"/>
  <c r="P43" i="265"/>
  <c r="Q43" i="265"/>
  <c r="R43" i="265"/>
  <c r="S43" i="265"/>
  <c r="T43" i="265"/>
  <c r="U43" i="265"/>
  <c r="V43" i="265"/>
  <c r="W43" i="265"/>
  <c r="X43" i="265"/>
  <c r="B44" i="265"/>
  <c r="X44" i="265"/>
  <c r="B47" i="265"/>
  <c r="B50" i="265"/>
  <c r="X50" i="265"/>
  <c r="B53" i="265"/>
  <c r="F53" i="265"/>
  <c r="G53" i="265"/>
  <c r="H53" i="265"/>
  <c r="I53" i="265"/>
  <c r="J53" i="265"/>
  <c r="K53" i="265"/>
  <c r="L53" i="265"/>
  <c r="M53" i="265"/>
  <c r="N53" i="265"/>
  <c r="O53" i="265"/>
  <c r="P53" i="265"/>
  <c r="Q53" i="265"/>
  <c r="R53" i="265"/>
  <c r="S53" i="265"/>
  <c r="T53" i="265"/>
  <c r="U53" i="265"/>
  <c r="V53" i="265"/>
  <c r="W53" i="265"/>
  <c r="X53" i="265"/>
  <c r="B54" i="265"/>
  <c r="B55" i="265"/>
  <c r="B57" i="265"/>
  <c r="F57" i="265"/>
  <c r="G57" i="265"/>
  <c r="H57" i="265"/>
  <c r="I57" i="265"/>
  <c r="J57" i="265"/>
  <c r="K57" i="265"/>
  <c r="L57" i="265"/>
  <c r="M57" i="265"/>
  <c r="N57" i="265"/>
  <c r="O57" i="265"/>
  <c r="P57" i="265"/>
  <c r="Q57" i="265"/>
  <c r="R57" i="265"/>
  <c r="S57" i="265"/>
  <c r="T57" i="265"/>
  <c r="U57" i="265"/>
  <c r="V57" i="265"/>
  <c r="W57" i="265"/>
  <c r="X57" i="265"/>
  <c r="B58" i="265"/>
  <c r="B59" i="265"/>
  <c r="D20" i="264"/>
  <c r="D21" i="264"/>
  <c r="D22" i="264"/>
  <c r="D23" i="264"/>
  <c r="B4" i="159"/>
  <c r="D4" i="159"/>
  <c r="E4" i="159"/>
  <c r="F4" i="159"/>
  <c r="G4" i="159"/>
  <c r="H4" i="159"/>
  <c r="I4" i="159"/>
  <c r="J4" i="159"/>
  <c r="K4" i="159"/>
  <c r="L4" i="159"/>
  <c r="M4" i="159"/>
  <c r="N4" i="159"/>
  <c r="O4" i="159"/>
  <c r="P4" i="159"/>
  <c r="Q4" i="159"/>
  <c r="R4" i="159"/>
  <c r="S4" i="159"/>
  <c r="T4" i="159"/>
  <c r="U4" i="159"/>
  <c r="V4" i="159"/>
  <c r="W4" i="159"/>
  <c r="X4" i="159"/>
  <c r="Y4" i="159"/>
  <c r="Z4" i="159"/>
  <c r="AA4" i="159"/>
  <c r="AB4" i="159"/>
  <c r="AC4" i="159"/>
  <c r="AD4" i="159"/>
  <c r="AE4" i="159"/>
  <c r="AF4" i="159"/>
  <c r="AG4" i="159"/>
  <c r="AH4" i="159"/>
  <c r="AI4" i="159"/>
  <c r="AJ4" i="159"/>
  <c r="AK4" i="159"/>
  <c r="AL4" i="159"/>
  <c r="AM4" i="159"/>
  <c r="AN4" i="159"/>
  <c r="AO4" i="159"/>
  <c r="AP4" i="159"/>
  <c r="AQ4" i="159"/>
  <c r="AR4" i="159"/>
  <c r="AS4" i="159"/>
  <c r="AT4" i="159"/>
  <c r="B5" i="159"/>
  <c r="B6" i="159"/>
  <c r="B8" i="159"/>
  <c r="D8" i="159"/>
  <c r="E8" i="159"/>
  <c r="F8" i="159"/>
  <c r="G8" i="159"/>
  <c r="H8" i="159"/>
  <c r="I8" i="159"/>
  <c r="J8" i="159"/>
  <c r="K8" i="159"/>
  <c r="L8" i="159"/>
  <c r="M8" i="159"/>
  <c r="N8" i="159"/>
  <c r="O8" i="159"/>
  <c r="P8" i="159"/>
  <c r="Q8" i="159"/>
  <c r="R8" i="159"/>
  <c r="S8" i="159"/>
  <c r="T8" i="159"/>
  <c r="U8" i="159"/>
  <c r="V8" i="159"/>
  <c r="W8" i="159"/>
  <c r="X8" i="159"/>
  <c r="Y8" i="159"/>
  <c r="Z8" i="159"/>
  <c r="AA8" i="159"/>
  <c r="AB8" i="159"/>
  <c r="AC8" i="159"/>
  <c r="AD8" i="159"/>
  <c r="AE8" i="159"/>
  <c r="AF8" i="159"/>
  <c r="AG8" i="159"/>
  <c r="AH8" i="159"/>
  <c r="AI8" i="159"/>
  <c r="AJ8" i="159"/>
  <c r="AK8" i="159"/>
  <c r="AL8" i="159"/>
  <c r="AM8" i="159"/>
  <c r="AN8" i="159"/>
  <c r="AO8" i="159"/>
  <c r="AP8" i="159"/>
  <c r="AQ8" i="159"/>
  <c r="AR8" i="159"/>
  <c r="AS8" i="159"/>
  <c r="AT8" i="159"/>
  <c r="B9" i="159"/>
  <c r="B10" i="159"/>
  <c r="B16" i="159"/>
  <c r="D16" i="159"/>
  <c r="E16" i="159"/>
  <c r="F16" i="159"/>
  <c r="G16" i="159"/>
  <c r="H16" i="159"/>
  <c r="I16" i="159"/>
  <c r="J16" i="159"/>
  <c r="K16" i="159"/>
  <c r="L16" i="159"/>
  <c r="M16" i="159"/>
  <c r="N16" i="159"/>
  <c r="O16" i="159"/>
  <c r="P16" i="159"/>
  <c r="Q16" i="159"/>
  <c r="R16" i="159"/>
  <c r="S16" i="159"/>
  <c r="T16" i="159"/>
  <c r="U16" i="159"/>
  <c r="V16" i="159"/>
  <c r="B17" i="159"/>
  <c r="B18" i="159"/>
  <c r="B20" i="159"/>
  <c r="D20" i="159"/>
  <c r="E20" i="159"/>
  <c r="F20" i="159"/>
  <c r="G20" i="159"/>
  <c r="H20" i="159"/>
  <c r="I20" i="159"/>
  <c r="J20" i="159"/>
  <c r="K20" i="159"/>
  <c r="L20" i="159"/>
  <c r="M20" i="159"/>
  <c r="N20" i="159"/>
  <c r="O20" i="159"/>
  <c r="P20" i="159"/>
  <c r="Q20" i="159"/>
  <c r="R20" i="159"/>
  <c r="S20" i="159"/>
  <c r="T20" i="159"/>
  <c r="U20" i="159"/>
  <c r="V20" i="159"/>
  <c r="B21" i="159"/>
  <c r="B22" i="159"/>
  <c r="B28" i="159"/>
  <c r="L28" i="159"/>
  <c r="M28" i="159"/>
  <c r="N28" i="159"/>
  <c r="O28" i="159"/>
  <c r="P28" i="159"/>
  <c r="Q28" i="159"/>
  <c r="R28" i="159"/>
  <c r="S28" i="159"/>
  <c r="T28" i="159"/>
  <c r="U28" i="159"/>
  <c r="V28" i="159"/>
  <c r="W28" i="159"/>
  <c r="X28" i="159"/>
  <c r="Y28" i="159"/>
  <c r="Z28" i="159"/>
  <c r="AA28" i="159"/>
  <c r="B29" i="159"/>
  <c r="B30" i="159"/>
  <c r="B32" i="159"/>
  <c r="L32" i="159"/>
  <c r="M32" i="159"/>
  <c r="N32" i="159"/>
  <c r="O32" i="159"/>
  <c r="P32" i="159"/>
  <c r="Q32" i="159"/>
  <c r="R32" i="159"/>
  <c r="S32" i="159"/>
  <c r="T32" i="159"/>
  <c r="U32" i="159"/>
  <c r="V32" i="159"/>
  <c r="W32" i="159"/>
  <c r="X32" i="159"/>
  <c r="Y32" i="159"/>
  <c r="Z32" i="159"/>
  <c r="AA32" i="159"/>
  <c r="B33" i="159"/>
  <c r="B34" i="159"/>
  <c r="B40" i="159"/>
  <c r="T40" i="159"/>
  <c r="U40" i="159"/>
  <c r="V40" i="159"/>
  <c r="W40" i="159"/>
  <c r="X40" i="159"/>
  <c r="Y40" i="159"/>
  <c r="Z40" i="159"/>
  <c r="AA40" i="159"/>
  <c r="AB40" i="159"/>
  <c r="AC40" i="159"/>
  <c r="AD40" i="159"/>
  <c r="AE40" i="159"/>
  <c r="AF40" i="159"/>
  <c r="AG40" i="159"/>
  <c r="AH40" i="159"/>
  <c r="AI40" i="159"/>
  <c r="AJ40" i="159"/>
  <c r="AK40" i="159"/>
  <c r="AL40" i="159"/>
  <c r="B41" i="159"/>
  <c r="B42" i="159"/>
  <c r="B44" i="159"/>
  <c r="T44" i="159"/>
  <c r="U44" i="159"/>
  <c r="V44" i="159"/>
  <c r="W44" i="159"/>
  <c r="X44" i="159"/>
  <c r="Y44" i="159"/>
  <c r="Z44" i="159"/>
  <c r="AA44" i="159"/>
  <c r="AB44" i="159"/>
  <c r="AC44" i="159"/>
  <c r="AD44" i="159"/>
  <c r="AE44" i="159"/>
  <c r="AF44" i="159"/>
  <c r="AG44" i="159"/>
  <c r="AH44" i="159"/>
  <c r="AI44" i="159"/>
  <c r="AJ44" i="159"/>
  <c r="AK44" i="159"/>
  <c r="AL44" i="159"/>
  <c r="B45" i="159"/>
  <c r="B46" i="159"/>
  <c r="B52" i="159"/>
  <c r="AB52" i="159"/>
  <c r="AC52" i="159"/>
  <c r="AD52" i="159"/>
  <c r="AE52" i="159"/>
  <c r="AF52" i="159"/>
  <c r="AG52" i="159"/>
  <c r="AH52" i="159"/>
  <c r="AI52" i="159"/>
  <c r="AJ52" i="159"/>
  <c r="AK52" i="159"/>
  <c r="AL52" i="159"/>
  <c r="AM52" i="159"/>
  <c r="AN52" i="159"/>
  <c r="AO52" i="159"/>
  <c r="AP52" i="159"/>
  <c r="AQ52" i="159"/>
  <c r="AR52" i="159"/>
  <c r="AS52" i="159"/>
  <c r="AT52" i="159"/>
  <c r="B53" i="159"/>
  <c r="B54" i="159"/>
  <c r="B56" i="159"/>
  <c r="AB56" i="159"/>
  <c r="AC56" i="159"/>
  <c r="AD56" i="159"/>
  <c r="AE56" i="159"/>
  <c r="AF56" i="159"/>
  <c r="AG56" i="159"/>
  <c r="AH56" i="159"/>
  <c r="AI56" i="159"/>
  <c r="AJ56" i="159"/>
  <c r="AK56" i="159"/>
  <c r="AL56" i="159"/>
  <c r="AM56" i="159"/>
  <c r="AN56" i="159"/>
  <c r="AO56" i="159"/>
  <c r="AP56" i="159"/>
  <c r="AQ56" i="159"/>
  <c r="AR56" i="159"/>
  <c r="AS56" i="159"/>
  <c r="AT56" i="159"/>
  <c r="B57" i="159"/>
  <c r="B58" i="159"/>
  <c r="J14" i="140"/>
  <c r="J18" i="140"/>
  <c r="J21" i="140"/>
  <c r="J26" i="140"/>
  <c r="J27" i="140"/>
  <c r="F26" i="270"/>
  <c r="F27" i="270"/>
  <c r="F28" i="27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박상희</author>
  </authors>
  <commentList>
    <comment ref="S26" authorId="0" shapeId="0" xr:uid="{98197DAD-B159-7342-90F5-84A01A76FE2B}">
      <text>
        <r>
          <rPr>
            <b/>
            <sz val="10"/>
            <color rgb="FF000000"/>
            <rFont val="Tahoma"/>
            <family val="2"/>
          </rPr>
          <t>affordable sales price cap applied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tc={2CE8CE88-F1F0-429D-A0CF-64723009C460}</author>
    <author>tc={DF6B719F-ACAB-4F42-82D3-E60441BC3A30}</author>
    <author>박상희</author>
    <author>Andrew Seokjin Oh</author>
  </authors>
  <commentList>
    <comment ref="C9" authorId="0" shapeId="0" xr:uid="{7B7180D6-A435-497A-B786-D4DA68EE39F1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Assets for sales immediately after completion</t>
      </text>
    </comment>
    <comment ref="C10" authorId="1" shapeId="0" xr:uid="{3A93A4EE-94F5-4CB1-83C0-9D762746EF53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Projected sales value after operation of the rental assets + Income within operation period</t>
      </text>
    </comment>
    <comment ref="U133" authorId="2" shapeId="0" xr:uid="{3C29441F-8E01-4488-981F-04824CD7D16A}">
      <text>
        <r>
          <rPr>
            <b/>
            <sz val="10"/>
            <color rgb="FF000000"/>
            <rFont val="Tahoma"/>
            <family val="2"/>
          </rPr>
          <t xml:space="preserve">GSF &gt; RSF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V150" authorId="3" shapeId="0" xr:uid="{FD76A689-692A-4210-BC3D-ED6564E1BE8B}">
      <text>
        <r>
          <rPr>
            <b/>
            <sz val="9"/>
            <color rgb="FF000000"/>
            <rFont val="Tahoma"/>
            <family val="2"/>
          </rPr>
          <t>Andrew Seokjin Oh: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0.25% Guide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tc={2CE8CE88-F1F0-429E-A0CF-64723009C460}</author>
    <author>tc={DF6B719F-ACAB-4F43-82D3-E60441BC3A30}</author>
    <author>박상희</author>
    <author>Andrew Seokjin Oh</author>
  </authors>
  <commentList>
    <comment ref="C9" authorId="0" shapeId="0" xr:uid="{F0228AA0-F2A9-4A02-9929-F41A2D8C0A7B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Assets for sales immediately after completion</t>
      </text>
    </comment>
    <comment ref="C10" authorId="1" shapeId="0" xr:uid="{933431C4-A382-4147-9CB5-C44892093ACA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Projected sales value after operation of the rental assets + Income within operation period</t>
      </text>
    </comment>
    <comment ref="U133" authorId="2" shapeId="0" xr:uid="{0D49F4FF-FA78-4633-903C-A78810D6357F}">
      <text>
        <r>
          <rPr>
            <b/>
            <sz val="10"/>
            <color rgb="FF000000"/>
            <rFont val="Tahoma"/>
            <family val="2"/>
          </rPr>
          <t xml:space="preserve">GSF &gt; RSF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V150" authorId="3" shapeId="0" xr:uid="{99989004-9FB9-466B-9290-9433A061B98E}">
      <text>
        <r>
          <rPr>
            <b/>
            <sz val="9"/>
            <color rgb="FF000000"/>
            <rFont val="Tahoma"/>
            <family val="2"/>
          </rPr>
          <t>Andrew Seokjin Oh: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0.25% Guide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tc={2CE8CE88-F1F0-4295-A0CF-64723009C460}</author>
    <author>tc={DF6B719F-ACAB-4F3A-82D3-E60441BC3A30}</author>
    <author>박상희</author>
    <author>Andrew Seokjin Oh</author>
  </authors>
  <commentList>
    <comment ref="C9" authorId="0" shapeId="0" xr:uid="{C6142748-854F-4BE1-8E0D-4F183B838DB2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Assets for sales immediately after completion</t>
      </text>
    </comment>
    <comment ref="C10" authorId="1" shapeId="0" xr:uid="{63DFD8B5-A6BB-4C08-B3DB-FF477F9732E3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Projected sales value after operation of the rental assets + Income within operation period</t>
      </text>
    </comment>
    <comment ref="U133" authorId="2" shapeId="0" xr:uid="{68C93D15-B7F7-4E1F-AFF2-D7173DDACB86}">
      <text>
        <r>
          <rPr>
            <b/>
            <sz val="10"/>
            <color rgb="FF000000"/>
            <rFont val="Tahoma"/>
            <family val="2"/>
          </rPr>
          <t xml:space="preserve">GSF &gt; RSF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V150" authorId="3" shapeId="0" xr:uid="{100E147E-71E7-4F2B-8812-BF9397FFEE90}">
      <text>
        <r>
          <rPr>
            <b/>
            <sz val="9"/>
            <color rgb="FF000000"/>
            <rFont val="Tahoma"/>
            <family val="2"/>
          </rPr>
          <t>Andrew Seokjin Oh: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0.25% Guide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tc={2CE8CE88-F1F0-4296-A0CF-64723009C460}</author>
    <author>tc={DF6B719F-ACAB-4F3B-82D3-E60441BC3A30}</author>
    <author>Andrew Seokjin Oh</author>
    <author>박상희</author>
  </authors>
  <commentList>
    <comment ref="C9" authorId="0" shapeId="0" xr:uid="{0A1C58C8-CB0E-47E7-8C6E-4ED200F2EAC4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Assets for sales immediately after completion</t>
      </text>
    </comment>
    <comment ref="C10" authorId="1" shapeId="0" xr:uid="{50F702FD-1AF0-426C-8F1F-38C97A604E23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Projected sales value after operation of the rental assets + Income within operation period</t>
      </text>
    </comment>
    <comment ref="E83" authorId="2" shapeId="0" xr:uid="{D41DE5F5-E5E8-4289-AB7B-12A0ABBE43A0}">
      <text>
        <r>
          <rPr>
            <b/>
            <sz val="9"/>
            <color indexed="81"/>
            <rFont val="Tahoma"/>
            <family val="2"/>
          </rPr>
          <t>Andrew Seokjin Oh:</t>
        </r>
        <r>
          <rPr>
            <sz val="9"/>
            <color indexed="81"/>
            <rFont val="Tahoma"/>
            <family val="2"/>
          </rPr>
          <t xml:space="preserve">
Masterlease Agreement with University assumed</t>
        </r>
      </text>
    </comment>
    <comment ref="U133" authorId="3" shapeId="0" xr:uid="{3697A603-A96C-43D0-AD95-618242B63855}">
      <text>
        <r>
          <rPr>
            <b/>
            <sz val="10"/>
            <color rgb="FF000000"/>
            <rFont val="Tahoma"/>
            <family val="2"/>
          </rPr>
          <t xml:space="preserve">GSF &gt; RSF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V150" authorId="2" shapeId="0" xr:uid="{B70CD1C5-908C-4521-A41D-62210A34FDCA}">
      <text>
        <r>
          <rPr>
            <b/>
            <sz val="9"/>
            <color rgb="FF000000"/>
            <rFont val="Tahoma"/>
            <family val="2"/>
          </rPr>
          <t>Andrew Seokjin Oh: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0.25% Guide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tc={2CE8CE88-F1F0-4297-A0CF-64723009C460}</author>
    <author>tc={DF6B719F-ACAB-4F3C-82D3-E60441BC3A30}</author>
    <author>박상희</author>
    <author>Andrew Seokjin Oh</author>
  </authors>
  <commentList>
    <comment ref="C9" authorId="0" shapeId="0" xr:uid="{BF6A92ED-680F-4061-A8AC-1989A62F1601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Assets for sales immediately after completion</t>
      </text>
    </comment>
    <comment ref="C10" authorId="1" shapeId="0" xr:uid="{61B476E6-5B2E-4933-999A-9E6F24EC5D20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Projected sales value after operation of the rental assets + Income within operation period</t>
      </text>
    </comment>
    <comment ref="U133" authorId="2" shapeId="0" xr:uid="{AADBCADE-2B7D-47B7-80A5-8E864D7B1B8A}">
      <text>
        <r>
          <rPr>
            <b/>
            <sz val="10"/>
            <color rgb="FF000000"/>
            <rFont val="Tahoma"/>
            <family val="2"/>
          </rPr>
          <t xml:space="preserve">GSF &gt; RSF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V150" authorId="3" shapeId="0" xr:uid="{D0C23957-574F-4CA4-A2F5-B4CDBB8ADF0E}">
      <text>
        <r>
          <rPr>
            <b/>
            <sz val="9"/>
            <color rgb="FF000000"/>
            <rFont val="Tahoma"/>
            <family val="2"/>
          </rPr>
          <t>Andrew Seokjin Oh: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0.25% Guide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tc={2CE8CE88-F1F0-4298-A0CF-64723009C460}</author>
    <author>tc={DF6B719F-ACAB-4F3D-82D3-E60441BC3A30}</author>
    <author>박상희</author>
    <author>Andrew Seokjin Oh</author>
  </authors>
  <commentList>
    <comment ref="C9" authorId="0" shapeId="0" xr:uid="{7305A3B4-8B72-4D3D-983E-BF0F64EE2DBC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Assets for sales immediately after completion</t>
      </text>
    </comment>
    <comment ref="C10" authorId="1" shapeId="0" xr:uid="{91FF3501-1F76-45A7-A95E-A0B9D0F0FF8E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Projected sales value after operation of the rental assets + Income within operation period</t>
      </text>
    </comment>
    <comment ref="U133" authorId="2" shapeId="0" xr:uid="{C912BBF3-2D2D-43F3-BDC1-07C41747D7C3}">
      <text>
        <r>
          <rPr>
            <b/>
            <sz val="10"/>
            <color rgb="FF000000"/>
            <rFont val="Tahoma"/>
            <family val="2"/>
          </rPr>
          <t xml:space="preserve">GSF &gt; RSF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V150" authorId="3" shapeId="0" xr:uid="{FF7AEAED-3CC0-414C-94B1-2A78592270FB}">
      <text>
        <r>
          <rPr>
            <b/>
            <sz val="9"/>
            <color rgb="FF000000"/>
            <rFont val="Tahoma"/>
            <family val="2"/>
          </rPr>
          <t>Andrew Seokjin Oh: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0.25% Guide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tc={2CE8CE88-F1F0-4299-A0CF-64723009C460}</author>
    <author>tc={DF6B719F-ACAB-4F3E-82D3-E60441BC3A30}</author>
    <author>박상희</author>
    <author>Andrew Seokjin Oh</author>
  </authors>
  <commentList>
    <comment ref="C9" authorId="0" shapeId="0" xr:uid="{4097F679-232C-47C6-8D43-600AB33EF825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Assets for sales immediately after completion</t>
      </text>
    </comment>
    <comment ref="C10" authorId="1" shapeId="0" xr:uid="{7CD94C05-A130-4E1D-9F32-1602B7661831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Projected sales value after operation of the rental assets + Income within operation period</t>
      </text>
    </comment>
    <comment ref="U133" authorId="2" shapeId="0" xr:uid="{C50A7841-5CBA-4124-89ED-8892519B190B}">
      <text>
        <r>
          <rPr>
            <b/>
            <sz val="10"/>
            <color rgb="FF000000"/>
            <rFont val="Tahoma"/>
            <family val="2"/>
          </rPr>
          <t xml:space="preserve">GSF &gt; RSF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V150" authorId="3" shapeId="0" xr:uid="{249FADAA-C4BB-4519-AA74-65C6A4A10827}">
      <text>
        <r>
          <rPr>
            <b/>
            <sz val="9"/>
            <color rgb="FF000000"/>
            <rFont val="Tahoma"/>
            <family val="2"/>
          </rPr>
          <t>Andrew Seokjin Oh: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0.25% Guide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tc={2CE8CE88-F1F0-429A-A0CF-64723009C460}</author>
    <author>tc={DF6B719F-ACAB-4F3F-82D3-E60441BC3A30}</author>
    <author>박상희</author>
    <author>Andrew Seokjin Oh</author>
  </authors>
  <commentList>
    <comment ref="C9" authorId="0" shapeId="0" xr:uid="{C3570F00-1B9B-4D58-A15C-5BDD322CA4AD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Assets for sales immediately after completion</t>
      </text>
    </comment>
    <comment ref="C10" authorId="1" shapeId="0" xr:uid="{AD46A316-025B-4CD7-9D01-A95C68C7583B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Projected sales value after operation of the rental assets + Income within operation period</t>
      </text>
    </comment>
    <comment ref="U133" authorId="2" shapeId="0" xr:uid="{B0E50E40-AFDF-4B96-A3DA-50856A52BF8E}">
      <text>
        <r>
          <rPr>
            <b/>
            <sz val="10"/>
            <color rgb="FF000000"/>
            <rFont val="Tahoma"/>
            <family val="2"/>
          </rPr>
          <t xml:space="preserve">GSF &gt; RSF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V150" authorId="3" shapeId="0" xr:uid="{A9A9C9DB-1F77-4068-BF62-C57BC4B33166}">
      <text>
        <r>
          <rPr>
            <b/>
            <sz val="9"/>
            <color rgb="FF000000"/>
            <rFont val="Tahoma"/>
            <family val="2"/>
          </rPr>
          <t>Andrew Seokjin Oh: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0.25% Guide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tc={2CE8CE88-F1F0-429B-A0CF-64723009C460}</author>
    <author>tc={DF6B719F-ACAB-4F40-82D3-E60441BC3A30}</author>
    <author>박상희</author>
    <author>Andrew Seokjin Oh</author>
  </authors>
  <commentList>
    <comment ref="C9" authorId="0" shapeId="0" xr:uid="{57FD7C5B-534C-4695-9386-7DE742D887A9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Assets for sales immediately after completion</t>
      </text>
    </comment>
    <comment ref="C10" authorId="1" shapeId="0" xr:uid="{13BF182E-A684-45EA-80F1-4C98EB01C43C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Projected sales value after operation of the rental assets + Income within operation period</t>
      </text>
    </comment>
    <comment ref="U133" authorId="2" shapeId="0" xr:uid="{6B49F0DB-3363-4349-83FE-FC0925BC1917}">
      <text>
        <r>
          <rPr>
            <b/>
            <sz val="10"/>
            <color rgb="FF000000"/>
            <rFont val="Tahoma"/>
            <family val="2"/>
          </rPr>
          <t xml:space="preserve">GSF &gt; RSF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V150" authorId="3" shapeId="0" xr:uid="{44F8B81D-A8EA-49A5-A948-75D618ACE4FA}">
      <text>
        <r>
          <rPr>
            <b/>
            <sz val="9"/>
            <color rgb="FF000000"/>
            <rFont val="Tahoma"/>
            <family val="2"/>
          </rPr>
          <t>Andrew Seokjin Oh: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0.25% Guide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tc={2CE8CE88-F1F0-429C-A0CF-64723009C460}</author>
    <author>tc={DF6B719F-ACAB-4F41-82D3-E60441BC3A30}</author>
    <author>박상희</author>
    <author>Andrew Seokjin Oh</author>
  </authors>
  <commentList>
    <comment ref="C9" authorId="0" shapeId="0" xr:uid="{A3BAC408-0E7B-484F-A7CB-D5DAB874E228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Assets for sales immediately after completion</t>
      </text>
    </comment>
    <comment ref="C10" authorId="1" shapeId="0" xr:uid="{382A26FB-CD3D-4994-8211-8DC4583B7C03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Projected sales value after operation of the rental assets + Income within operation period</t>
      </text>
    </comment>
    <comment ref="U133" authorId="2" shapeId="0" xr:uid="{C2CED675-F417-4373-AD7B-ABF84EE055CA}">
      <text>
        <r>
          <rPr>
            <b/>
            <sz val="10"/>
            <color rgb="FF000000"/>
            <rFont val="Tahoma"/>
            <family val="2"/>
          </rPr>
          <t xml:space="preserve">GSF &gt; RSF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V150" authorId="3" shapeId="0" xr:uid="{B0F9E7A4-8107-40C4-8822-B5588BB22D49}">
      <text>
        <r>
          <rPr>
            <b/>
            <sz val="9"/>
            <color rgb="FF000000"/>
            <rFont val="Tahoma"/>
            <family val="2"/>
          </rPr>
          <t>Andrew Seokjin Oh: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0.25% Guide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<sst xmlns="http://schemas.openxmlformats.org/spreadsheetml/2006/main" count="8453" uniqueCount="575">
  <si>
    <t>Total Project Outline</t>
  </si>
  <si>
    <t>Development Value (At Completion)</t>
  </si>
  <si>
    <t>Development Cost</t>
  </si>
  <si>
    <t>Gross Building Square Footage</t>
  </si>
  <si>
    <t>Number of Residential Units Delivered - Market Rate</t>
  </si>
  <si>
    <t>Number of Residential Units Delivered - Affordable</t>
  </si>
  <si>
    <t>Affordability Ratio</t>
  </si>
  <si>
    <t>Sources and Uses</t>
  </si>
  <si>
    <t>Sources</t>
  </si>
  <si>
    <t>Debt</t>
  </si>
  <si>
    <t>Subsidy</t>
  </si>
  <si>
    <t>Equity</t>
  </si>
  <si>
    <t>Total</t>
  </si>
  <si>
    <t>Uses</t>
  </si>
  <si>
    <t>Land</t>
  </si>
  <si>
    <t>Building</t>
  </si>
  <si>
    <t>Infrastructure</t>
  </si>
  <si>
    <t>Financial</t>
  </si>
  <si>
    <t>Project Metrics</t>
  </si>
  <si>
    <t>Equity Multiple</t>
  </si>
  <si>
    <t>Levered IRR</t>
  </si>
  <si>
    <t>Unlevered IRR</t>
  </si>
  <si>
    <t>Development</t>
  </si>
  <si>
    <t>Financing</t>
  </si>
  <si>
    <t>Rent &amp; Sales Price</t>
  </si>
  <si>
    <t>Building Specification</t>
  </si>
  <si>
    <t>Construciton Cost (Hard Cost) Table</t>
  </si>
  <si>
    <t>Loan</t>
  </si>
  <si>
    <t>Commercial</t>
  </si>
  <si>
    <t>Unit Type % Table</t>
  </si>
  <si>
    <t>Multifamily 1</t>
  </si>
  <si>
    <t>per GSF</t>
  </si>
  <si>
    <t>Construction Loan Interest Rate</t>
  </si>
  <si>
    <t>Category</t>
  </si>
  <si>
    <t>Rent/SF(NNN)</t>
  </si>
  <si>
    <t>Sales Price/SF</t>
  </si>
  <si>
    <t>Multifamily Market Rate</t>
  </si>
  <si>
    <t>Multifamily 2</t>
  </si>
  <si>
    <t>Construction Loan Origination Fee</t>
  </si>
  <si>
    <t>of loan amount</t>
  </si>
  <si>
    <t>Retail</t>
  </si>
  <si>
    <t>Studio</t>
  </si>
  <si>
    <t>Multifamily + Retail 1</t>
  </si>
  <si>
    <t>Permanent Loan Interest Rate</t>
  </si>
  <si>
    <t>Laboratory</t>
  </si>
  <si>
    <t>1BR</t>
  </si>
  <si>
    <t>Multifamily + Retail 2</t>
  </si>
  <si>
    <t>Permanent Loan Origination</t>
  </si>
  <si>
    <t>Museum</t>
  </si>
  <si>
    <t>2BR</t>
  </si>
  <si>
    <t>Retail Buildings</t>
  </si>
  <si>
    <t>University</t>
  </si>
  <si>
    <t>3BR</t>
  </si>
  <si>
    <t>Condo + Retail 1</t>
  </si>
  <si>
    <t>LTC Table (Construction Loan)</t>
  </si>
  <si>
    <t>Condo Market Rate</t>
  </si>
  <si>
    <t>Condo +  Retail 2</t>
  </si>
  <si>
    <t>Component</t>
  </si>
  <si>
    <t>LTC</t>
  </si>
  <si>
    <t>Student Housing</t>
  </si>
  <si>
    <t>Cost based on the Total Project Cost for each Component</t>
  </si>
  <si>
    <t>Residential</t>
  </si>
  <si>
    <t>Laboratory 1</t>
  </si>
  <si>
    <t>Multifamily</t>
  </si>
  <si>
    <t>Condo</t>
  </si>
  <si>
    <t>Laboratory 2</t>
  </si>
  <si>
    <t>Market Rate</t>
  </si>
  <si>
    <t>Rent/Month</t>
  </si>
  <si>
    <t>Sales Price</t>
  </si>
  <si>
    <t>Multifamily Affordable</t>
  </si>
  <si>
    <t>Civic+Retail</t>
  </si>
  <si>
    <t>Average Size in SF</t>
  </si>
  <si>
    <t>-</t>
  </si>
  <si>
    <t>Parking Lot</t>
  </si>
  <si>
    <t>Price/SF</t>
  </si>
  <si>
    <t>Construction Cost (Soft Cost)</t>
  </si>
  <si>
    <t>Condo Affordable</t>
  </si>
  <si>
    <t>Hard Cost Contingency</t>
  </si>
  <si>
    <t>of Hard Cost</t>
  </si>
  <si>
    <t>Municipal Fees and Allowances</t>
  </si>
  <si>
    <t>of total Hard Cost</t>
  </si>
  <si>
    <t>Share of Infrastructure</t>
  </si>
  <si>
    <t>Allocation from Development Program</t>
  </si>
  <si>
    <t>Legal</t>
  </si>
  <si>
    <t>Land Closing Costs/commissions</t>
  </si>
  <si>
    <t xml:space="preserve">Design </t>
  </si>
  <si>
    <t>Developer Fee</t>
  </si>
  <si>
    <t>LTV Table (Permanent Loan)</t>
  </si>
  <si>
    <t>Construction Management Fee</t>
  </si>
  <si>
    <t>District</t>
  </si>
  <si>
    <t>LTV</t>
  </si>
  <si>
    <t>Affordable</t>
  </si>
  <si>
    <t>Sale Price</t>
  </si>
  <si>
    <t>Taxes</t>
  </si>
  <si>
    <t>1-A</t>
  </si>
  <si>
    <t>Value based on the Combined Sales Value 
(NOI/Exit Cap) after Operations for the District</t>
  </si>
  <si>
    <t>Efficiency Ratio Table</t>
  </si>
  <si>
    <t>Insurance</t>
  </si>
  <si>
    <t>1-B</t>
  </si>
  <si>
    <t>Multifamily and Condo</t>
  </si>
  <si>
    <t>Marketing, FFE and Preleasing</t>
  </si>
  <si>
    <t>Estimate</t>
  </si>
  <si>
    <t>2-C</t>
  </si>
  <si>
    <t>Operating Deficit</t>
  </si>
  <si>
    <t>Months</t>
  </si>
  <si>
    <t>2-D</t>
  </si>
  <si>
    <t>Commercial Tenant Improvements</t>
  </si>
  <si>
    <t>per SF</t>
  </si>
  <si>
    <t>2-E</t>
  </si>
  <si>
    <t>Commercial Brokerage</t>
  </si>
  <si>
    <t>on a five year term</t>
  </si>
  <si>
    <t>3-F</t>
  </si>
  <si>
    <t>Additional Contingency</t>
  </si>
  <si>
    <t>of Costs excluding Hard Costs</t>
  </si>
  <si>
    <t>3-G</t>
  </si>
  <si>
    <t>4-H</t>
  </si>
  <si>
    <t>Parking</t>
  </si>
  <si>
    <t>4-I</t>
  </si>
  <si>
    <t>SF per space</t>
  </si>
  <si>
    <t>4-J</t>
  </si>
  <si>
    <t>Residential Monthly</t>
  </si>
  <si>
    <t>Non-Residential Monthly</t>
  </si>
  <si>
    <t>Daily Rate</t>
  </si>
  <si>
    <t>Operations</t>
  </si>
  <si>
    <t>Basic</t>
  </si>
  <si>
    <t>Hold Period</t>
  </si>
  <si>
    <t>Years</t>
  </si>
  <si>
    <t>NOI Escalation</t>
  </si>
  <si>
    <t>OPEX %</t>
  </si>
  <si>
    <t>Additional Mixed use revenues after parking</t>
  </si>
  <si>
    <t>of gross revenue</t>
  </si>
  <si>
    <t>NOI Escalation Rate Table</t>
  </si>
  <si>
    <t>Escalation Rate</t>
  </si>
  <si>
    <t>Exit Cap Rate</t>
  </si>
  <si>
    <t>Cap Rate</t>
  </si>
  <si>
    <t>2025 Site parcels</t>
  </si>
  <si>
    <t>Parcel Number</t>
  </si>
  <si>
    <t>Owner</t>
  </si>
  <si>
    <t>Address</t>
  </si>
  <si>
    <t>Acre</t>
  </si>
  <si>
    <t>SF</t>
  </si>
  <si>
    <t>Status</t>
  </si>
  <si>
    <t>105-02-001</t>
  </si>
  <si>
    <t>Lake Shore Acquisition Company LLC</t>
  </si>
  <si>
    <t>6800 South Marginal Ave</t>
  </si>
  <si>
    <t>Given</t>
  </si>
  <si>
    <t>105-02-007</t>
  </si>
  <si>
    <t>City of Cleveland Land Reutlization Program</t>
  </si>
  <si>
    <t>5700 South Marginal Road</t>
  </si>
  <si>
    <t>Acquisition or Lease Required</t>
  </si>
  <si>
    <t>105-02-002</t>
  </si>
  <si>
    <t>5500 North Maringal Cleveland Memorial Shwy Drive</t>
  </si>
  <si>
    <t>Development Program</t>
  </si>
  <si>
    <t>Number of Components per District</t>
  </si>
  <si>
    <t>Phase</t>
  </si>
  <si>
    <t>Buildings</t>
  </si>
  <si>
    <t>GBA SF</t>
  </si>
  <si>
    <t>Development Value
(At Close Out)</t>
  </si>
  <si>
    <t>Return on Cost</t>
  </si>
  <si>
    <t>Residential Units (Market)</t>
  </si>
  <si>
    <t>Residential Units (Affordable)</t>
  </si>
  <si>
    <t>Phase 1</t>
  </si>
  <si>
    <t>Phase 2</t>
  </si>
  <si>
    <t>Phase 3</t>
  </si>
  <si>
    <t>Phase 4</t>
  </si>
  <si>
    <t>Subsidy Allocation</t>
  </si>
  <si>
    <t>Item</t>
  </si>
  <si>
    <t>Total Amount</t>
  </si>
  <si>
    <t>CHIF</t>
  </si>
  <si>
    <t>O</t>
  </si>
  <si>
    <t>LIHTC</t>
  </si>
  <si>
    <t>Cleveland Development Advisors</t>
  </si>
  <si>
    <t>HUD Choice Neighborhoods</t>
  </si>
  <si>
    <t>Ohio Opportunity Zone Tax Credit</t>
  </si>
  <si>
    <t>TIF</t>
  </si>
  <si>
    <t>Infrastructure Allocation</t>
  </si>
  <si>
    <t>cost</t>
  </si>
  <si>
    <t>Total Cost</t>
  </si>
  <si>
    <t>Main Road</t>
  </si>
  <si>
    <t>3M / mile</t>
  </si>
  <si>
    <t>Other Roads</t>
  </si>
  <si>
    <t>1.5M / mile</t>
  </si>
  <si>
    <t>Underpass</t>
  </si>
  <si>
    <t>75% city subsidized</t>
  </si>
  <si>
    <t>Public Transit</t>
  </si>
  <si>
    <t>Water Supply</t>
  </si>
  <si>
    <t>$300/foot</t>
  </si>
  <si>
    <t>Sewer&amp;Drainge</t>
  </si>
  <si>
    <t>Electrical Grid (Underground)</t>
  </si>
  <si>
    <t>Environmental Remediation</t>
  </si>
  <si>
    <t>$50,000/acre</t>
  </si>
  <si>
    <t>Stormwater Management</t>
  </si>
  <si>
    <t>Solar Panels</t>
  </si>
  <si>
    <t>Bioswales and Landscaping</t>
  </si>
  <si>
    <t>$100/foot</t>
  </si>
  <si>
    <t>Plaza 1</t>
  </si>
  <si>
    <t>Plaza 2</t>
  </si>
  <si>
    <t>Land Cost ($3/SQF)</t>
  </si>
  <si>
    <t>Timeline</t>
  </si>
  <si>
    <t>Pre-Development</t>
  </si>
  <si>
    <t>Construction</t>
  </si>
  <si>
    <t>Close-Out</t>
  </si>
  <si>
    <t>Total Period</t>
  </si>
  <si>
    <t>PD Start</t>
  </si>
  <si>
    <t>PD End</t>
  </si>
  <si>
    <t>PD Duration</t>
  </si>
  <si>
    <t>CS Start</t>
  </si>
  <si>
    <t>CS End</t>
  </si>
  <si>
    <t>CS Duration</t>
  </si>
  <si>
    <t>CO Start</t>
  </si>
  <si>
    <t>CO End</t>
  </si>
  <si>
    <t>CO Duration</t>
  </si>
  <si>
    <t>Pre-Development (15 months)</t>
  </si>
  <si>
    <t>Construction (36 months)</t>
  </si>
  <si>
    <t>Construction (27 months)</t>
  </si>
  <si>
    <t>3-H</t>
  </si>
  <si>
    <t>3-I</t>
  </si>
  <si>
    <t>3-J</t>
  </si>
  <si>
    <t>Building No</t>
  </si>
  <si>
    <t>Building Name</t>
  </si>
  <si>
    <t>Sell/Rent/Masterlease</t>
  </si>
  <si>
    <t>Building Type</t>
  </si>
  <si>
    <t>Residential Type 1 (Mutlifamily-Market)</t>
  </si>
  <si>
    <t>Residential Type 2 (Condo-Market)</t>
  </si>
  <si>
    <t>Residential Type 3 (Mutlifamily-Affordable)</t>
  </si>
  <si>
    <t>Residential Type 4 (Condo-Affordable)</t>
  </si>
  <si>
    <t>Residential Type 5 (Student Housing)</t>
  </si>
  <si>
    <t>Commercial Type 1 (Retail)</t>
  </si>
  <si>
    <t>Commercial Type 2 (Laboratory-Office)</t>
  </si>
  <si>
    <t>Educational</t>
  </si>
  <si>
    <t>Civic</t>
  </si>
  <si>
    <t>Multifamily-Market</t>
  </si>
  <si>
    <t>Multifamily-Market-Sale</t>
  </si>
  <si>
    <t>Multifamily-Affordable</t>
  </si>
  <si>
    <t>Multifamily-Affordable-Sale</t>
  </si>
  <si>
    <t>Parking Criteria</t>
  </si>
  <si>
    <t>9,10,27</t>
  </si>
  <si>
    <t>Sell</t>
  </si>
  <si>
    <t>Type 1</t>
  </si>
  <si>
    <t>Non-Residential</t>
  </si>
  <si>
    <t>Retail Reduced 100,000</t>
  </si>
  <si>
    <t>Parking Reduced 80,000</t>
  </si>
  <si>
    <t>Lab Redcued 100,000</t>
  </si>
  <si>
    <t>1,2</t>
  </si>
  <si>
    <t>Maseterlease</t>
  </si>
  <si>
    <t>Type 3 over Type 1</t>
  </si>
  <si>
    <t>Rent</t>
  </si>
  <si>
    <t>11,12</t>
  </si>
  <si>
    <t>13,14</t>
  </si>
  <si>
    <t>Sell + Rent</t>
  </si>
  <si>
    <t>25,26</t>
  </si>
  <si>
    <t>15,16</t>
  </si>
  <si>
    <t>Parking 100,000 Increased, 80,000 / 20,000 Residential Reduced twice</t>
  </si>
  <si>
    <t>23,24</t>
  </si>
  <si>
    <t xml:space="preserve"> </t>
  </si>
  <si>
    <t>18,19</t>
  </si>
  <si>
    <t>20,21</t>
  </si>
  <si>
    <t>40,000 Reduced</t>
  </si>
  <si>
    <t>MF - market</t>
  </si>
  <si>
    <t>Condo - market</t>
  </si>
  <si>
    <t>MF - affordable</t>
  </si>
  <si>
    <t>Condo - affordable</t>
  </si>
  <si>
    <t>Market Resi</t>
  </si>
  <si>
    <t>Affordable Resi</t>
  </si>
  <si>
    <t>Laboratory-Office</t>
  </si>
  <si>
    <t>Residential - Rent Comps</t>
  </si>
  <si>
    <t>45 Erieview Plz-The Bell</t>
  </si>
  <si>
    <t>99 W Saint Clair Ave - Standard Building</t>
  </si>
  <si>
    <t>526 Superior Ave E - Residences at Leader</t>
  </si>
  <si>
    <t>1701 E 12th St - Reserve Square</t>
  </si>
  <si>
    <t>1600 Euclid Ave - The Lumen</t>
  </si>
  <si>
    <t>10001 Chester Ave - Innova</t>
  </si>
  <si>
    <t>10730 Euclid Ave - One University Circle</t>
  </si>
  <si>
    <t>1999 Circle Dr - Centric</t>
  </si>
  <si>
    <t>11471 Euclid Ave - Uptown Apartments</t>
  </si>
  <si>
    <t>Location</t>
  </si>
  <si>
    <t>Location-wide</t>
  </si>
  <si>
    <t>Downtown</t>
  </si>
  <si>
    <t>University Circle</t>
  </si>
  <si>
    <t>Type</t>
  </si>
  <si>
    <t>Apartment</t>
  </si>
  <si>
    <t>Apartments Condo</t>
  </si>
  <si>
    <t>Specific</t>
  </si>
  <si>
    <t>4-Star High Rise Apartments</t>
  </si>
  <si>
    <t>4-Star High Rise Apartments Condo</t>
  </si>
  <si>
    <t>4-Star Mid Rise Apartments</t>
  </si>
  <si>
    <t># of Buildings</t>
  </si>
  <si>
    <t>Stories</t>
  </si>
  <si>
    <t>GBA</t>
  </si>
  <si>
    <t>Typical Floor</t>
  </si>
  <si>
    <t>Land Size (ac)</t>
  </si>
  <si>
    <t>Land Size (sf)</t>
  </si>
  <si>
    <t>FAR</t>
  </si>
  <si>
    <t>Zoning</t>
  </si>
  <si>
    <t>GR</t>
  </si>
  <si>
    <t>Construction Start</t>
  </si>
  <si>
    <t>Construction End</t>
  </si>
  <si>
    <t>Construction Period</t>
  </si>
  <si>
    <t>Year Renovated</t>
  </si>
  <si>
    <t>Rental Type</t>
  </si>
  <si>
    <t>Market</t>
  </si>
  <si>
    <t>Market/Affordable</t>
  </si>
  <si>
    <t>Affordable Units</t>
  </si>
  <si>
    <t>Affordable Type</t>
  </si>
  <si>
    <t>Rent Restricted</t>
  </si>
  <si>
    <t>Opportunity Zone</t>
  </si>
  <si>
    <t>Yes</t>
  </si>
  <si>
    <t>Vacancy</t>
  </si>
  <si>
    <t>Unit Composition</t>
  </si>
  <si>
    <t>1 Bed</t>
  </si>
  <si>
    <t>2 Bed</t>
  </si>
  <si>
    <t>3 Bed</t>
  </si>
  <si>
    <t>4 Bed</t>
  </si>
  <si>
    <t>Unit Composition Ratio</t>
  </si>
  <si>
    <t>Average Size (sf)</t>
  </si>
  <si>
    <t>Average Total</t>
  </si>
  <si>
    <t>Average Asking Rent/Unit</t>
  </si>
  <si>
    <t>Average total</t>
  </si>
  <si>
    <t>Average Asking Rent/SF</t>
  </si>
  <si>
    <t>Condo Sales Price market comps</t>
  </si>
  <si>
    <t>701 W Lakeside Ave</t>
  </si>
  <si>
    <t>https://www.highrises.com/listings/701-w-lakeside-ave-ph-2d_cleveland_oh_44113_3547609853</t>
  </si>
  <si>
    <t>Unit Type</t>
  </si>
  <si>
    <t>Price</t>
  </si>
  <si>
    <t>3b</t>
  </si>
  <si>
    <t>2b</t>
  </si>
  <si>
    <t>Affordable sales cap</t>
  </si>
  <si>
    <t>Multifamily Rent Maket Comps</t>
  </si>
  <si>
    <t>Flat at East Bank</t>
  </si>
  <si>
    <t>https://www.zillow.com/cleveland-oh/luxury-apartments/?utm_source=chatgpt.com</t>
  </si>
  <si>
    <t>1bed</t>
  </si>
  <si>
    <t>2bed</t>
  </si>
  <si>
    <t>3bed</t>
  </si>
  <si>
    <t>4bed</t>
  </si>
  <si>
    <t xml:space="preserve">The schofield </t>
  </si>
  <si>
    <t>Material</t>
  </si>
  <si>
    <t>Installation</t>
  </si>
  <si>
    <t>Average</t>
  </si>
  <si>
    <t>+30 City Average</t>
  </si>
  <si>
    <t>+4.20</t>
  </si>
  <si>
    <t>Phoenix</t>
  </si>
  <si>
    <t>Tucson</t>
  </si>
  <si>
    <t>Los Angeles</t>
  </si>
  <si>
    <t>San Diego</t>
  </si>
  <si>
    <t>San Francisco</t>
  </si>
  <si>
    <t>San Jose</t>
  </si>
  <si>
    <t>Denver</t>
  </si>
  <si>
    <t>Washington</t>
  </si>
  <si>
    <t>Miami</t>
  </si>
  <si>
    <t>Tampa</t>
  </si>
  <si>
    <t>Atlanta</t>
  </si>
  <si>
    <t>Chicago</t>
  </si>
  <si>
    <t>Bloomington</t>
  </si>
  <si>
    <t>Indianapolis</t>
  </si>
  <si>
    <t>Kansas City</t>
  </si>
  <si>
    <t>Wichita</t>
  </si>
  <si>
    <t>Louisville</t>
  </si>
  <si>
    <t>New Orleans</t>
  </si>
  <si>
    <t>https://neo-trans.blog/2024/07/23/welleon-gets-an-a-in-testing-clevelands-market/</t>
  </si>
  <si>
    <t>https://neo-trans.blog/2024/09/24/library-lofts-turning-next-page-at-circle-square/</t>
  </si>
  <si>
    <t>Estimated Total Cost</t>
  </si>
  <si>
    <t>Residential Portion (SF)</t>
  </si>
  <si>
    <t>$/SF</t>
  </si>
  <si>
    <t>10555 Euclid Ave - Library Lofts</t>
  </si>
  <si>
    <t>5454 Detroit Ave - Welleon</t>
  </si>
  <si>
    <t>Luxry Type Apartment + 17,000SF Commercial Space Blended</t>
  </si>
  <si>
    <t>Other Sources</t>
  </si>
  <si>
    <t>https://rebusinessonline.com/driven-by-multifamily-construction-boom-cleveland-is-no-longer-a-secondary-market/</t>
  </si>
  <si>
    <t>https://neo-trans.blog/2019/07/31/here-come-clevelands-mid-rises/</t>
  </si>
  <si>
    <t>https://www.multifamily.loans/apartment-finance-blog/multifamily-construction-costs-an-investor-guide/#multifamily-construction-costs-the-basics</t>
  </si>
  <si>
    <t>https://www.autodesk.com/blogs/construction/commercial-construction-cost-per-square-foot/#:~:text=When%20it%20comes%20to%20a,stands%20between%20$537%20and%20$762.</t>
  </si>
  <si>
    <t>https://www.solutionsgc.com/cost-of-commercial-construction-per-square-foot-in-the-us/</t>
  </si>
  <si>
    <t>ALL Draw-all parcels</t>
  </si>
  <si>
    <t>TOTAL</t>
  </si>
  <si>
    <t>Quarter----&gt;</t>
  </si>
  <si>
    <t>Total Project Cash Flow</t>
  </si>
  <si>
    <t>Leveraged Quarterly IRR</t>
  </si>
  <si>
    <t>Leveraged Annual IRR</t>
  </si>
  <si>
    <t>UNLeveraged Quarterly TOTAL Cash flow</t>
  </si>
  <si>
    <t>UNLeveraged Quarterly IRR</t>
  </si>
  <si>
    <t>UNLeveraged Annual IRR</t>
  </si>
  <si>
    <t>DEVELOPMENT PLAN</t>
  </si>
  <si>
    <t>Total Project Overview</t>
  </si>
  <si>
    <t>COSTS</t>
  </si>
  <si>
    <t>Total NOI Generated After Close-Out</t>
  </si>
  <si>
    <t>Budget</t>
  </si>
  <si>
    <t>Terminal NOI</t>
  </si>
  <si>
    <t>Hard Costs for Construction</t>
  </si>
  <si>
    <t>Blended NOI Escalation Rate</t>
  </si>
  <si>
    <t>Demolition</t>
  </si>
  <si>
    <t>Asset Value - Sale after Completion</t>
  </si>
  <si>
    <t>Land Cost</t>
  </si>
  <si>
    <t>Asset Value - Sale after Operations</t>
  </si>
  <si>
    <t>Infrastructure Cost</t>
  </si>
  <si>
    <t>Does the Phase Include Sales Type?</t>
  </si>
  <si>
    <t>SOURCES</t>
  </si>
  <si>
    <t>Ratio</t>
  </si>
  <si>
    <t>Total Sources</t>
  </si>
  <si>
    <t>Sources and Uses Match?</t>
  </si>
  <si>
    <t>YIELD INDICATORS</t>
  </si>
  <si>
    <t>Total Distributions</t>
  </si>
  <si>
    <t>Equity multiple</t>
  </si>
  <si>
    <t>Leveraged Project IRR</t>
  </si>
  <si>
    <t>Commercial brokerage</t>
  </si>
  <si>
    <t>UnLeveraged Project IRR</t>
  </si>
  <si>
    <t>Yield on Cost</t>
  </si>
  <si>
    <t>Debt Yield at Completion</t>
  </si>
  <si>
    <t>Construction Loan Interest</t>
  </si>
  <si>
    <t>Total Project Cost</t>
  </si>
  <si>
    <t>Total Project Cost (LESS Subsidy)</t>
  </si>
  <si>
    <t>Individual Components</t>
  </si>
  <si>
    <t>Gross Building Area</t>
  </si>
  <si>
    <t>Sales Type Included?</t>
  </si>
  <si>
    <t>Condo-Market</t>
  </si>
  <si>
    <t>Condo-Affordable</t>
  </si>
  <si>
    <t>Commercial Type 1</t>
  </si>
  <si>
    <t>Commercial Type 2</t>
  </si>
  <si>
    <t>Parking Within?</t>
  </si>
  <si>
    <t>Parking Allocation</t>
  </si>
  <si>
    <t>Net Rentable Area SF</t>
  </si>
  <si>
    <t>Total # of Units Available</t>
  </si>
  <si>
    <t>Quick Rent Adjuster</t>
  </si>
  <si>
    <t/>
  </si>
  <si>
    <t>$/SF/Mo.</t>
  </si>
  <si>
    <t>Total Annual Revenue</t>
  </si>
  <si>
    <t>Totals:</t>
  </si>
  <si>
    <t>Averages:</t>
  </si>
  <si>
    <t># of Units</t>
  </si>
  <si>
    <t>Unit Size (SF)</t>
  </si>
  <si>
    <t>Total Sales Value</t>
  </si>
  <si>
    <t>Total # of Beds Available</t>
  </si>
  <si>
    <t>Bedroom Models</t>
  </si>
  <si>
    <t>$/SF/Mo./bed</t>
  </si>
  <si>
    <t>Total Annual</t>
  </si>
  <si>
    <t>Commercial Component 1</t>
  </si>
  <si>
    <t>Gross SF</t>
  </si>
  <si>
    <t>NRA or GLA</t>
  </si>
  <si>
    <t>NNN Rent</t>
  </si>
  <si>
    <t>Commercial Component 2</t>
  </si>
  <si>
    <t>Educational Component</t>
  </si>
  <si>
    <t>Civic Component</t>
  </si>
  <si>
    <t>Net Rentable Area SF (NRASF)</t>
  </si>
  <si>
    <t>Stalls</t>
  </si>
  <si>
    <t>$/stall</t>
  </si>
  <si>
    <t>NET OPERATING INCOME</t>
  </si>
  <si>
    <t>INCOME-Rental</t>
  </si>
  <si>
    <t>Per Unit Res</t>
  </si>
  <si>
    <t>Per SF Res</t>
  </si>
  <si>
    <t>Per SF Non-Res</t>
  </si>
  <si>
    <t>Un-Trended</t>
  </si>
  <si>
    <t>Gross Multifamily Rental Income</t>
  </si>
  <si>
    <t>Gross Commercial Rental Income</t>
  </si>
  <si>
    <t>Gross Civic Rental Income</t>
  </si>
  <si>
    <t>Gross Rental Income</t>
  </si>
  <si>
    <t>Other Income</t>
  </si>
  <si>
    <t>Parking Income - Residential</t>
  </si>
  <si>
    <t>Parking Income - Non-Residential</t>
  </si>
  <si>
    <t>Parking Income - Daily</t>
  </si>
  <si>
    <t>Additional Income</t>
  </si>
  <si>
    <t>Total Other Income</t>
  </si>
  <si>
    <t>Effective Gross Income</t>
  </si>
  <si>
    <t>EXPENSES</t>
  </si>
  <si>
    <t>Per SF Total</t>
  </si>
  <si>
    <t>Untrended</t>
  </si>
  <si>
    <t>Total Operating Expenses</t>
  </si>
  <si>
    <t>Net Operating Income</t>
  </si>
  <si>
    <t>BASIS</t>
  </si>
  <si>
    <t xml:space="preserve">   Budget     </t>
  </si>
  <si>
    <t>Drawn from Development Program</t>
  </si>
  <si>
    <t>SALES INCOME</t>
  </si>
  <si>
    <t>Sales Value (Sale Type) - Sale after Completion</t>
  </si>
  <si>
    <t>Gross Sales Proceeds</t>
  </si>
  <si>
    <t>Net Sales Proceeds</t>
  </si>
  <si>
    <t>Sales Value (Rental Type) - Sale after Operation</t>
  </si>
  <si>
    <t>Exit Cap at Close-Out</t>
  </si>
  <si>
    <t>Value at Close-Out</t>
  </si>
  <si>
    <t>Exit Cap after Operations</t>
  </si>
  <si>
    <t>Value after Operation</t>
  </si>
  <si>
    <t>Total Project Value</t>
  </si>
  <si>
    <t>Total Gross Sales Proceeds</t>
  </si>
  <si>
    <t>Total Net Sales Proceeds</t>
  </si>
  <si>
    <t>Total Project Income less Operation Income</t>
  </si>
  <si>
    <t>Action----&gt;</t>
  </si>
  <si>
    <t>Schedule----&gt;</t>
  </si>
  <si>
    <t>NOI</t>
  </si>
  <si>
    <t>&lt;---- columns to unhide for longer development period</t>
  </si>
  <si>
    <t>Quarter Number During Construction/Operation</t>
  </si>
  <si>
    <t>Close-Out Preparation Marker</t>
  </si>
  <si>
    <t>TOTAL (Check)</t>
  </si>
  <si>
    <t>Difference Checker</t>
  </si>
  <si>
    <t>Hard Cost Draw Percentage Cumulative</t>
  </si>
  <si>
    <t>Hard Cost Draw Percentage</t>
  </si>
  <si>
    <t>Difference Adjuster</t>
  </si>
  <si>
    <t>Equity DRAW</t>
  </si>
  <si>
    <t>TOTAL Equity</t>
  </si>
  <si>
    <t>Construction Loan Draw</t>
  </si>
  <si>
    <t>Construction Loan Repayment</t>
  </si>
  <si>
    <t>Net Sales Proceed (Sale after Completion)</t>
  </si>
  <si>
    <t>Permanent Loan Draw</t>
  </si>
  <si>
    <t>Permanent Loan Less Construction Loan</t>
  </si>
  <si>
    <t>NOI from Operations</t>
  </si>
  <si>
    <t>Permanent Loan Interest + Principal Payment</t>
  </si>
  <si>
    <t>Permenant Loan Repayment</t>
  </si>
  <si>
    <t>DSCR</t>
  </si>
  <si>
    <t>Net Sales Proceed (Sale after Operation)</t>
  </si>
  <si>
    <t>Total Cash Flow from Operation</t>
  </si>
  <si>
    <t>Unleveraged (Total Project)</t>
  </si>
  <si>
    <t>UnLeveraged QUARTERLY TOTAL Cash flow</t>
  </si>
  <si>
    <t>UnLeveraged QUARTERLY IRR</t>
  </si>
  <si>
    <t>UnLeveraged Annual IRR</t>
  </si>
  <si>
    <t>Levered (Total Project)</t>
  </si>
  <si>
    <t>Levered CF</t>
  </si>
  <si>
    <t>Leveraged QUARTERLY IRR</t>
  </si>
  <si>
    <t>Per Gross SF Res</t>
  </si>
  <si>
    <t>Per Gross SF Non-Res</t>
  </si>
  <si>
    <t>Rental Income: Multifamily</t>
  </si>
  <si>
    <t>Rental Income: Retail</t>
  </si>
  <si>
    <t>Permanent Loan Origination Fee</t>
  </si>
  <si>
    <t>Quarterly Debt Payment Summary</t>
  </si>
  <si>
    <t>Annual Debt Payment Summary</t>
  </si>
  <si>
    <t>Principal</t>
  </si>
  <si>
    <t>Loan Start Date</t>
  </si>
  <si>
    <t>Loan Term (Years)</t>
  </si>
  <si>
    <t>Amortization Schedule (Months)</t>
  </si>
  <si>
    <t>Interest Only Period (Start Month)</t>
  </si>
  <si>
    <t>Interest Only Period (End Month)</t>
  </si>
  <si>
    <t>Fixed Interest Rate Estimate</t>
  </si>
  <si>
    <t>Origination Fee</t>
  </si>
  <si>
    <t>Amortization Hold (I/O Period)</t>
  </si>
  <si>
    <t>YES</t>
  </si>
  <si>
    <t>Unamortized Principal</t>
  </si>
  <si>
    <t>Loan Repayment Period</t>
  </si>
  <si>
    <t>Period</t>
  </si>
  <si>
    <t>Month</t>
  </si>
  <si>
    <t>Year</t>
  </si>
  <si>
    <t>Quarter</t>
  </si>
  <si>
    <t>Amortization Mo.</t>
  </si>
  <si>
    <t>BoP</t>
  </si>
  <si>
    <t>Interest</t>
  </si>
  <si>
    <t>Payment</t>
  </si>
  <si>
    <t>EoP</t>
  </si>
  <si>
    <t>Residential Type 2 (Condominium-Market)</t>
  </si>
  <si>
    <t>Residential Type 4 (Condominium-Affordable)</t>
  </si>
  <si>
    <t>Educational/Civic Type</t>
  </si>
  <si>
    <t>Contains Residential?</t>
  </si>
  <si>
    <t>Contains Resi and Parking?</t>
  </si>
  <si>
    <t>No.of Residential Units (Market)</t>
  </si>
  <si>
    <t>No.of Residential Units (Affordable)</t>
  </si>
  <si>
    <t>A</t>
  </si>
  <si>
    <t>Multifamily+Retail 1</t>
  </si>
  <si>
    <t>Multifamily+Retail 2</t>
  </si>
  <si>
    <t>B</t>
  </si>
  <si>
    <t>Multifamily+Retail 3</t>
  </si>
  <si>
    <t>C</t>
  </si>
  <si>
    <t>D</t>
  </si>
  <si>
    <t>E</t>
  </si>
  <si>
    <t>University 1</t>
  </si>
  <si>
    <t>University 2</t>
  </si>
  <si>
    <t>Laboratory 5</t>
  </si>
  <si>
    <t>F</t>
  </si>
  <si>
    <t>Multifamily 3</t>
  </si>
  <si>
    <t>Multifamily 4</t>
  </si>
  <si>
    <t>G</t>
  </si>
  <si>
    <t>Multifamily 6</t>
  </si>
  <si>
    <t>Multifamily 7</t>
  </si>
  <si>
    <t>Multifamily 8</t>
  </si>
  <si>
    <t>H</t>
  </si>
  <si>
    <t>Laboratory 3</t>
  </si>
  <si>
    <t>Laboratory 4</t>
  </si>
  <si>
    <t>I</t>
  </si>
  <si>
    <t>Student Housing 1</t>
  </si>
  <si>
    <t>Student Housing 2</t>
  </si>
  <si>
    <t>Student Housing 3</t>
  </si>
  <si>
    <t>Multifamily 5</t>
  </si>
  <si>
    <t>Parking lot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</si>
</sst>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[Red]\-&quot;$&quot;#,##0"/>
    <numFmt numFmtId="165" formatCode="&quot;$&quot;#,##0.00"/>
    <numFmt numFmtId="166" formatCode="&quot;$&quot;#,##0"/>
    <numFmt numFmtId="167" formatCode="0.0%"/>
    <numFmt numFmtId="168" formatCode="_(* #,##0_);_(* \(#,##0\);_(* &quot;-&quot;??_);_(@_)"/>
    <numFmt numFmtId="169" formatCode="_(&quot;$&quot;* #,##0_);_(&quot;$&quot;* \(#,##0\);_(&quot;$&quot;* &quot;-&quot;??_);_(@_)"/>
    <numFmt numFmtId="170" formatCode="#,##0.0"/>
    <numFmt numFmtId="171" formatCode="0.0"/>
    <numFmt numFmtId="172" formatCode="[$-409]mmm\-yy;@"/>
    <numFmt numFmtId="173" formatCode="&quot;LESS:&quot;\ #%\ \ &quot;Selling Costs&quot;"/>
    <numFmt numFmtId="174" formatCode="&quot;LESS:&quot;\ #%\ &quot;Vacancy&quot;"/>
    <numFmt numFmtId="175" formatCode="&quot;Density=&quot;#\ &quot;Units/Acre&quot;"/>
    <numFmt numFmtId="176" formatCode="##,###&quot; SF&quot;"/>
    <numFmt numFmtId="177" formatCode="###&quot; SF&quot;"/>
    <numFmt numFmtId="178" formatCode="&quot;Studio---&quot;#%"/>
    <numFmt numFmtId="179" formatCode="###\ &quot;Units&quot;"/>
    <numFmt numFmtId="180" formatCode="##%\ \ \ &quot;Debt&quot;"/>
    <numFmt numFmtId="181" formatCode="##%\ \ \ &quot;Equity&quot;"/>
    <numFmt numFmtId="182" formatCode="#.##%\ "/>
    <numFmt numFmtId="183" formatCode="&quot;$&quot;#,##0;\(&quot;$&quot;#,##0\)"/>
    <numFmt numFmtId="184" formatCode="&quot;$&quot;#,##0.0;\(&quot;$&quot;#,##0.0\)"/>
    <numFmt numFmtId="185" formatCode="&quot;$&quot;#,##0.00;\(&quot;$&quot;#,##0.00\)"/>
    <numFmt numFmtId="186" formatCode="0.0_)\%;\(0.0\)\%;0.0_)\%;@_)_%"/>
    <numFmt numFmtId="187" formatCode="#,##0.0_)_%;\(#,##0.0\)_%;0.0_)_%;@_)_%"/>
    <numFmt numFmtId="188" formatCode="#,##0.0_);\(#,##0.0\);#,##0.0_);@_)"/>
    <numFmt numFmtId="189" formatCode="#,##0.0_);\(#,##0.0\)"/>
    <numFmt numFmtId="190" formatCode="&quot;$&quot;_(#,##0.00_);&quot;$&quot;\(#,##0.00\);&quot;$&quot;_(0.00_);@_)"/>
    <numFmt numFmtId="191" formatCode="&quot;$&quot;_(#,##0.00_);&quot;$&quot;\(#,##0.00\)"/>
    <numFmt numFmtId="192" formatCode="&quot;\&quot;_(#,##0.00_);&quot;\&quot;\(#,##0.00\)"/>
    <numFmt numFmtId="193" formatCode="#,##0.00_);\(#,##0.00\);0.00_);@_)"/>
    <numFmt numFmtId="194" formatCode="\€_(#,##0.00_);\€\(#,##0.00\);\€_(0.00_);@_)"/>
    <numFmt numFmtId="195" formatCode="#,##0_)\x;\(#,##0\)\x;0_)\x;@_)_x"/>
    <numFmt numFmtId="196" formatCode="#,##0.0_)\x;\(#,##0.0\)\x"/>
    <numFmt numFmtId="197" formatCode="#,##0_)_x;\(#,##0\)_x;0_)_x;@_)_x"/>
    <numFmt numFmtId="198" formatCode="m/d/yy\ h:mm\ AM/PM"/>
    <numFmt numFmtId="199" formatCode="#,##0.0_)_x;\(#,##0.0\)_x"/>
    <numFmt numFmtId="200" formatCode="0.0_)\%;\(0.0\)\%"/>
    <numFmt numFmtId="201" formatCode="mmmm\ d\,\ yyyy"/>
    <numFmt numFmtId="202" formatCode="#,##0.0_)_%;\(#,##0.0\)_%"/>
    <numFmt numFmtId="203" formatCode="General_)"/>
    <numFmt numFmtId="204" formatCode="0.0\ \x"/>
    <numFmt numFmtId="205" formatCode="&quot;$&quot;#,##0.000_);\(&quot;$&quot;#,##0.000\)"/>
    <numFmt numFmtId="206" formatCode="m\-d\-yy"/>
    <numFmt numFmtId="207" formatCode="#,##0_);\(#,##0\);&quot;- &quot;"/>
    <numFmt numFmtId="208" formatCode="0.0%;\(0.0%\);&quot;- &quot;"/>
    <numFmt numFmtId="209" formatCode="mm/dd/yy_)"/>
    <numFmt numFmtId="210" formatCode="#,##0;\-#,##0;&quot;-&quot;"/>
    <numFmt numFmtId="211" formatCode="#,##0.00;\(#,##0.00"/>
    <numFmt numFmtId="212" formatCode="d\ mmm\ yy"/>
    <numFmt numFmtId="213" formatCode="#,##0.0_);[Red]\(#,##0.0\)"/>
    <numFmt numFmtId="214" formatCode="_(* #,##0.0_);_(* \(#,##0.0\);_(* &quot;-&quot;?_);_(@_)"/>
    <numFmt numFmtId="215" formatCode="#,##0_%_);\(#,##0\)_%;**;@_%_)"/>
    <numFmt numFmtId="216" formatCode="#,##0_%_);\(#,##0\)_%;#,##0_%_);@_%_)"/>
    <numFmt numFmtId="217" formatCode="&quot;$&quot;#,##0\ ;\(&quot;$&quot;#,##0\)"/>
    <numFmt numFmtId="218" formatCode="&quot;$&quot;#,##0.0\ ;\(&quot;$&quot;#,##0.0\)"/>
    <numFmt numFmtId="219" formatCode="0.00\x"/>
    <numFmt numFmtId="220" formatCode="m/d/yyyy\ \ h:mm\ AM/PM"/>
    <numFmt numFmtId="221" formatCode="#,##0;\(#,##0\)"/>
    <numFmt numFmtId="222" formatCode="#,##0.0;\(#,##0.0\)"/>
    <numFmt numFmtId="223" formatCode="\ #,##0.0_);\(#,##0.0\);\-\ \ ??"/>
    <numFmt numFmtId="224" formatCode="&quot;$&quot;#,##0.0_);\(&quot;$&quot;#,##0.0\)"/>
    <numFmt numFmtId="225" formatCode="&quot;$&quot;#,##0.0"/>
    <numFmt numFmtId="226" formatCode="_-* #,##0.00\ [$€-1]_-;\-* #,##0.00\ [$€-1]_-;_-* &quot;-&quot;??\ [$€-1]_-"/>
    <numFmt numFmtId="227" formatCode="00"/>
    <numFmt numFmtId="228" formatCode=";;;"/>
    <numFmt numFmtId="229" formatCode="0.00_)"/>
    <numFmt numFmtId="230" formatCode="mm/yyyy"/>
    <numFmt numFmtId="231" formatCode="&quot;Standard&quot;_);;&quot;Reverse&quot;_)"/>
    <numFmt numFmtId="232" formatCode="_-* #,##0_-;\-* #,##0_-;_-* &quot;-&quot;_-;_-@_-"/>
    <numFmt numFmtId="233" formatCode="_-* #,##0.00_-;\-* #,##0.00_-;_-* &quot;-&quot;??_-;_-@_-"/>
    <numFmt numFmtId="234" formatCode="#,##0.00&quot; F&quot;_);\(#,##0.00&quot; F&quot;\)"/>
    <numFmt numFmtId="235" formatCode="#,##0&quot; $&quot;;\-#,##0&quot; $&quot;"/>
    <numFmt numFmtId="236" formatCode="_-* #,##0\ _F_-;\-* #,##0\ _F_-;_-* &quot;-&quot;\ _F_-;_-@_-"/>
    <numFmt numFmtId="237" formatCode="_-* #,##0.00\ &quot;F&quot;_-;\-* #,##0.00\ &quot;F&quot;_-;_-* &quot;-&quot;??\ &quot;F&quot;_-;_-@_-"/>
    <numFmt numFmtId="238" formatCode="_-* #,##0\ &quot;Esc.&quot;_-;\-* #,##0\ &quot;Esc.&quot;_-;_-* &quot;-&quot;\ &quot;Esc.&quot;_-;_-@_-"/>
    <numFmt numFmtId="239" formatCode="#,##0.00&quot;$&quot;;[Red]\-#,##0.00&quot;$&quot;"/>
    <numFmt numFmtId="240" formatCode="#,##0&quot; F&quot;_);[Red]\(#,##0&quot; F&quot;\)"/>
    <numFmt numFmtId="241" formatCode="#,##0.00&quot; F&quot;_);[Red]\(#,##0.00&quot; F&quot;\)"/>
    <numFmt numFmtId="242" formatCode="_-* #,##0\ &quot;F&quot;_-;\-* #,##0\ &quot;F&quot;_-;_-* &quot;-&quot;\ &quot;F&quot;_-;_-@_-"/>
    <numFmt numFmtId="243" formatCode="0.0_x_);\(0.0\)_x"/>
    <numFmt numFmtId="244" formatCode="0.0\x_);\(0.0\x\)"/>
    <numFmt numFmtId="245" formatCode="0.0\x_)_);&quot;NM&quot;_x_)_);0.0\x_)_);@_%_)"/>
    <numFmt numFmtId="246" formatCode="_(* #,##0.0000_);_(* \(#,##0.0000\);_(* &quot;-&quot;??_);_(@_)"/>
    <numFmt numFmtId="247" formatCode="0.0%;\(0.0%\)"/>
    <numFmt numFmtId="248" formatCode="#,##0_ "/>
    <numFmt numFmtId="249" formatCode="&quot;$&quot;#,##0.00_);\(&quot;$&quot;#,##0.00\);\-\ ??"/>
    <numFmt numFmtId="250" formatCode="[&lt;=9999999]###\-####;\(###\)\ ###\-####"/>
    <numFmt numFmtId="251" formatCode="#,##0.0\%_);\(#,##0.0\%\);#,##0.0\%_);@_%_)"/>
    <numFmt numFmtId="252" formatCode="#,##0.0_x\);\(#,##0.0\)"/>
    <numFmt numFmtId="253" formatCode="_(&quot;$&quot;* #,##0.0000000000000_);_(&quot;$&quot;* \(#,##0.0000000000000\);_(&quot;$&quot;* &quot;-&quot;??_);_(@_)"/>
    <numFmt numFmtId="254" formatCode="_-* #,##0\ _E_s_c_._-;\-* #,##0\ _E_s_c_._-;_-* &quot;-&quot;\ _E_s_c_._-;_-@_-"/>
    <numFmt numFmtId="255" formatCode="_(&quot;$&quot;* #,##0.000_);_(&quot;$&quot;* \(#,##0.000\);_(&quot;$&quot;* &quot;-&quot;??_);_(@_)"/>
    <numFmt numFmtId="256" formatCode="_-&quot;L.&quot;\ * #,##0_-;\-&quot;L.&quot;\ * #,##0_-;_-&quot;L.&quot;\ * &quot;-&quot;_-;_-@_-"/>
    <numFmt numFmtId="257" formatCode="_-&quot;L.&quot;\ * #,##0.00_-;\-&quot;L.&quot;\ * #,##0.00_-;_-&quot;L.&quot;\ * &quot;-&quot;??_-;_-@_-"/>
    <numFmt numFmtId="258" formatCode="0\ \ ;\(0\)\ \ \ "/>
    <numFmt numFmtId="259" formatCode="&quot;Yes&quot;;;&quot;No&quot;"/>
    <numFmt numFmtId="260" formatCode="#,###\ &quot;SF Retail Income&quot;"/>
    <numFmt numFmtId="261" formatCode="##%\ &quot;of GMP costs&quot;"/>
    <numFmt numFmtId="262" formatCode="&quot;$&quot;##,###\ &quot;per unit&quot;"/>
    <numFmt numFmtId="263" formatCode="##%\ &quot;of total hard costs&quot;"/>
    <numFmt numFmtId="264" formatCode="#\ &quot;Months of OPEX&quot;"/>
    <numFmt numFmtId="265" formatCode="#%\ &quot;on a five year term&quot;"/>
    <numFmt numFmtId="266" formatCode="#,###\ &quot;SF&quot;"/>
    <numFmt numFmtId="267" formatCode="#,###\ &quot;Units&quot;"/>
    <numFmt numFmtId="268" formatCode="m/d/yy;@"/>
    <numFmt numFmtId="269" formatCode="_(* #,##0.0_);_(* \(#,##0.0\);_(* &quot;-&quot;??_);_(@_)"/>
    <numFmt numFmtId="270" formatCode="0%\ &quot;Efficiency&quot;"/>
    <numFmt numFmtId="271" formatCode="0\ &quot;Months&quot;"/>
    <numFmt numFmtId="272" formatCode="&quot;$&quot;###\ &quot;per SF of Commercial&quot;"/>
    <numFmt numFmtId="273" formatCode="00000"/>
    <numFmt numFmtId="274" formatCode="&quot;Gross SF Non-Residential Rental Income (&quot;\ #,###\ &quot;SF)&quot;"/>
    <numFmt numFmtId="275" formatCode="0%\ &quot;Residential&quot;"/>
    <numFmt numFmtId="276" formatCode="0%\ &quot;Non-Residential&quot;"/>
    <numFmt numFmtId="277" formatCode="&quot;LESS:&quot;\ #%\ &quot;Selling Costs&quot;"/>
    <numFmt numFmtId="278" formatCode="##.00%\ &quot;Estimated&quot;"/>
    <numFmt numFmtId="279" formatCode="##%\ &quot;costs excluding hard costs&quot;"/>
    <numFmt numFmtId="280" formatCode="&quot;$&quot;###\ &quot;per gross SF&quot;"/>
    <numFmt numFmtId="281" formatCode="00\ &quot;Months&quot;"/>
    <numFmt numFmtId="282" formatCode="&quot;Year&quot;\ 0"/>
    <numFmt numFmtId="283" formatCode="0.000%"/>
    <numFmt numFmtId="284" formatCode="0.0000%"/>
    <numFmt numFmtId="285" formatCode="#0.00%\ &quot;of loan amount&quot;"/>
    <numFmt numFmtId="286" formatCode="0.00%\ &quot;Exit Cap (Market)&quot;"/>
    <numFmt numFmtId="287" formatCode="0\ &quot;Years&quot;"/>
    <numFmt numFmtId="288" formatCode="General\ &quot;Years&quot;"/>
    <numFmt numFmtId="289" formatCode="##.0%"/>
    <numFmt numFmtId="290" formatCode="##%"/>
    <numFmt numFmtId="291" formatCode="&quot;$&quot;###"/>
    <numFmt numFmtId="292" formatCode="&quot;Debt&quot;"/>
    <numFmt numFmtId="293" formatCode="&quot;Equity&quot;"/>
    <numFmt numFmtId="294" formatCode="##%\ &quot;of Hard Cost for Construction&quot;"/>
    <numFmt numFmtId="295" formatCode="##.00%\ &quot;costs excluding hard costs&quot;"/>
    <numFmt numFmtId="296" formatCode="##%\ &quot;of land acquisition cost&quot;"/>
    <numFmt numFmtId="297" formatCode="0\ &quot;Units&quot;"/>
    <numFmt numFmtId="298" formatCode="&quot;Year&quot;\ ##"/>
    <numFmt numFmtId="299" formatCode="&quot;Quarter&quot;\ 0"/>
    <numFmt numFmtId="300" formatCode="&quot;Quarter&quot;\ ##"/>
    <numFmt numFmtId="301" formatCode="&quot;Debt&quot;\ #%"/>
    <numFmt numFmtId="302" formatCode="&quot;Equity&quot;\ #%"/>
  </numFmts>
  <fonts count="228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Arial"/>
      <family val="2"/>
    </font>
    <font>
      <b/>
      <sz val="8"/>
      <name val="Times New Roman"/>
      <family val="1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sz val="12"/>
      <name val="Arial MT"/>
    </font>
    <font>
      <b/>
      <sz val="18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u/>
      <sz val="11"/>
      <color theme="11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sz val="11"/>
      <name val="ＭＳ Ｐゴシック"/>
      <family val="2"/>
      <charset val="128"/>
    </font>
    <font>
      <sz val="8"/>
      <name val="Palatino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indexed="8"/>
      <name val="Palatino"/>
      <family val="1"/>
    </font>
    <font>
      <b/>
      <sz val="12"/>
      <name val="Helv"/>
    </font>
    <font>
      <b/>
      <i/>
      <sz val="10"/>
      <name val="Helv"/>
      <family val="2"/>
    </font>
    <font>
      <b/>
      <sz val="8"/>
      <name val="Helv"/>
      <family val="2"/>
    </font>
    <font>
      <sz val="7"/>
      <color indexed="12"/>
      <name val="Times New Roman"/>
      <family val="1"/>
    </font>
    <font>
      <sz val="9"/>
      <name val="Tahoma"/>
      <family val="2"/>
    </font>
    <font>
      <sz val="8"/>
      <name val="Times"/>
      <family val="1"/>
    </font>
    <font>
      <sz val="9"/>
      <color indexed="8"/>
      <name val="Times New Roman"/>
      <family val="1"/>
    </font>
    <font>
      <sz val="8"/>
      <color indexed="12"/>
      <name val="Tms Rmn"/>
    </font>
    <font>
      <sz val="10"/>
      <color indexed="12"/>
      <name val="Times New Roman"/>
      <family val="1"/>
    </font>
    <font>
      <sz val="12"/>
      <name val="Tms Rmn"/>
      <family val="1"/>
    </font>
    <font>
      <b/>
      <sz val="12"/>
      <name val="SWISS"/>
    </font>
    <font>
      <b/>
      <i/>
      <sz val="10"/>
      <color indexed="30"/>
      <name val="Comic Sans MS"/>
      <family val="4"/>
    </font>
    <font>
      <sz val="8"/>
      <color indexed="30"/>
      <name val="Comic Sans MS"/>
      <family val="4"/>
    </font>
    <font>
      <b/>
      <sz val="8"/>
      <color indexed="30"/>
      <name val="Comic Sans MS"/>
      <family val="4"/>
    </font>
    <font>
      <sz val="10"/>
      <color indexed="30"/>
      <name val="Comic Sans MS"/>
      <family val="4"/>
    </font>
    <font>
      <sz val="8"/>
      <name val="Helvetica-Narrow"/>
    </font>
    <font>
      <u val="singleAccounting"/>
      <sz val="10"/>
      <name val="Arial"/>
      <family val="2"/>
    </font>
    <font>
      <sz val="12"/>
      <name val="±¼¸²Ã¼"/>
      <family val="3"/>
      <charset val="129"/>
    </font>
    <font>
      <sz val="9"/>
      <color indexed="8"/>
      <name val="Helvetica-Narrow"/>
    </font>
    <font>
      <sz val="8"/>
      <color indexed="13"/>
      <name val="Helvetica-Narrow"/>
    </font>
    <font>
      <b/>
      <sz val="7"/>
      <name val="Helvetica-Narrow"/>
      <family val="2"/>
    </font>
    <font>
      <b/>
      <sz val="7"/>
      <name val="GillSans"/>
    </font>
    <font>
      <b/>
      <sz val="9"/>
      <name val="Tahoma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b/>
      <sz val="24"/>
      <name val="Courier New"/>
      <family val="3"/>
    </font>
    <font>
      <b/>
      <sz val="10"/>
      <color indexed="30"/>
      <name val="Comic Sans MS"/>
      <family val="4"/>
    </font>
    <font>
      <sz val="12"/>
      <color indexed="30"/>
      <name val="Comic Sans MS"/>
      <family val="4"/>
    </font>
    <font>
      <sz val="10"/>
      <name val="MS Serif"/>
      <family val="1"/>
    </font>
    <font>
      <sz val="10"/>
      <name val="Courier"/>
      <family val="3"/>
    </font>
    <font>
      <sz val="10"/>
      <name val="Book Antiqua"/>
      <family val="1"/>
    </font>
    <font>
      <sz val="10"/>
      <name val="Times New Roman Special G1"/>
    </font>
    <font>
      <sz val="10"/>
      <color indexed="24"/>
      <name val="Arial"/>
      <family val="2"/>
    </font>
    <font>
      <sz val="9"/>
      <name val="Times New Roman"/>
      <family val="1"/>
    </font>
    <font>
      <u/>
      <sz val="8"/>
      <color indexed="12"/>
      <name val="Times New Roman"/>
      <family val="1"/>
    </font>
    <font>
      <sz val="9"/>
      <name val="Arial"/>
      <family val="2"/>
    </font>
    <font>
      <sz val="8"/>
      <color indexed="12"/>
      <name val="Times New Roman"/>
      <family val="1"/>
    </font>
    <font>
      <u val="doubleAccounting"/>
      <sz val="10"/>
      <name val="Arial"/>
      <family val="2"/>
    </font>
    <font>
      <sz val="14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i/>
      <sz val="9"/>
      <name val="Times New Roman"/>
      <family val="1"/>
    </font>
    <font>
      <i/>
      <sz val="10"/>
      <name val="Times New Roman"/>
      <family val="1"/>
    </font>
    <font>
      <i/>
      <sz val="9"/>
      <color indexed="8"/>
      <name val="Times New Roman"/>
      <family val="1"/>
    </font>
    <font>
      <b/>
      <sz val="9"/>
      <name val="Times New Roman"/>
      <family val="1"/>
    </font>
    <font>
      <sz val="22"/>
      <name val="Times New Roman"/>
      <family val="1"/>
    </font>
    <font>
      <b/>
      <i/>
      <sz val="8"/>
      <color indexed="12"/>
      <name val="Arial"/>
      <family val="2"/>
    </font>
    <font>
      <sz val="10"/>
      <color indexed="16"/>
      <name val="MS Serif"/>
      <family val="1"/>
    </font>
    <font>
      <sz val="7"/>
      <name val="Palatino"/>
      <family val="1"/>
    </font>
    <font>
      <sz val="9"/>
      <name val="CharterITC BT"/>
      <family val="1"/>
    </font>
    <font>
      <b/>
      <sz val="10"/>
      <name val="Tahoma"/>
      <family val="2"/>
    </font>
    <font>
      <sz val="8"/>
      <name val="Arial"/>
      <family val="2"/>
    </font>
    <font>
      <b/>
      <sz val="12"/>
      <color indexed="9"/>
      <name val="Tms Rmn"/>
    </font>
    <font>
      <u/>
      <sz val="12"/>
      <name val="Tahoma"/>
      <family val="2"/>
    </font>
    <font>
      <i/>
      <u/>
      <sz val="11"/>
      <name val="Tahoma"/>
      <family val="2"/>
    </font>
    <font>
      <u/>
      <sz val="11"/>
      <name val="Tahoma"/>
      <family val="2"/>
    </font>
    <font>
      <i/>
      <u/>
      <sz val="10"/>
      <name val="Tahoma"/>
      <family val="2"/>
    </font>
    <font>
      <u/>
      <sz val="10"/>
      <name val="Tahoma"/>
      <family val="2"/>
    </font>
    <font>
      <i/>
      <u/>
      <sz val="9"/>
      <name val="Tahoma"/>
      <family val="2"/>
    </font>
    <font>
      <u/>
      <sz val="9"/>
      <name val="Tahoma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i/>
      <sz val="22"/>
      <name val="Times New Roman"/>
      <family val="1"/>
    </font>
    <font>
      <b/>
      <sz val="8"/>
      <name val="MS Sans Serif"/>
      <family val="2"/>
    </font>
    <font>
      <b/>
      <sz val="24"/>
      <name val="Geneva"/>
      <family val="2"/>
    </font>
    <font>
      <b/>
      <u/>
      <sz val="8"/>
      <name val="Arial"/>
      <family val="2"/>
    </font>
    <font>
      <sz val="10"/>
      <color indexed="12"/>
      <name val="Arial"/>
      <family val="2"/>
    </font>
    <font>
      <i/>
      <sz val="10"/>
      <name val="Arial"/>
      <family val="2"/>
    </font>
    <font>
      <sz val="10"/>
      <color indexed="16"/>
      <name val="MS Sans Serif"/>
      <family val="2"/>
    </font>
    <font>
      <sz val="10"/>
      <name val="Geneva"/>
      <family val="2"/>
    </font>
    <font>
      <sz val="14"/>
      <name val="Architecture"/>
      <family val="2"/>
    </font>
    <font>
      <sz val="7"/>
      <name val="Small Fonts"/>
      <family val="2"/>
    </font>
    <font>
      <sz val="11"/>
      <name val="明朝"/>
      <family val="1"/>
      <charset val="128"/>
    </font>
    <font>
      <sz val="10"/>
      <name val="Palatino"/>
      <family val="1"/>
    </font>
    <font>
      <sz val="10"/>
      <name val="ＭＳ Ｐゴシック"/>
      <family val="3"/>
      <charset val="128"/>
    </font>
    <font>
      <sz val="11"/>
      <name val="Times New Roman"/>
      <family val="1"/>
    </font>
    <font>
      <sz val="11"/>
      <name val="‚l‚r –¾’©"/>
      <family val="3"/>
      <charset val="128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26"/>
      <name val="Times New Roman"/>
      <family val="1"/>
    </font>
    <font>
      <sz val="10"/>
      <color indexed="16"/>
      <name val="Helvetica-Black"/>
    </font>
    <font>
      <b/>
      <sz val="14"/>
      <color indexed="12"/>
      <name val="Arial"/>
      <family val="2"/>
    </font>
    <font>
      <sz val="22"/>
      <name val="UBSHeadline"/>
      <family val="1"/>
    </font>
    <font>
      <sz val="10"/>
      <name val="Tms Rmn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sz val="10"/>
      <name val="GillSans Light"/>
    </font>
    <font>
      <sz val="9.5"/>
      <color indexed="23"/>
      <name val="Helvetica-Black"/>
    </font>
    <font>
      <b/>
      <sz val="16"/>
      <color indexed="16"/>
      <name val="Arial"/>
      <family val="2"/>
    </font>
    <font>
      <sz val="8"/>
      <name val="MS Sans Serif"/>
      <family val="2"/>
    </font>
    <font>
      <sz val="10"/>
      <color indexed="14"/>
      <name val="Century Schoolbook"/>
      <family val="1"/>
    </font>
    <font>
      <b/>
      <sz val="11"/>
      <name val="Helv"/>
    </font>
    <font>
      <b/>
      <u/>
      <sz val="10"/>
      <name val="Tahoma"/>
      <family val="2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b/>
      <sz val="7"/>
      <name val="Arial"/>
      <family val="2"/>
    </font>
    <font>
      <sz val="9"/>
      <name val="Helvetica-Black"/>
    </font>
    <font>
      <sz val="9"/>
      <name val="Palatino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ahoma"/>
      <family val="2"/>
    </font>
    <font>
      <u/>
      <sz val="8"/>
      <name val="Times New Roman"/>
      <family val="1"/>
    </font>
    <font>
      <b/>
      <sz val="12"/>
      <name val="CG Times (W1)"/>
      <family val="1"/>
    </font>
    <font>
      <b/>
      <i/>
      <sz val="12"/>
      <name val="CG Times (W1)"/>
      <family val="1"/>
    </font>
    <font>
      <b/>
      <i/>
      <sz val="24"/>
      <name val="Arial"/>
      <family val="2"/>
    </font>
    <font>
      <sz val="12"/>
      <name val="Tahoma"/>
      <family val="2"/>
    </font>
    <font>
      <i/>
      <sz val="11"/>
      <name val="Tahoma"/>
      <family val="2"/>
    </font>
    <font>
      <sz val="11"/>
      <name val="Tahoma"/>
      <family val="2"/>
    </font>
    <font>
      <i/>
      <sz val="10"/>
      <name val="Tahoma"/>
      <family val="2"/>
    </font>
    <font>
      <sz val="10"/>
      <name val="Tahoma"/>
      <family val="2"/>
    </font>
    <font>
      <i/>
      <sz val="9"/>
      <name val="Tahoma"/>
      <family val="2"/>
    </font>
    <font>
      <b/>
      <sz val="10"/>
      <color indexed="30"/>
      <name val="Arial"/>
      <family val="2"/>
    </font>
    <font>
      <b/>
      <sz val="7"/>
      <color indexed="12"/>
      <name val="Arial"/>
      <family val="2"/>
    </font>
    <font>
      <u/>
      <sz val="8"/>
      <color indexed="8"/>
      <name val="Arial"/>
      <family val="2"/>
    </font>
    <font>
      <sz val="8"/>
      <color indexed="12"/>
      <name val="Arial"/>
      <family val="2"/>
    </font>
    <font>
      <sz val="10"/>
      <color indexed="9"/>
      <name val="Tms Rmn"/>
    </font>
    <font>
      <sz val="7"/>
      <name val="Times New Roman"/>
      <family val="1"/>
    </font>
    <font>
      <b/>
      <i/>
      <sz val="8"/>
      <name val="Helv"/>
    </font>
    <font>
      <sz val="10"/>
      <name val="ＭＳ 明朝"/>
      <family val="1"/>
      <charset val="128"/>
    </font>
    <font>
      <sz val="9"/>
      <color indexed="8"/>
      <name val="ＭＳ Ｐゴシック"/>
      <family val="3"/>
      <charset val="128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3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B0F0"/>
      <name val="Arial"/>
      <family val="2"/>
    </font>
    <font>
      <u/>
      <sz val="10"/>
      <name val="Arial"/>
      <family val="2"/>
    </font>
    <font>
      <b/>
      <sz val="10"/>
      <color rgb="FF00B0F0"/>
      <name val="Arial"/>
      <family val="2"/>
    </font>
    <font>
      <b/>
      <sz val="14"/>
      <color theme="0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rgb="FF00B050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0"/>
      <name val="Arial"/>
      <family val="2"/>
    </font>
    <font>
      <b/>
      <sz val="18"/>
      <color theme="0"/>
      <name val="Arial"/>
      <family val="2"/>
    </font>
    <font>
      <sz val="14"/>
      <color rgb="FF000000"/>
      <name val="Arial"/>
      <family val="2"/>
    </font>
    <font>
      <sz val="14"/>
      <color theme="0"/>
      <name val="Arial"/>
      <family val="2"/>
    </font>
    <font>
      <b/>
      <sz val="15"/>
      <color theme="0"/>
      <name val="Arial"/>
      <family val="2"/>
    </font>
    <font>
      <b/>
      <sz val="25"/>
      <color theme="1"/>
      <name val="Arial"/>
      <family val="2"/>
    </font>
    <font>
      <sz val="10"/>
      <color rgb="FF00B050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sz val="20"/>
      <color theme="1"/>
      <name val="Helvetica"/>
      <family val="2"/>
    </font>
    <font>
      <b/>
      <sz val="10"/>
      <color theme="1"/>
      <name val="Helvetica"/>
      <family val="2"/>
    </font>
    <font>
      <sz val="10"/>
      <color theme="1"/>
      <name val="Helvetica"/>
      <family val="2"/>
    </font>
    <font>
      <sz val="11"/>
      <color theme="1"/>
      <name val="Helvetica"/>
      <family val="2"/>
    </font>
    <font>
      <b/>
      <sz val="9"/>
      <color theme="1"/>
      <name val="Helvetica"/>
      <family val="2"/>
    </font>
    <font>
      <b/>
      <sz val="15"/>
      <color theme="1"/>
      <name val="Arial"/>
      <family val="2"/>
    </font>
    <font>
      <b/>
      <sz val="20"/>
      <color rgb="FF00B050"/>
      <name val="Helvetic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4"/>
      <color rgb="FFFFFFFF"/>
      <name val="Arial"/>
      <family val="2"/>
    </font>
    <font>
      <sz val="15"/>
      <color theme="1"/>
      <name val="Arial"/>
      <family val="2"/>
    </font>
    <font>
      <sz val="15"/>
      <color theme="1"/>
      <name val="Calibri"/>
      <family val="2"/>
      <scheme val="minor"/>
    </font>
    <font>
      <sz val="10"/>
      <color theme="4"/>
      <name val="Arial"/>
      <family val="2"/>
    </font>
    <font>
      <sz val="7"/>
      <color rgb="FF2B3841"/>
      <name val="Roboto"/>
    </font>
    <font>
      <b/>
      <sz val="7"/>
      <color rgb="FFFFFFFF"/>
      <name val="Roboto"/>
    </font>
    <font>
      <i/>
      <sz val="10"/>
      <color theme="1"/>
      <name val="Arial"/>
      <family val="2"/>
    </font>
    <font>
      <sz val="11"/>
      <color theme="0"/>
      <name val="Arial"/>
      <family val="2"/>
    </font>
    <font>
      <i/>
      <sz val="11"/>
      <color theme="1"/>
      <name val="Arial"/>
      <family val="2"/>
    </font>
    <font>
      <sz val="11"/>
      <color rgb="FF0070C0"/>
      <name val="Arial"/>
      <family val="2"/>
    </font>
    <font>
      <b/>
      <sz val="22"/>
      <color theme="0"/>
      <name val="Arial"/>
      <family val="2"/>
    </font>
    <font>
      <b/>
      <sz val="22"/>
      <color theme="1"/>
      <name val="Arial"/>
      <family val="2"/>
    </font>
    <font>
      <b/>
      <sz val="22"/>
      <name val="Arial"/>
      <family val="2"/>
    </font>
    <font>
      <sz val="22"/>
      <color theme="1"/>
      <name val="Arial"/>
      <family val="2"/>
    </font>
    <font>
      <b/>
      <sz val="22"/>
      <color theme="1"/>
      <name val="Helvetica"/>
      <family val="2"/>
    </font>
    <font>
      <b/>
      <sz val="22"/>
      <color rgb="FF00B050"/>
      <name val="Arial"/>
      <family val="2"/>
    </font>
    <font>
      <sz val="22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Helvetica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9"/>
      <name val="Helvetic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</patternFill>
    </fill>
    <fill>
      <patternFill patternType="solid">
        <fgColor indexed="44"/>
        <bgColor indexed="64"/>
      </patternFill>
    </fill>
    <fill>
      <patternFill patternType="lightGray">
        <fgColor indexed="15"/>
      </patternFill>
    </fill>
    <fill>
      <patternFill patternType="solid">
        <fgColor indexed="2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6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C6EFCE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004C97"/>
        <bgColor indexed="64"/>
      </patternFill>
    </fill>
    <fill>
      <patternFill patternType="solid">
        <fgColor theme="1"/>
        <bgColor indexed="64"/>
      </patternFill>
    </fill>
  </fills>
  <borders count="16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/>
      <right/>
      <top style="thick">
        <color indexed="30"/>
      </top>
      <bottom/>
      <diagonal/>
    </border>
    <border>
      <left style="thin">
        <color indexed="30"/>
      </left>
      <right style="thin">
        <color indexed="30"/>
      </right>
      <top/>
      <bottom style="double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30"/>
      </bottom>
      <diagonal/>
    </border>
    <border>
      <left style="thin">
        <color indexed="30"/>
      </left>
      <right style="thin">
        <color indexed="30"/>
      </right>
      <top/>
      <bottom style="thin">
        <color indexed="30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30"/>
      </left>
      <right/>
      <top/>
      <bottom/>
      <diagonal/>
    </border>
    <border>
      <left style="thin">
        <color indexed="30"/>
      </left>
      <right style="thin">
        <color indexed="30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/>
      <bottom style="medium">
        <color indexed="63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thin">
        <color indexed="23"/>
      </bottom>
      <diagonal/>
    </border>
    <border>
      <left/>
      <right/>
      <top style="thick">
        <color indexed="17"/>
      </top>
      <bottom/>
      <diagonal/>
    </border>
    <border>
      <left/>
      <right/>
      <top/>
      <bottom style="thick">
        <color indexed="18"/>
      </bottom>
      <diagonal/>
    </border>
    <border>
      <left/>
      <right/>
      <top/>
      <bottom style="thin">
        <color indexed="18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30"/>
      </left>
      <right/>
      <top/>
      <bottom style="thin">
        <color indexed="30"/>
      </bottom>
      <diagonal/>
    </border>
    <border>
      <left/>
      <right style="thin">
        <color indexed="30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indexed="30"/>
      </left>
      <right style="thin">
        <color indexed="30"/>
      </right>
      <top style="thick">
        <color indexed="30"/>
      </top>
      <bottom style="thick">
        <color indexed="30"/>
      </bottom>
      <diagonal/>
    </border>
    <border>
      <left/>
      <right/>
      <top style="thin">
        <color auto="1"/>
      </top>
      <bottom style="hair">
        <color indexed="22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/>
      <bottom style="medium">
        <color indexed="4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ck">
        <color theme="4" tint="0.3999755851924192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auto="1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hair">
        <color indexed="64"/>
      </top>
      <bottom/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auto="1"/>
      </right>
      <top/>
      <bottom style="hair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rgb="FF004C97"/>
      </left>
      <right style="medium">
        <color rgb="FF004C97"/>
      </right>
      <top style="medium">
        <color rgb="FF004C97"/>
      </top>
      <bottom style="medium">
        <color rgb="FF004C97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double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</borders>
  <cellStyleXfs count="1362">
    <xf numFmtId="0" fontId="0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7" fillId="0" borderId="0"/>
    <xf numFmtId="43" fontId="15" fillId="0" borderId="0" applyFont="0" applyFill="0" applyBorder="0" applyAlignment="0" applyProtection="0"/>
    <xf numFmtId="0" fontId="18" fillId="0" borderId="0"/>
    <xf numFmtId="9" fontId="1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3" fontId="25" fillId="0" borderId="0">
      <alignment horizontal="right"/>
    </xf>
    <xf numFmtId="184" fontId="25" fillId="0" borderId="0">
      <alignment horizontal="right"/>
    </xf>
    <xf numFmtId="185" fontId="25" fillId="0" borderId="0">
      <alignment horizontal="right"/>
    </xf>
    <xf numFmtId="186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2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26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26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27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2" fontId="26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2" fontId="26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67" fontId="27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2" fontId="26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2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26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26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5" fillId="10" borderId="0" applyNumberFormat="0" applyFont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67" fontId="27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67" fontId="27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26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26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8" fontId="27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8" fontId="27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7" fontId="15" fillId="0" borderId="0" applyFont="0" applyFill="0" applyBorder="0" applyProtection="0">
      <alignment horizontal="right"/>
    </xf>
    <xf numFmtId="199" fontId="26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9" fontId="26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9" fontId="26" fillId="0" borderId="0" applyFont="0" applyFill="0" applyBorder="0" applyAlignment="0" applyProtection="0"/>
    <xf numFmtId="200" fontId="26" fillId="0" borderId="0" applyFont="0" applyFill="0" applyBorder="0" applyAlignment="0" applyProtection="0"/>
    <xf numFmtId="201" fontId="27" fillId="0" borderId="0" applyFont="0" applyFill="0" applyBorder="0" applyAlignment="0" applyProtection="0"/>
    <xf numFmtId="201" fontId="27" fillId="0" borderId="0" applyFont="0" applyFill="0" applyBorder="0" applyAlignment="0" applyProtection="0"/>
    <xf numFmtId="202" fontId="26" fillId="0" borderId="0" applyFont="0" applyFill="0" applyBorder="0" applyAlignment="0" applyProtection="0"/>
    <xf numFmtId="203" fontId="27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29" fillId="0" borderId="0" applyNumberFormat="0" applyFill="0" applyBorder="0" applyProtection="0">
      <alignment vertical="top"/>
    </xf>
    <xf numFmtId="0" fontId="30" fillId="0" borderId="15" applyNumberFormat="0" applyFill="0" applyAlignment="0" applyProtection="0"/>
    <xf numFmtId="0" fontId="31" fillId="0" borderId="16" applyNumberFormat="0" applyFill="0" applyProtection="0">
      <alignment horizontal="center"/>
    </xf>
    <xf numFmtId="0" fontId="31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centerContinuous"/>
    </xf>
    <xf numFmtId="204" fontId="33" fillId="0" borderId="0">
      <alignment horizontal="left"/>
      <protection locked="0"/>
    </xf>
    <xf numFmtId="38" fontId="9" fillId="0" borderId="17"/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39" fontId="36" fillId="0" borderId="0">
      <alignment horizontal="center"/>
    </xf>
    <xf numFmtId="205" fontId="37" fillId="0" borderId="0">
      <protection locked="0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14" fontId="38" fillId="0" borderId="0"/>
    <xf numFmtId="206" fontId="23" fillId="11" borderId="18">
      <alignment horizontal="center" vertical="center"/>
    </xf>
    <xf numFmtId="0" fontId="39" fillId="0" borderId="0"/>
    <xf numFmtId="37" fontId="21" fillId="0" borderId="0" applyFont="0" applyAlignment="0">
      <alignment horizontal="centerContinuous" vertical="top"/>
    </xf>
    <xf numFmtId="0" fontId="25" fillId="0" borderId="0">
      <alignment horizontal="center" wrapText="1"/>
      <protection locked="0"/>
    </xf>
    <xf numFmtId="0" fontId="1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07" fontId="15" fillId="0" borderId="0" applyFont="0" applyFill="0" applyBorder="0" applyAlignment="0"/>
    <xf numFmtId="208" fontId="40" fillId="0" borderId="0" applyFont="0" applyFill="0" applyBorder="0" applyAlignment="0">
      <alignment horizontal="right"/>
    </xf>
    <xf numFmtId="0" fontId="41" fillId="0" borderId="0" applyNumberFormat="0" applyFill="0" applyBorder="0" applyAlignment="0" applyProtection="0"/>
    <xf numFmtId="0" fontId="37" fillId="0" borderId="0">
      <protection locked="0"/>
    </xf>
    <xf numFmtId="209" fontId="37" fillId="0" borderId="0">
      <alignment horizontal="right"/>
      <protection locked="0"/>
    </xf>
    <xf numFmtId="7" fontId="42" fillId="0" borderId="0">
      <alignment horizontal="right"/>
      <protection locked="0"/>
    </xf>
    <xf numFmtId="203" fontId="37" fillId="0" borderId="0">
      <alignment horizontal="right"/>
      <protection locked="0"/>
    </xf>
    <xf numFmtId="0" fontId="43" fillId="0" borderId="0" applyNumberFormat="0" applyFill="0" applyBorder="0" applyAlignment="0" applyProtection="0"/>
    <xf numFmtId="0" fontId="44" fillId="0" borderId="0"/>
    <xf numFmtId="0" fontId="45" fillId="0" borderId="19"/>
    <xf numFmtId="0" fontId="46" fillId="11" borderId="20" applyAlignment="0">
      <alignment horizontal="center"/>
    </xf>
    <xf numFmtId="0" fontId="47" fillId="0" borderId="21"/>
    <xf numFmtId="0" fontId="25" fillId="0" borderId="22" applyNumberFormat="0" applyFont="0" applyFill="0" applyAlignment="0" applyProtection="0"/>
    <xf numFmtId="203" fontId="15" fillId="0" borderId="23" applyNumberFormat="0" applyFill="0" applyAlignment="0" applyProtection="0"/>
    <xf numFmtId="0" fontId="48" fillId="0" borderId="24"/>
    <xf numFmtId="0" fontId="48" fillId="0" borderId="25"/>
    <xf numFmtId="0" fontId="49" fillId="0" borderId="0"/>
    <xf numFmtId="0" fontId="50" fillId="0" borderId="0" applyFont="0" applyFill="0" applyBorder="0" applyAlignment="0" applyProtection="0"/>
    <xf numFmtId="0" fontId="51" fillId="0" borderId="0"/>
    <xf numFmtId="210" fontId="24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211" fontId="52" fillId="0" borderId="10" applyFill="0" applyBorder="0" applyAlignment="0" applyProtection="0">
      <alignment horizontal="right"/>
    </xf>
    <xf numFmtId="212" fontId="53" fillId="0" borderId="0" applyFont="0" applyFill="0"/>
    <xf numFmtId="39" fontId="25" fillId="12" borderId="0" applyNumberFormat="0" applyFont="0" applyBorder="0" applyAlignment="0"/>
    <xf numFmtId="213" fontId="15" fillId="0" borderId="0" applyFill="0" applyBorder="0" applyProtection="0"/>
    <xf numFmtId="0" fontId="11" fillId="0" borderId="11" applyNumberFormat="0" applyFont="0" applyFill="0" applyProtection="0">
      <alignment horizontal="centerContinuous" vertical="center"/>
    </xf>
    <xf numFmtId="0" fontId="54" fillId="0" borderId="26" applyNumberFormat="0" applyFill="0" applyProtection="0">
      <alignment horizontal="center" vertical="center"/>
    </xf>
    <xf numFmtId="0" fontId="55" fillId="0" borderId="27" applyNumberFormat="0" applyFill="0" applyBorder="0" applyProtection="0">
      <alignment horizontal="right" vertical="center"/>
    </xf>
    <xf numFmtId="0" fontId="11" fillId="0" borderId="0" applyNumberFormat="0" applyFill="0" applyBorder="0" applyProtection="0">
      <alignment horizontal="center" vertical="center"/>
    </xf>
    <xf numFmtId="0" fontId="56" fillId="11" borderId="0" applyNumberFormat="0">
      <alignment horizontal="center"/>
    </xf>
    <xf numFmtId="0" fontId="15" fillId="0" borderId="0" applyFont="0" applyFill="0" applyBorder="0" applyAlignment="0" applyProtection="0"/>
    <xf numFmtId="214" fontId="15" fillId="0" borderId="0" applyFont="0" applyFill="0" applyBorder="0" applyAlignment="0" applyProtection="0"/>
    <xf numFmtId="0" fontId="27" fillId="0" borderId="0" applyFont="0" applyFill="0" applyBorder="0" applyAlignment="0" applyProtection="0">
      <alignment horizontal="right"/>
    </xf>
    <xf numFmtId="215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57" fillId="0" borderId="0" applyFont="0" applyFill="0" applyBorder="0" applyAlignment="0" applyProtection="0"/>
    <xf numFmtId="0" fontId="58" fillId="0" borderId="0"/>
    <xf numFmtId="0" fontId="59" fillId="0" borderId="0"/>
    <xf numFmtId="3" fontId="60" fillId="0" borderId="0" applyFill="0" applyBorder="0" applyAlignment="0" applyProtection="0"/>
    <xf numFmtId="0" fontId="58" fillId="0" borderId="0"/>
    <xf numFmtId="41" fontId="46" fillId="0" borderId="28">
      <alignment horizontal="center"/>
      <protection locked="0" hidden="1"/>
    </xf>
    <xf numFmtId="41" fontId="46" fillId="0" borderId="29">
      <alignment horizontal="center"/>
      <protection locked="0"/>
    </xf>
    <xf numFmtId="41" fontId="61" fillId="0" borderId="19">
      <protection hidden="1"/>
    </xf>
    <xf numFmtId="41" fontId="62" fillId="0" borderId="19"/>
    <xf numFmtId="41" fontId="46" fillId="0" borderId="19">
      <alignment horizontal="right"/>
    </xf>
    <xf numFmtId="0" fontId="63" fillId="0" borderId="0" applyNumberFormat="0" applyAlignment="0">
      <alignment horizontal="left"/>
    </xf>
    <xf numFmtId="0" fontId="64" fillId="0" borderId="0" applyNumberFormat="0" applyAlignment="0"/>
    <xf numFmtId="0" fontId="59" fillId="0" borderId="0"/>
    <xf numFmtId="0" fontId="58" fillId="0" borderId="0"/>
    <xf numFmtId="0" fontId="15" fillId="0" borderId="0" applyFont="0" applyFill="0" applyBorder="0" applyAlignment="0" applyProtection="0"/>
    <xf numFmtId="8" fontId="65" fillId="0" borderId="0" applyBorder="0"/>
    <xf numFmtId="0" fontId="27" fillId="0" borderId="0" applyFont="0" applyFill="0" applyBorder="0" applyAlignment="0" applyProtection="0">
      <alignment horizontal="right"/>
    </xf>
    <xf numFmtId="44" fontId="6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217" fontId="67" fillId="0" borderId="0" applyFont="0" applyFill="0" applyBorder="0" applyAlignment="0" applyProtection="0"/>
    <xf numFmtId="218" fontId="68" fillId="0" borderId="0"/>
    <xf numFmtId="44" fontId="61" fillId="0" borderId="19">
      <alignment horizontal="center"/>
      <protection hidden="1"/>
    </xf>
    <xf numFmtId="39" fontId="38" fillId="0" borderId="0">
      <alignment horizontal="right"/>
    </xf>
    <xf numFmtId="14" fontId="46" fillId="0" borderId="29">
      <alignment horizontal="center"/>
    </xf>
    <xf numFmtId="0" fontId="27" fillId="0" borderId="0" applyFont="0" applyFill="0" applyBorder="0" applyAlignment="0" applyProtection="0"/>
    <xf numFmtId="219" fontId="15" fillId="0" borderId="0">
      <alignment horizontal="right"/>
    </xf>
    <xf numFmtId="14" fontId="24" fillId="0" borderId="0" applyFill="0" applyBorder="0" applyAlignment="0"/>
    <xf numFmtId="14" fontId="25" fillId="0" borderId="0">
      <alignment horizontal="right"/>
    </xf>
    <xf numFmtId="14" fontId="69" fillId="0" borderId="0">
      <alignment horizontal="right"/>
      <protection locked="0"/>
    </xf>
    <xf numFmtId="220" fontId="70" fillId="0" borderId="0" applyFill="0" applyProtection="0">
      <alignment vertical="center"/>
    </xf>
    <xf numFmtId="221" fontId="25" fillId="0" borderId="0">
      <alignment horizontal="right"/>
    </xf>
    <xf numFmtId="222" fontId="25" fillId="0" borderId="0">
      <alignment horizontal="right"/>
    </xf>
    <xf numFmtId="223" fontId="15" fillId="0" borderId="0">
      <alignment horizontal="right"/>
    </xf>
    <xf numFmtId="8" fontId="15" fillId="0" borderId="0" applyFill="0" applyBorder="0" applyProtection="0"/>
    <xf numFmtId="224" fontId="25" fillId="0" borderId="0"/>
    <xf numFmtId="224" fontId="71" fillId="0" borderId="0">
      <protection locked="0"/>
    </xf>
    <xf numFmtId="7" fontId="25" fillId="0" borderId="0"/>
    <xf numFmtId="0" fontId="27" fillId="0" borderId="30" applyNumberFormat="0" applyFont="0" applyFill="0" applyAlignment="0" applyProtection="0"/>
    <xf numFmtId="42" fontId="72" fillId="0" borderId="0" applyFill="0" applyBorder="0" applyAlignment="0" applyProtection="0"/>
    <xf numFmtId="171" fontId="9" fillId="13" borderId="0">
      <alignment vertical="center"/>
    </xf>
    <xf numFmtId="171" fontId="10" fillId="0" borderId="0">
      <alignment vertical="center"/>
    </xf>
    <xf numFmtId="171" fontId="10" fillId="0" borderId="0">
      <alignment vertical="center"/>
    </xf>
    <xf numFmtId="171" fontId="73" fillId="14" borderId="31" applyNumberFormat="0" applyAlignment="0">
      <alignment horizontal="center" vertical="center"/>
    </xf>
    <xf numFmtId="171" fontId="74" fillId="14" borderId="0">
      <alignment horizontal="center" vertical="center"/>
    </xf>
    <xf numFmtId="14" fontId="9" fillId="14" borderId="0">
      <alignment horizontal="center" vertical="center"/>
    </xf>
    <xf numFmtId="17" fontId="68" fillId="14" borderId="0">
      <alignment horizontal="center" vertical="center"/>
    </xf>
    <xf numFmtId="171" fontId="16" fillId="0" borderId="0">
      <alignment vertical="center"/>
    </xf>
    <xf numFmtId="171" fontId="75" fillId="14" borderId="0">
      <alignment vertical="center"/>
    </xf>
    <xf numFmtId="171" fontId="76" fillId="14" borderId="0">
      <alignment vertical="center"/>
    </xf>
    <xf numFmtId="167" fontId="77" fillId="14" borderId="32">
      <alignment vertical="center"/>
    </xf>
    <xf numFmtId="0" fontId="9" fillId="14" borderId="32">
      <alignment vertical="center"/>
    </xf>
    <xf numFmtId="37" fontId="68" fillId="14" borderId="0">
      <alignment horizontal="left" vertical="center"/>
    </xf>
    <xf numFmtId="171" fontId="68" fillId="14" borderId="0">
      <alignment horizontal="center" vertical="center"/>
    </xf>
    <xf numFmtId="225" fontId="40" fillId="14" borderId="0">
      <alignment horizontal="right" vertical="center"/>
    </xf>
    <xf numFmtId="165" fontId="40" fillId="14" borderId="0">
      <alignment horizontal="right" vertical="center"/>
    </xf>
    <xf numFmtId="167" fontId="78" fillId="14" borderId="0">
      <alignment horizontal="right" vertical="center"/>
    </xf>
    <xf numFmtId="167" fontId="78" fillId="14" borderId="8">
      <alignment horizontal="right" vertical="center"/>
    </xf>
    <xf numFmtId="165" fontId="79" fillId="14" borderId="32">
      <alignment horizontal="right" vertical="center"/>
    </xf>
    <xf numFmtId="170" fontId="30" fillId="14" borderId="0">
      <alignment horizontal="right" vertical="center"/>
    </xf>
    <xf numFmtId="4" fontId="40" fillId="14" borderId="0">
      <alignment horizontal="right" vertical="center"/>
    </xf>
    <xf numFmtId="170" fontId="68" fillId="14" borderId="27">
      <alignment horizontal="right" vertical="center"/>
    </xf>
    <xf numFmtId="165" fontId="68" fillId="14" borderId="27">
      <alignment horizontal="right" vertical="center"/>
    </xf>
    <xf numFmtId="165" fontId="79" fillId="14" borderId="0">
      <alignment horizontal="right" vertical="center"/>
    </xf>
    <xf numFmtId="219" fontId="68" fillId="14" borderId="0">
      <alignment horizontal="right" vertical="center"/>
    </xf>
    <xf numFmtId="171" fontId="9" fillId="0" borderId="0">
      <alignment vertical="center"/>
    </xf>
    <xf numFmtId="171" fontId="16" fillId="14" borderId="27" applyBorder="0">
      <alignment horizontal="left" vertical="center"/>
    </xf>
    <xf numFmtId="171" fontId="80" fillId="14" borderId="0">
      <alignment horizontal="left" vertical="center"/>
    </xf>
    <xf numFmtId="171" fontId="16" fillId="14" borderId="33">
      <alignment horizontal="left"/>
    </xf>
    <xf numFmtId="171" fontId="25" fillId="14" borderId="34">
      <alignment vertical="center"/>
    </xf>
    <xf numFmtId="171" fontId="25" fillId="14" borderId="35">
      <alignment vertical="center"/>
    </xf>
    <xf numFmtId="171" fontId="25" fillId="14" borderId="8">
      <alignment vertical="center"/>
    </xf>
    <xf numFmtId="171" fontId="10" fillId="14" borderId="36">
      <alignment horizontal="center" vertical="center"/>
    </xf>
    <xf numFmtId="171" fontId="10" fillId="0" borderId="0">
      <alignment vertical="center"/>
    </xf>
    <xf numFmtId="171" fontId="10" fillId="0" borderId="0">
      <alignment vertical="center"/>
    </xf>
    <xf numFmtId="171" fontId="10" fillId="0" borderId="0">
      <alignment vertical="center"/>
    </xf>
    <xf numFmtId="167" fontId="81" fillId="0" borderId="37" applyNumberFormat="0" applyAlignment="0" applyProtection="0">
      <alignment vertical="top"/>
    </xf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82" fillId="0" borderId="0" applyNumberFormat="0" applyAlignment="0">
      <alignment horizontal="left"/>
    </xf>
    <xf numFmtId="226" fontId="15" fillId="0" borderId="0" applyFont="0" applyFill="0" applyBorder="0" applyAlignment="0" applyProtection="0"/>
    <xf numFmtId="0" fontId="15" fillId="0" borderId="38" applyNumberFormat="0" applyFont="0" applyFill="0" applyAlignment="0" applyProtection="0"/>
    <xf numFmtId="0" fontId="15" fillId="0" borderId="38" applyNumberFormat="0" applyFont="0" applyFill="0" applyAlignment="0" applyProtection="0"/>
    <xf numFmtId="0" fontId="15" fillId="0" borderId="38" applyNumberFormat="0" applyFont="0" applyFill="0" applyAlignment="0" applyProtection="0"/>
    <xf numFmtId="0" fontId="15" fillId="0" borderId="38" applyNumberFormat="0" applyFont="0" applyFill="0" applyAlignment="0" applyProtection="0"/>
    <xf numFmtId="0" fontId="15" fillId="0" borderId="38" applyNumberFormat="0" applyFont="0" applyFill="0" applyAlignment="0" applyProtection="0"/>
    <xf numFmtId="0" fontId="15" fillId="0" borderId="38" applyNumberFormat="0" applyFont="0" applyFill="0" applyAlignment="0" applyProtection="0"/>
    <xf numFmtId="0" fontId="8" fillId="0" borderId="0" applyNumberFormat="0" applyFill="0" applyBorder="0" applyAlignment="0" applyProtection="0"/>
    <xf numFmtId="167" fontId="38" fillId="0" borderId="0" applyBorder="0"/>
    <xf numFmtId="227" fontId="9" fillId="0" borderId="0">
      <protection locked="0"/>
    </xf>
    <xf numFmtId="0" fontId="59" fillId="0" borderId="0"/>
    <xf numFmtId="0" fontId="83" fillId="0" borderId="0" applyFill="0" applyBorder="0" applyProtection="0">
      <alignment horizontal="left"/>
    </xf>
    <xf numFmtId="216" fontId="84" fillId="0" borderId="0"/>
    <xf numFmtId="0" fontId="85" fillId="0" borderId="0">
      <alignment horizontal="left" indent="2"/>
    </xf>
    <xf numFmtId="38" fontId="86" fillId="15" borderId="0" applyNumberFormat="0" applyBorder="0" applyAlignment="0" applyProtection="0"/>
    <xf numFmtId="0" fontId="27" fillId="0" borderId="0" applyFont="0" applyFill="0" applyBorder="0" applyAlignment="0" applyProtection="0">
      <alignment horizontal="right"/>
    </xf>
    <xf numFmtId="0" fontId="87" fillId="16" borderId="0"/>
    <xf numFmtId="0" fontId="15" fillId="0" borderId="0"/>
    <xf numFmtId="0" fontId="88" fillId="0" borderId="0" applyNumberFormat="0" applyFill="0" applyBorder="0" applyAlignment="0" applyProtection="0">
      <alignment horizontal="left"/>
    </xf>
    <xf numFmtId="0" fontId="89" fillId="0" borderId="0" applyNumberFormat="0" applyFill="0" applyBorder="0" applyAlignment="0" applyProtection="0">
      <alignment horizontal="left"/>
    </xf>
    <xf numFmtId="0" fontId="90" fillId="0" borderId="0" applyNumberFormat="0" applyFill="0" applyBorder="0" applyAlignment="0" applyProtection="0">
      <alignment horizontal="left"/>
    </xf>
    <xf numFmtId="0" fontId="91" fillId="0" borderId="0" applyNumberFormat="0" applyFill="0" applyBorder="0" applyAlignment="0" applyProtection="0">
      <alignment horizontal="left"/>
    </xf>
    <xf numFmtId="0" fontId="92" fillId="0" borderId="0" applyNumberFormat="0" applyFill="0" applyAlignment="0" applyProtection="0">
      <alignment horizontal="left"/>
    </xf>
    <xf numFmtId="0" fontId="91" fillId="0" borderId="0" applyNumberFormat="0" applyFill="0" applyBorder="0" applyAlignment="0" applyProtection="0">
      <alignment horizontal="left"/>
    </xf>
    <xf numFmtId="0" fontId="92" fillId="0" borderId="0" applyNumberFormat="0" applyFill="0" applyBorder="0" applyAlignment="0" applyProtection="0">
      <alignment horizontal="left"/>
    </xf>
    <xf numFmtId="0" fontId="93" fillId="0" borderId="0" applyNumberFormat="0" applyFill="0" applyBorder="0" applyAlignment="0" applyProtection="0">
      <alignment horizontal="left"/>
    </xf>
    <xf numFmtId="0" fontId="94" fillId="0" borderId="0" applyNumberFormat="0" applyFill="0" applyBorder="0" applyAlignment="0" applyProtection="0">
      <alignment horizontal="left"/>
    </xf>
    <xf numFmtId="0" fontId="95" fillId="0" borderId="0" applyNumberFormat="0" applyFill="0" applyBorder="0" applyAlignment="0" applyProtection="0"/>
    <xf numFmtId="0" fontId="96" fillId="0" borderId="6" applyNumberFormat="0" applyAlignment="0" applyProtection="0">
      <alignment horizontal="left" vertical="center"/>
    </xf>
    <xf numFmtId="0" fontId="96" fillId="0" borderId="3">
      <alignment horizontal="left" vertical="center"/>
    </xf>
    <xf numFmtId="8" fontId="34" fillId="0" borderId="0" applyProtection="0">
      <alignment horizontal="center"/>
    </xf>
    <xf numFmtId="0" fontId="20" fillId="0" borderId="0">
      <alignment horizontal="right"/>
    </xf>
    <xf numFmtId="0" fontId="20" fillId="0" borderId="0">
      <alignment horizontal="left"/>
    </xf>
    <xf numFmtId="0" fontId="15" fillId="0" borderId="0">
      <protection locked="0"/>
    </xf>
    <xf numFmtId="0" fontId="15" fillId="0" borderId="0">
      <protection locked="0"/>
    </xf>
    <xf numFmtId="0" fontId="97" fillId="0" borderId="39" applyNumberFormat="0" applyFill="0" applyBorder="0" applyAlignment="0" applyProtection="0">
      <alignment horizontal="left"/>
    </xf>
    <xf numFmtId="0" fontId="98" fillId="0" borderId="0">
      <alignment horizontal="center"/>
    </xf>
    <xf numFmtId="0" fontId="99" fillId="0" borderId="11"/>
    <xf numFmtId="0" fontId="15" fillId="11" borderId="5" applyNumberFormat="0" applyFont="0" applyBorder="0" applyAlignment="0" applyProtection="0"/>
    <xf numFmtId="0" fontId="15" fillId="11" borderId="5" applyNumberFormat="0" applyFont="0" applyBorder="0" applyAlignment="0" applyProtection="0"/>
    <xf numFmtId="0" fontId="15" fillId="11" borderId="5" applyNumberFormat="0" applyFont="0" applyBorder="0" applyAlignment="0" applyProtection="0"/>
    <xf numFmtId="0" fontId="15" fillId="11" borderId="5" applyNumberFormat="0" applyFont="0" applyBorder="0" applyAlignment="0" applyProtection="0"/>
    <xf numFmtId="0" fontId="15" fillId="11" borderId="5" applyNumberFormat="0" applyFont="0" applyBorder="0" applyAlignment="0" applyProtection="0"/>
    <xf numFmtId="0" fontId="15" fillId="11" borderId="5" applyNumberFormat="0" applyFont="0" applyBorder="0" applyAlignment="0" applyProtection="0"/>
    <xf numFmtId="3" fontId="49" fillId="0" borderId="0" applyNumberFormat="0" applyFill="0" applyBorder="0" applyAlignment="0" applyProtection="0"/>
    <xf numFmtId="228" fontId="9" fillId="0" borderId="0"/>
    <xf numFmtId="228" fontId="100" fillId="0" borderId="0" applyFont="0" applyFill="0" applyBorder="0" applyAlignment="0" applyProtection="0"/>
    <xf numFmtId="0" fontId="101" fillId="0" borderId="40" applyNumberFormat="0" applyFill="0" applyAlignment="0" applyProtection="0"/>
    <xf numFmtId="37" fontId="38" fillId="0" borderId="0" applyBorder="0"/>
    <xf numFmtId="10" fontId="86" fillId="17" borderId="1" applyNumberFormat="0" applyBorder="0" applyAlignment="0" applyProtection="0"/>
    <xf numFmtId="40" fontId="42" fillId="0" borderId="1">
      <protection locked="0"/>
    </xf>
    <xf numFmtId="38" fontId="42" fillId="0" borderId="1">
      <protection locked="0"/>
    </xf>
    <xf numFmtId="8" fontId="42" fillId="0" borderId="1">
      <protection locked="0"/>
    </xf>
    <xf numFmtId="6" fontId="42" fillId="0" borderId="1">
      <protection locked="0"/>
    </xf>
    <xf numFmtId="10" fontId="42" fillId="0" borderId="1">
      <protection locked="0"/>
    </xf>
    <xf numFmtId="9" fontId="42" fillId="0" borderId="1">
      <protection locked="0"/>
    </xf>
    <xf numFmtId="38" fontId="101" fillId="0" borderId="0"/>
    <xf numFmtId="40" fontId="9" fillId="0" borderId="0"/>
    <xf numFmtId="229" fontId="25" fillId="0" borderId="0">
      <alignment horizontal="left"/>
    </xf>
    <xf numFmtId="0" fontId="15" fillId="0" borderId="28"/>
    <xf numFmtId="2" fontId="102" fillId="0" borderId="1"/>
    <xf numFmtId="0" fontId="86" fillId="15" borderId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37" fontId="103" fillId="0" borderId="0" applyNumberFormat="0" applyFill="0" applyBorder="0" applyAlignment="0" applyProtection="0">
      <alignment horizontal="right"/>
    </xf>
    <xf numFmtId="44" fontId="8" fillId="0" borderId="0">
      <alignment horizontal="justify"/>
    </xf>
    <xf numFmtId="230" fontId="38" fillId="0" borderId="0"/>
    <xf numFmtId="231" fontId="27" fillId="0" borderId="0" applyFill="0" applyBorder="0" applyAlignment="0" applyProtection="0">
      <alignment horizontal="right"/>
    </xf>
    <xf numFmtId="232" fontId="15" fillId="0" borderId="0" applyFont="0" applyFill="0" applyBorder="0" applyAlignment="0" applyProtection="0"/>
    <xf numFmtId="233" fontId="15" fillId="0" borderId="0" applyFont="0" applyFill="0" applyBorder="0" applyAlignment="0" applyProtection="0"/>
    <xf numFmtId="234" fontId="15" fillId="0" borderId="0" applyFont="0" applyFill="0" applyBorder="0" applyAlignment="0" applyProtection="0"/>
    <xf numFmtId="235" fontId="15" fillId="0" borderId="0" applyFont="0" applyFill="0" applyBorder="0" applyAlignment="0" applyProtection="0"/>
    <xf numFmtId="236" fontId="15" fillId="0" borderId="0" applyFont="0" applyFill="0" applyBorder="0" applyAlignment="0" applyProtection="0"/>
    <xf numFmtId="237" fontId="15" fillId="0" borderId="0" applyFont="0" applyFill="0" applyBorder="0" applyAlignment="0" applyProtection="0"/>
    <xf numFmtId="238" fontId="15" fillId="0" borderId="0" applyFont="0" applyFill="0" applyBorder="0" applyAlignment="0" applyProtection="0"/>
    <xf numFmtId="239" fontId="104" fillId="0" borderId="0" applyFont="0" applyFill="0" applyBorder="0" applyAlignment="0" applyProtection="0"/>
    <xf numFmtId="240" fontId="15" fillId="0" borderId="0" applyFont="0" applyFill="0" applyBorder="0" applyAlignment="0" applyProtection="0"/>
    <xf numFmtId="241" fontId="15" fillId="0" borderId="0" applyFont="0" applyFill="0" applyBorder="0" applyAlignment="0" applyProtection="0"/>
    <xf numFmtId="242" fontId="15" fillId="0" borderId="0" applyFont="0" applyFill="0" applyBorder="0" applyAlignment="0" applyProtection="0"/>
    <xf numFmtId="237" fontId="15" fillId="0" borderId="0" applyFont="0" applyFill="0" applyBorder="0" applyAlignment="0" applyProtection="0"/>
    <xf numFmtId="0" fontId="105" fillId="0" borderId="0"/>
    <xf numFmtId="0" fontId="27" fillId="0" borderId="0" applyFont="0" applyFill="0" applyBorder="0" applyAlignment="0" applyProtection="0">
      <alignment horizontal="right"/>
    </xf>
    <xf numFmtId="243" fontId="25" fillId="0" borderId="0" applyFont="0" applyFill="0" applyBorder="0" applyAlignment="0" applyProtection="0"/>
    <xf numFmtId="244" fontId="25" fillId="0" borderId="0" applyFont="0" applyFill="0" applyBorder="0" applyAlignment="0" applyProtection="0"/>
    <xf numFmtId="245" fontId="27" fillId="0" borderId="0" applyFont="0" applyFill="0" applyBorder="0" applyAlignment="0" applyProtection="0">
      <alignment horizontal="right"/>
    </xf>
    <xf numFmtId="37" fontId="106" fillId="0" borderId="0"/>
    <xf numFmtId="38" fontId="26" fillId="0" borderId="1"/>
    <xf numFmtId="246" fontId="107" fillId="0" borderId="0"/>
    <xf numFmtId="0" fontId="15" fillId="0" borderId="0"/>
    <xf numFmtId="0" fontId="61" fillId="11" borderId="41"/>
    <xf numFmtId="17" fontId="61" fillId="0" borderId="29">
      <alignment horizontal="center"/>
    </xf>
    <xf numFmtId="0" fontId="15" fillId="0" borderId="0"/>
    <xf numFmtId="0" fontId="108" fillId="0" borderId="0"/>
    <xf numFmtId="0" fontId="48" fillId="0" borderId="29"/>
    <xf numFmtId="247" fontId="9" fillId="14" borderId="0" applyBorder="0">
      <alignment vertical="center"/>
    </xf>
    <xf numFmtId="3" fontId="46" fillId="0" borderId="42">
      <protection locked="0"/>
    </xf>
    <xf numFmtId="9" fontId="46" fillId="0" borderId="42"/>
    <xf numFmtId="248" fontId="26" fillId="0" borderId="17"/>
    <xf numFmtId="3" fontId="9" fillId="0" borderId="1"/>
    <xf numFmtId="248" fontId="109" fillId="18" borderId="1"/>
    <xf numFmtId="189" fontId="110" fillId="0" borderId="0"/>
    <xf numFmtId="3" fontId="26" fillId="0" borderId="43"/>
    <xf numFmtId="0" fontId="26" fillId="0" borderId="1"/>
    <xf numFmtId="1" fontId="71" fillId="0" borderId="0">
      <alignment horizontal="right"/>
      <protection locked="0"/>
    </xf>
    <xf numFmtId="171" fontId="75" fillId="0" borderId="0">
      <alignment horizontal="right"/>
      <protection locked="0"/>
    </xf>
    <xf numFmtId="0" fontId="71" fillId="0" borderId="0">
      <protection locked="0"/>
    </xf>
    <xf numFmtId="2" fontId="75" fillId="0" borderId="0">
      <alignment horizontal="right"/>
      <protection locked="0"/>
    </xf>
    <xf numFmtId="2" fontId="71" fillId="0" borderId="0">
      <alignment horizontal="right"/>
      <protection locked="0"/>
    </xf>
    <xf numFmtId="249" fontId="15" fillId="0" borderId="0" applyFont="0" applyBorder="0" applyAlignment="0">
      <alignment horizontal="centerContinuous"/>
    </xf>
    <xf numFmtId="0" fontId="15" fillId="0" borderId="38" applyNumberFormat="0" applyFont="0" applyFill="0" applyAlignment="0" applyProtection="0"/>
    <xf numFmtId="0" fontId="15" fillId="0" borderId="38" applyNumberFormat="0" applyFont="0" applyFill="0" applyAlignment="0" applyProtection="0"/>
    <xf numFmtId="0" fontId="15" fillId="0" borderId="38" applyNumberFormat="0" applyFont="0" applyFill="0" applyAlignment="0" applyProtection="0"/>
    <xf numFmtId="0" fontId="15" fillId="0" borderId="38" applyNumberFormat="0" applyFont="0" applyFill="0" applyAlignment="0" applyProtection="0"/>
    <xf numFmtId="0" fontId="15" fillId="0" borderId="38" applyNumberFormat="0" applyFont="0" applyFill="0" applyAlignment="0" applyProtection="0"/>
    <xf numFmtId="0" fontId="15" fillId="0" borderId="38" applyNumberFormat="0" applyFont="0" applyFill="0" applyAlignment="0" applyProtection="0"/>
    <xf numFmtId="40" fontId="111" fillId="0" borderId="0" applyFont="0" applyFill="0" applyBorder="0" applyAlignment="0" applyProtection="0"/>
    <xf numFmtId="38" fontId="111" fillId="0" borderId="0" applyFont="0" applyFill="0" applyBorder="0" applyAlignment="0" applyProtection="0"/>
    <xf numFmtId="0" fontId="85" fillId="19" borderId="1" applyNumberFormat="0" applyAlignment="0">
      <protection locked="0"/>
    </xf>
    <xf numFmtId="0" fontId="47" fillId="0" borderId="44">
      <alignment horizontal="left" wrapText="1"/>
    </xf>
    <xf numFmtId="4" fontId="24" fillId="14" borderId="0">
      <alignment horizontal="right"/>
    </xf>
    <xf numFmtId="0" fontId="112" fillId="14" borderId="0">
      <alignment horizontal="center" vertical="center"/>
    </xf>
    <xf numFmtId="0" fontId="113" fillId="14" borderId="13"/>
    <xf numFmtId="0" fontId="112" fillId="14" borderId="0" applyBorder="0">
      <alignment horizontal="centerContinuous"/>
    </xf>
    <xf numFmtId="0" fontId="114" fillId="14" borderId="0" applyBorder="0">
      <alignment horizontal="centerContinuous"/>
    </xf>
    <xf numFmtId="0" fontId="15" fillId="0" borderId="45" applyNumberFormat="0" applyFont="0" applyFill="0" applyAlignment="0" applyProtection="0"/>
    <xf numFmtId="0" fontId="15" fillId="0" borderId="45" applyNumberFormat="0" applyFont="0" applyFill="0" applyAlignment="0" applyProtection="0"/>
    <xf numFmtId="0" fontId="15" fillId="0" borderId="45" applyNumberFormat="0" applyFont="0" applyFill="0" applyAlignment="0" applyProtection="0"/>
    <xf numFmtId="0" fontId="15" fillId="0" borderId="45" applyNumberFormat="0" applyFont="0" applyFill="0" applyAlignment="0" applyProtection="0"/>
    <xf numFmtId="0" fontId="15" fillId="0" borderId="45" applyNumberFormat="0" applyFont="0" applyFill="0" applyAlignment="0" applyProtection="0"/>
    <xf numFmtId="0" fontId="15" fillId="0" borderId="45" applyNumberFormat="0" applyFont="0" applyFill="0" applyAlignment="0" applyProtection="0"/>
    <xf numFmtId="0" fontId="15" fillId="0" borderId="4" applyNumberFormat="0" applyFont="0" applyFill="0" applyAlignment="0" applyProtection="0"/>
    <xf numFmtId="250" fontId="38" fillId="0" borderId="22" applyBorder="0"/>
    <xf numFmtId="0" fontId="115" fillId="0" borderId="0" applyProtection="0">
      <alignment horizontal="left"/>
    </xf>
    <xf numFmtId="0" fontId="115" fillId="0" borderId="0" applyFill="0" applyBorder="0" applyProtection="0">
      <alignment horizontal="left"/>
    </xf>
    <xf numFmtId="0" fontId="19" fillId="0" borderId="0" applyFill="0" applyBorder="0" applyProtection="0">
      <alignment horizontal="left"/>
    </xf>
    <xf numFmtId="1" fontId="116" fillId="0" borderId="0" applyProtection="0">
      <alignment horizontal="right" vertical="center"/>
    </xf>
    <xf numFmtId="0" fontId="117" fillId="20" borderId="46"/>
    <xf numFmtId="171" fontId="15" fillId="0" borderId="0" applyFill="0"/>
    <xf numFmtId="0" fontId="10" fillId="0" borderId="47" applyNumberFormat="0" applyAlignment="0" applyProtection="0"/>
    <xf numFmtId="0" fontId="9" fillId="18" borderId="0" applyNumberFormat="0" applyFont="0" applyBorder="0" applyAlignment="0" applyProtection="0"/>
    <xf numFmtId="0" fontId="86" fillId="21" borderId="48" applyNumberFormat="0" applyFont="0" applyBorder="0" applyAlignment="0" applyProtection="0">
      <alignment horizontal="center"/>
    </xf>
    <xf numFmtId="0" fontId="86" fillId="11" borderId="48" applyNumberFormat="0" applyFont="0" applyBorder="0" applyAlignment="0" applyProtection="0">
      <alignment horizontal="center"/>
    </xf>
    <xf numFmtId="0" fontId="9" fillId="0" borderId="49" applyNumberFormat="0" applyAlignment="0" applyProtection="0"/>
    <xf numFmtId="0" fontId="9" fillId="0" borderId="50" applyNumberFormat="0" applyAlignment="0" applyProtection="0"/>
    <xf numFmtId="0" fontId="10" fillId="0" borderId="51" applyNumberFormat="0" applyAlignment="0" applyProtection="0"/>
    <xf numFmtId="49" fontId="118" fillId="0" borderId="27" applyFill="0" applyProtection="0">
      <alignment vertical="center"/>
    </xf>
    <xf numFmtId="14" fontId="25" fillId="0" borderId="0">
      <alignment horizontal="center" wrapText="1"/>
      <protection locked="0"/>
    </xf>
    <xf numFmtId="0" fontId="25" fillId="0" borderId="0">
      <alignment horizontal="right"/>
    </xf>
    <xf numFmtId="0" fontId="59" fillId="0" borderId="0"/>
    <xf numFmtId="0" fontId="58" fillId="0" borderId="0"/>
    <xf numFmtId="0" fontId="59" fillId="0" borderId="0"/>
    <xf numFmtId="9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67" fontId="25" fillId="0" borderId="0">
      <alignment horizontal="right"/>
    </xf>
    <xf numFmtId="10" fontId="25" fillId="0" borderId="0">
      <alignment horizontal="right"/>
    </xf>
    <xf numFmtId="251" fontId="25" fillId="0" borderId="0" applyFont="0" applyFill="0" applyBorder="0" applyProtection="0">
      <alignment horizontal="right"/>
    </xf>
    <xf numFmtId="9" fontId="25" fillId="0" borderId="0">
      <alignment horizontal="right"/>
    </xf>
    <xf numFmtId="9" fontId="61" fillId="0" borderId="19">
      <alignment horizontal="center"/>
    </xf>
    <xf numFmtId="167" fontId="25" fillId="0" borderId="0"/>
    <xf numFmtId="167" fontId="71" fillId="0" borderId="0"/>
    <xf numFmtId="10" fontId="25" fillId="0" borderId="0"/>
    <xf numFmtId="10" fontId="71" fillId="0" borderId="0">
      <protection locked="0"/>
    </xf>
    <xf numFmtId="9" fontId="61" fillId="0" borderId="19">
      <alignment horizontal="right"/>
    </xf>
    <xf numFmtId="252" fontId="15" fillId="0" borderId="0"/>
    <xf numFmtId="9" fontId="15" fillId="0" borderId="0" applyFont="0" applyFill="0" applyBorder="0" applyAlignment="0" applyProtection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253" fontId="15" fillId="0" borderId="0" applyProtection="0">
      <alignment horizontal="right"/>
    </xf>
    <xf numFmtId="253" fontId="15" fillId="0" borderId="0">
      <alignment horizontal="right"/>
      <protection locked="0"/>
    </xf>
    <xf numFmtId="5" fontId="119" fillId="0" borderId="0"/>
    <xf numFmtId="0" fontId="120" fillId="0" borderId="0" applyNumberFormat="0" applyFont="0" applyFill="0" applyBorder="0" applyAlignment="0" applyProtection="0">
      <alignment horizontal="left"/>
    </xf>
    <xf numFmtId="15" fontId="120" fillId="0" borderId="0" applyFont="0" applyFill="0" applyBorder="0" applyAlignment="0" applyProtection="0"/>
    <xf numFmtId="4" fontId="120" fillId="0" borderId="0" applyFont="0" applyFill="0" applyBorder="0" applyAlignment="0" applyProtection="0"/>
    <xf numFmtId="0" fontId="121" fillId="0" borderId="22">
      <alignment horizontal="center"/>
    </xf>
    <xf numFmtId="3" fontId="120" fillId="0" borderId="0" applyFont="0" applyFill="0" applyBorder="0" applyAlignment="0" applyProtection="0"/>
    <xf numFmtId="0" fontId="120" fillId="22" borderId="0" applyNumberFormat="0" applyFon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22" fillId="23" borderId="0" applyNumberFormat="0" applyFont="0" applyBorder="0" applyAlignment="0">
      <alignment horizontal="center"/>
    </xf>
    <xf numFmtId="14" fontId="123" fillId="0" borderId="0" applyNumberFormat="0" applyFill="0" applyBorder="0" applyAlignment="0" applyProtection="0">
      <alignment horizontal="left"/>
    </xf>
    <xf numFmtId="0" fontId="124" fillId="0" borderId="0" applyNumberFormat="0" applyFill="0" applyBorder="0" applyProtection="0">
      <alignment horizontal="right" vertical="center"/>
    </xf>
    <xf numFmtId="0" fontId="64" fillId="0" borderId="0"/>
    <xf numFmtId="0" fontId="125" fillId="0" borderId="52">
      <alignment vertical="center"/>
    </xf>
    <xf numFmtId="0" fontId="119" fillId="0" borderId="53"/>
    <xf numFmtId="171" fontId="15" fillId="0" borderId="0" applyProtection="0">
      <alignment horizontal="center"/>
    </xf>
    <xf numFmtId="254" fontId="15" fillId="0" borderId="0" applyFont="0" applyFill="0" applyBorder="0" applyAlignment="0" applyProtection="0"/>
    <xf numFmtId="0" fontId="9" fillId="24" borderId="0" applyNumberFormat="0" applyFont="0" applyBorder="0" applyAlignment="0" applyProtection="0"/>
    <xf numFmtId="0" fontId="122" fillId="1" borderId="3" applyNumberFormat="0" applyFont="0" applyAlignment="0">
      <alignment horizontal="center"/>
    </xf>
    <xf numFmtId="42" fontId="50" fillId="0" borderId="0" applyFill="0" applyBorder="0" applyAlignment="0" applyProtection="0"/>
    <xf numFmtId="0" fontId="126" fillId="0" borderId="0" applyNumberFormat="0">
      <alignment horizontal="left"/>
    </xf>
    <xf numFmtId="2" fontId="23" fillId="0" borderId="54"/>
    <xf numFmtId="0" fontId="15" fillId="11" borderId="0" applyNumberFormat="0" applyBorder="0" applyProtection="0">
      <alignment horizontal="center"/>
    </xf>
    <xf numFmtId="0" fontId="127" fillId="0" borderId="0" applyNumberFormat="0" applyFill="0" applyBorder="0" applyAlignment="0">
      <alignment horizontal="center"/>
    </xf>
    <xf numFmtId="0" fontId="15" fillId="0" borderId="0"/>
    <xf numFmtId="0" fontId="128" fillId="0" borderId="0"/>
    <xf numFmtId="0" fontId="15" fillId="0" borderId="0">
      <alignment horizontal="left" wrapText="1"/>
    </xf>
    <xf numFmtId="0" fontId="109" fillId="0" borderId="55"/>
    <xf numFmtId="0" fontId="129" fillId="0" borderId="0"/>
    <xf numFmtId="0" fontId="130" fillId="0" borderId="0">
      <alignment horizontal="left"/>
    </xf>
    <xf numFmtId="213" fontId="15" fillId="0" borderId="0" applyFill="0" applyBorder="0" applyAlignment="0" applyProtection="0"/>
    <xf numFmtId="0" fontId="19" fillId="0" borderId="0"/>
    <xf numFmtId="0" fontId="56" fillId="0" borderId="0">
      <alignment horizontal="left" indent="1"/>
    </xf>
    <xf numFmtId="49" fontId="38" fillId="0" borderId="0"/>
    <xf numFmtId="0" fontId="131" fillId="0" borderId="0" applyFill="0" applyBorder="0" applyProtection="0">
      <alignment horizontal="center" vertical="center"/>
    </xf>
    <xf numFmtId="0" fontId="132" fillId="0" borderId="0" applyBorder="0" applyProtection="0">
      <alignment vertical="center"/>
    </xf>
    <xf numFmtId="0" fontId="132" fillId="0" borderId="27" applyBorder="0" applyProtection="0">
      <alignment horizontal="right" vertical="center"/>
    </xf>
    <xf numFmtId="0" fontId="133" fillId="25" borderId="0" applyBorder="0" applyProtection="0">
      <alignment horizontal="centerContinuous" vertical="center"/>
    </xf>
    <xf numFmtId="0" fontId="133" fillId="2" borderId="27" applyBorder="0" applyProtection="0">
      <alignment horizontal="centerContinuous" vertical="center"/>
    </xf>
    <xf numFmtId="0" fontId="134" fillId="0" borderId="0"/>
    <xf numFmtId="0" fontId="135" fillId="0" borderId="0" applyBorder="0" applyProtection="0">
      <alignment horizontal="left"/>
    </xf>
    <xf numFmtId="0" fontId="136" fillId="0" borderId="0" applyFill="0" applyBorder="0" applyProtection="0"/>
    <xf numFmtId="0" fontId="108" fillId="0" borderId="0"/>
    <xf numFmtId="0" fontId="137" fillId="0" borderId="0" applyFill="0" applyBorder="0" applyProtection="0">
      <alignment horizontal="left"/>
    </xf>
    <xf numFmtId="0" fontId="83" fillId="0" borderId="56" applyFill="0" applyBorder="0" applyProtection="0">
      <alignment horizontal="left" vertical="top"/>
    </xf>
    <xf numFmtId="0" fontId="10" fillId="0" borderId="0">
      <alignment horizontal="centerContinuous"/>
    </xf>
    <xf numFmtId="203" fontId="138" fillId="0" borderId="0" applyNumberFormat="0" applyFill="0" applyBorder="0">
      <alignment horizontal="left"/>
    </xf>
    <xf numFmtId="0" fontId="139" fillId="0" borderId="0"/>
    <xf numFmtId="0" fontId="71" fillId="0" borderId="0">
      <alignment horizontal="left"/>
      <protection locked="0"/>
    </xf>
    <xf numFmtId="0" fontId="140" fillId="0" borderId="0"/>
    <xf numFmtId="49" fontId="24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18" fontId="38" fillId="0" borderId="0" applyFill="0" applyProtection="0">
      <alignment horizont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0" fontId="12" fillId="0" borderId="0"/>
    <xf numFmtId="0" fontId="11" fillId="0" borderId="0" applyNumberFormat="0" applyFont="0" applyBorder="0" applyAlignment="0"/>
    <xf numFmtId="0" fontId="141" fillId="0" borderId="0">
      <alignment horizontal="center"/>
    </xf>
    <xf numFmtId="229" fontId="10" fillId="0" borderId="0">
      <alignment horizontal="centerContinuous"/>
    </xf>
    <xf numFmtId="229" fontId="142" fillId="0" borderId="57">
      <alignment horizontal="centerContinuous"/>
    </xf>
    <xf numFmtId="229" fontId="14" fillId="0" borderId="0">
      <alignment horizontal="centerContinuous"/>
      <protection locked="0"/>
    </xf>
    <xf numFmtId="229" fontId="14" fillId="0" borderId="0">
      <alignment horizontal="left"/>
    </xf>
    <xf numFmtId="0" fontId="36" fillId="0" borderId="0">
      <alignment horizontal="center"/>
    </xf>
    <xf numFmtId="0" fontId="36" fillId="0" borderId="0">
      <alignment horizontal="left"/>
    </xf>
    <xf numFmtId="0" fontId="85" fillId="0" borderId="0">
      <alignment horizontal="center"/>
    </xf>
    <xf numFmtId="39" fontId="143" fillId="0" borderId="0">
      <alignment vertical="center"/>
    </xf>
    <xf numFmtId="39" fontId="143" fillId="0" borderId="0">
      <alignment vertical="center"/>
    </xf>
    <xf numFmtId="39" fontId="144" fillId="0" borderId="0">
      <alignment vertical="center"/>
    </xf>
    <xf numFmtId="0" fontId="145" fillId="0" borderId="0"/>
    <xf numFmtId="44" fontId="61" fillId="0" borderId="19"/>
    <xf numFmtId="0" fontId="146" fillId="0" borderId="0" applyNumberFormat="0" applyFill="0" applyBorder="0" applyAlignment="0" applyProtection="0">
      <alignment horizontal="left"/>
    </xf>
    <xf numFmtId="0" fontId="147" fillId="0" borderId="0" applyNumberFormat="0" applyFill="0" applyBorder="0" applyAlignment="0" applyProtection="0">
      <alignment horizontal="left"/>
    </xf>
    <xf numFmtId="0" fontId="148" fillId="0" borderId="0" applyNumberFormat="0" applyFill="0" applyBorder="0" applyAlignment="0" applyProtection="0">
      <alignment horizontal="left"/>
    </xf>
    <xf numFmtId="0" fontId="149" fillId="0" borderId="0" applyNumberFormat="0" applyFill="0" applyBorder="0" applyAlignment="0" applyProtection="0">
      <alignment horizontal="left"/>
    </xf>
    <xf numFmtId="0" fontId="150" fillId="0" borderId="0" applyNumberFormat="0" applyFill="0" applyBorder="0" applyAlignment="0" applyProtection="0">
      <alignment horizontal="left"/>
    </xf>
    <xf numFmtId="0" fontId="149" fillId="0" borderId="0" applyNumberFormat="0" applyFill="0" applyBorder="0" applyAlignment="0" applyProtection="0">
      <alignment horizontal="left"/>
    </xf>
    <xf numFmtId="0" fontId="150" fillId="0" borderId="0" applyNumberFormat="0" applyFill="0" applyBorder="0" applyAlignment="0" applyProtection="0">
      <alignment horizontal="left"/>
    </xf>
    <xf numFmtId="0" fontId="151" fillId="0" borderId="0">
      <alignment horizontal="left"/>
    </xf>
    <xf numFmtId="0" fontId="38" fillId="0" borderId="0" applyNumberFormat="0" applyFill="0" applyBorder="0" applyAlignment="0" applyProtection="0">
      <alignment horizontal="left"/>
    </xf>
    <xf numFmtId="44" fontId="152" fillId="0" borderId="19"/>
    <xf numFmtId="37" fontId="61" fillId="0" borderId="19"/>
    <xf numFmtId="0" fontId="15" fillId="11" borderId="0" applyNumberFormat="0" applyFont="0" applyBorder="0" applyAlignment="0" applyProtection="0"/>
    <xf numFmtId="0" fontId="15" fillId="11" borderId="0" applyNumberFormat="0" applyFont="0" applyBorder="0" applyAlignment="0" applyProtection="0"/>
    <xf numFmtId="0" fontId="15" fillId="11" borderId="0" applyNumberFormat="0" applyFont="0" applyBorder="0" applyAlignment="0" applyProtection="0"/>
    <xf numFmtId="0" fontId="15" fillId="11" borderId="0" applyNumberFormat="0" applyFont="0" applyBorder="0" applyAlignment="0" applyProtection="0"/>
    <xf numFmtId="0" fontId="15" fillId="11" borderId="0" applyNumberFormat="0" applyFont="0" applyBorder="0" applyAlignment="0" applyProtection="0"/>
    <xf numFmtId="0" fontId="15" fillId="11" borderId="0" applyNumberFormat="0" applyFont="0" applyBorder="0" applyAlignment="0" applyProtection="0"/>
    <xf numFmtId="255" fontId="15" fillId="0" borderId="0">
      <alignment horizontal="right"/>
    </xf>
    <xf numFmtId="203" fontId="153" fillId="0" borderId="0">
      <alignment horizontal="left"/>
      <protection locked="0"/>
    </xf>
    <xf numFmtId="222" fontId="142" fillId="0" borderId="0">
      <alignment horizontal="right"/>
    </xf>
    <xf numFmtId="223" fontId="15" fillId="0" borderId="0">
      <alignment horizontal="right"/>
    </xf>
    <xf numFmtId="1" fontId="142" fillId="0" borderId="0">
      <alignment horizontal="left"/>
    </xf>
    <xf numFmtId="221" fontId="142" fillId="0" borderId="0">
      <alignment horizontal="right"/>
    </xf>
    <xf numFmtId="0" fontId="154" fillId="0" borderId="0">
      <alignment horizontal="fill"/>
    </xf>
    <xf numFmtId="0" fontId="15" fillId="0" borderId="22" applyNumberFormat="0" applyFont="0" applyFill="0" applyAlignment="0" applyProtection="0"/>
    <xf numFmtId="0" fontId="15" fillId="0" borderId="22" applyNumberFormat="0" applyFont="0" applyFill="0" applyAlignment="0" applyProtection="0"/>
    <xf numFmtId="0" fontId="15" fillId="0" borderId="22" applyNumberFormat="0" applyFont="0" applyFill="0" applyAlignment="0" applyProtection="0"/>
    <xf numFmtId="0" fontId="15" fillId="0" borderId="22" applyNumberFormat="0" applyFont="0" applyFill="0" applyAlignment="0" applyProtection="0"/>
    <xf numFmtId="0" fontId="15" fillId="0" borderId="22" applyNumberFormat="0" applyFont="0" applyFill="0" applyAlignment="0" applyProtection="0"/>
    <xf numFmtId="0" fontId="15" fillId="0" borderId="22" applyNumberFormat="0" applyFont="0" applyFill="0" applyAlignment="0" applyProtection="0"/>
    <xf numFmtId="37" fontId="86" fillId="26" borderId="0" applyNumberFormat="0" applyBorder="0" applyAlignment="0" applyProtection="0"/>
    <xf numFmtId="37" fontId="86" fillId="0" borderId="0"/>
    <xf numFmtId="3" fontId="155" fillId="0" borderId="40" applyProtection="0"/>
    <xf numFmtId="0" fontId="15" fillId="0" borderId="0"/>
    <xf numFmtId="256" fontId="15" fillId="0" borderId="0" applyFont="0" applyFill="0" applyBorder="0" applyAlignment="0" applyProtection="0"/>
    <xf numFmtId="257" fontId="15" fillId="0" borderId="0" applyFont="0" applyFill="0" applyBorder="0" applyAlignment="0" applyProtection="0"/>
    <xf numFmtId="4" fontId="104" fillId="0" borderId="0" applyFont="0" applyFill="0" applyBorder="0" applyAlignment="0" applyProtection="0"/>
    <xf numFmtId="189" fontId="156" fillId="0" borderId="0"/>
    <xf numFmtId="0" fontId="157" fillId="27" borderId="0">
      <alignment horizontal="right"/>
    </xf>
    <xf numFmtId="189" fontId="157" fillId="27" borderId="0">
      <alignment horizontal="right"/>
    </xf>
    <xf numFmtId="189" fontId="157" fillId="27" borderId="0">
      <alignment horizontal="right"/>
    </xf>
    <xf numFmtId="0" fontId="157" fillId="27" borderId="0">
      <alignment horizontal="right"/>
    </xf>
    <xf numFmtId="189" fontId="157" fillId="27" borderId="0">
      <alignment horizontal="right"/>
    </xf>
    <xf numFmtId="189" fontId="157" fillId="27" borderId="0">
      <alignment horizontal="right"/>
    </xf>
    <xf numFmtId="258" fontId="158" fillId="0" borderId="27" applyBorder="0" applyProtection="0">
      <alignment horizontal="right"/>
    </xf>
    <xf numFmtId="0" fontId="50" fillId="0" borderId="0" applyFont="0" applyFill="0" applyBorder="0" applyAlignment="0" applyProtection="0"/>
    <xf numFmtId="259" fontId="14" fillId="0" borderId="48">
      <alignment horizontal="center"/>
    </xf>
    <xf numFmtId="0" fontId="159" fillId="0" borderId="0">
      <alignment vertical="center"/>
    </xf>
    <xf numFmtId="40" fontId="120" fillId="0" borderId="0" applyFont="0" applyFill="0" applyBorder="0" applyAlignment="0" applyProtection="0"/>
    <xf numFmtId="41" fontId="160" fillId="0" borderId="0" applyFont="0" applyFill="0" applyBorder="0" applyAlignment="0" applyProtection="0"/>
    <xf numFmtId="0" fontId="26" fillId="0" borderId="0"/>
    <xf numFmtId="8" fontId="120" fillId="0" borderId="0" applyFont="0" applyFill="0" applyBorder="0" applyAlignment="0" applyProtection="0"/>
    <xf numFmtId="6" fontId="12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3" fillId="29" borderId="0" applyNumberFormat="0" applyBorder="0" applyAlignment="0" applyProtection="0"/>
    <xf numFmtId="0" fontId="22" fillId="0" borderId="0" applyNumberFormat="0" applyFill="0" applyBorder="0" applyAlignment="0" applyProtection="0"/>
    <xf numFmtId="0" fontId="2" fillId="0" borderId="0"/>
    <xf numFmtId="0" fontId="2" fillId="0" borderId="0"/>
    <xf numFmtId="0" fontId="15" fillId="0" borderId="0"/>
    <xf numFmtId="43" fontId="162" fillId="0" borderId="0" applyFont="0" applyFill="0" applyBorder="0" applyAlignment="0" applyProtection="0"/>
    <xf numFmtId="0" fontId="164" fillId="0" borderId="59" applyNumberFormat="0" applyFill="0" applyAlignment="0" applyProtection="0"/>
    <xf numFmtId="0" fontId="162" fillId="0" borderId="0"/>
    <xf numFmtId="0" fontId="2" fillId="0" borderId="0"/>
    <xf numFmtId="9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166" fillId="0" borderId="0" applyNumberForma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</cellStyleXfs>
  <cellXfs count="1101">
    <xf numFmtId="0" fontId="0" fillId="0" borderId="0" xfId="0"/>
    <xf numFmtId="0" fontId="167" fillId="0" borderId="0" xfId="0" applyFont="1"/>
    <xf numFmtId="0" fontId="23" fillId="0" borderId="0" xfId="5" applyFont="1"/>
    <xf numFmtId="168" fontId="169" fillId="0" borderId="0" xfId="0" applyNumberFormat="1" applyFont="1" applyAlignment="1">
      <alignment horizontal="center"/>
    </xf>
    <xf numFmtId="1" fontId="113" fillId="0" borderId="0" xfId="0" applyNumberFormat="1" applyFont="1" applyAlignment="1">
      <alignment horizontal="left"/>
    </xf>
    <xf numFmtId="0" fontId="169" fillId="0" borderId="0" xfId="0" applyFont="1"/>
    <xf numFmtId="0" fontId="170" fillId="6" borderId="14" xfId="0" applyFont="1" applyFill="1" applyBorder="1" applyAlignment="1">
      <alignment horizontal="left"/>
    </xf>
    <xf numFmtId="0" fontId="15" fillId="0" borderId="68" xfId="0" applyFont="1" applyBorder="1"/>
    <xf numFmtId="179" fontId="23" fillId="0" borderId="69" xfId="22" applyNumberFormat="1" applyFont="1" applyBorder="1" applyAlignment="1">
      <alignment horizontal="center"/>
    </xf>
    <xf numFmtId="176" fontId="23" fillId="0" borderId="69" xfId="22" applyNumberFormat="1" applyFont="1" applyBorder="1" applyAlignment="1">
      <alignment horizontal="center" vertical="center"/>
    </xf>
    <xf numFmtId="0" fontId="15" fillId="0" borderId="71" xfId="0" applyFont="1" applyBorder="1"/>
    <xf numFmtId="177" fontId="23" fillId="0" borderId="72" xfId="22" applyNumberFormat="1" applyFont="1" applyBorder="1" applyAlignment="1">
      <alignment horizontal="center" vertical="center"/>
    </xf>
    <xf numFmtId="0" fontId="15" fillId="0" borderId="0" xfId="0" applyFont="1"/>
    <xf numFmtId="5" fontId="15" fillId="9" borderId="2" xfId="22" applyNumberFormat="1" applyFont="1" applyFill="1" applyBorder="1" applyAlignment="1">
      <alignment horizontal="center"/>
    </xf>
    <xf numFmtId="5" fontId="23" fillId="3" borderId="58" xfId="22" applyNumberFormat="1" applyFont="1" applyFill="1" applyBorder="1" applyAlignment="1">
      <alignment horizontal="center"/>
    </xf>
    <xf numFmtId="0" fontId="170" fillId="6" borderId="9" xfId="0" applyFont="1" applyFill="1" applyBorder="1" applyAlignment="1">
      <alignment horizontal="center"/>
    </xf>
    <xf numFmtId="5" fontId="171" fillId="0" borderId="63" xfId="0" applyNumberFormat="1" applyFont="1" applyBorder="1" applyAlignment="1">
      <alignment horizontal="center"/>
    </xf>
    <xf numFmtId="0" fontId="15" fillId="0" borderId="60" xfId="0" applyFont="1" applyBorder="1" applyAlignment="1">
      <alignment wrapText="1"/>
    </xf>
    <xf numFmtId="10" fontId="169" fillId="0" borderId="0" xfId="1" applyNumberFormat="1" applyFont="1"/>
    <xf numFmtId="0" fontId="169" fillId="32" borderId="0" xfId="1347" applyFont="1" applyFill="1"/>
    <xf numFmtId="0" fontId="169" fillId="32" borderId="0" xfId="1347" applyFont="1" applyFill="1" applyAlignment="1">
      <alignment horizontal="left" vertical="center" indent="1"/>
    </xf>
    <xf numFmtId="0" fontId="23" fillId="32" borderId="0" xfId="1347" applyFont="1" applyFill="1" applyAlignment="1">
      <alignment horizontal="center" vertical="center"/>
    </xf>
    <xf numFmtId="0" fontId="171" fillId="32" borderId="0" xfId="1347" applyFont="1" applyFill="1" applyAlignment="1">
      <alignment horizontal="center" vertical="center"/>
    </xf>
    <xf numFmtId="0" fontId="15" fillId="32" borderId="14" xfId="1347" applyFont="1" applyFill="1" applyBorder="1" applyAlignment="1">
      <alignment vertical="center"/>
    </xf>
    <xf numFmtId="0" fontId="169" fillId="7" borderId="0" xfId="0" applyFont="1" applyFill="1"/>
    <xf numFmtId="0" fontId="169" fillId="8" borderId="0" xfId="0" applyFont="1" applyFill="1"/>
    <xf numFmtId="0" fontId="169" fillId="0" borderId="0" xfId="0" applyFont="1" applyAlignment="1">
      <alignment horizontal="center"/>
    </xf>
    <xf numFmtId="174" fontId="175" fillId="0" borderId="65" xfId="0" applyNumberFormat="1" applyFont="1" applyBorder="1" applyAlignment="1">
      <alignment horizontal="left"/>
    </xf>
    <xf numFmtId="0" fontId="168" fillId="0" borderId="0" xfId="0" applyFont="1" applyAlignment="1">
      <alignment horizontal="center" wrapText="1"/>
    </xf>
    <xf numFmtId="166" fontId="167" fillId="0" borderId="0" xfId="0" applyNumberFormat="1" applyFont="1" applyAlignment="1">
      <alignment horizontal="center"/>
    </xf>
    <xf numFmtId="166" fontId="167" fillId="0" borderId="0" xfId="0" applyNumberFormat="1" applyFont="1"/>
    <xf numFmtId="178" fontId="15" fillId="0" borderId="60" xfId="0" applyNumberFormat="1" applyFont="1" applyBorder="1" applyAlignment="1">
      <alignment horizontal="left"/>
    </xf>
    <xf numFmtId="38" fontId="15" fillId="0" borderId="63" xfId="22" applyNumberFormat="1" applyFont="1" applyBorder="1" applyAlignment="1">
      <alignment horizontal="center"/>
    </xf>
    <xf numFmtId="0" fontId="15" fillId="9" borderId="60" xfId="0" applyFont="1" applyFill="1" applyBorder="1"/>
    <xf numFmtId="5" fontId="15" fillId="9" borderId="63" xfId="22" applyNumberFormat="1" applyFont="1" applyFill="1" applyBorder="1" applyAlignment="1">
      <alignment horizontal="center"/>
    </xf>
    <xf numFmtId="165" fontId="15" fillId="9" borderId="63" xfId="22" applyNumberFormat="1" applyFont="1" applyFill="1" applyBorder="1" applyAlignment="1">
      <alignment horizontal="center"/>
    </xf>
    <xf numFmtId="5" fontId="15" fillId="0" borderId="63" xfId="22" applyNumberFormat="1" applyFont="1" applyBorder="1" applyAlignment="1">
      <alignment horizontal="center"/>
    </xf>
    <xf numFmtId="168" fontId="0" fillId="0" borderId="0" xfId="1360" applyNumberFormat="1" applyFont="1"/>
    <xf numFmtId="8" fontId="15" fillId="0" borderId="58" xfId="0" applyNumberFormat="1" applyFont="1" applyBorder="1"/>
    <xf numFmtId="6" fontId="15" fillId="0" borderId="74" xfId="0" applyNumberFormat="1" applyFont="1" applyBorder="1"/>
    <xf numFmtId="3" fontId="23" fillId="0" borderId="58" xfId="0" applyNumberFormat="1" applyFont="1" applyBorder="1" applyAlignment="1">
      <alignment horizontal="center"/>
    </xf>
    <xf numFmtId="38" fontId="180" fillId="0" borderId="61" xfId="22" applyNumberFormat="1" applyFont="1" applyBorder="1" applyAlignment="1">
      <alignment horizontal="center"/>
    </xf>
    <xf numFmtId="8" fontId="15" fillId="0" borderId="63" xfId="0" applyNumberFormat="1" applyFont="1" applyBorder="1" applyAlignment="1">
      <alignment horizontal="center"/>
    </xf>
    <xf numFmtId="164" fontId="15" fillId="0" borderId="2" xfId="22" applyNumberFormat="1" applyFont="1" applyBorder="1" applyAlignment="1">
      <alignment horizontal="center"/>
    </xf>
    <xf numFmtId="0" fontId="0" fillId="0" borderId="0" xfId="0" applyAlignment="1">
      <alignment horizontal="right"/>
    </xf>
    <xf numFmtId="168" fontId="0" fillId="0" borderId="0" xfId="1360" applyNumberFormat="1" applyFont="1" applyAlignment="1">
      <alignment horizontal="right"/>
    </xf>
    <xf numFmtId="43" fontId="0" fillId="0" borderId="0" xfId="1360" applyFont="1" applyAlignment="1">
      <alignment horizontal="right"/>
    </xf>
    <xf numFmtId="17" fontId="0" fillId="0" borderId="0" xfId="0" applyNumberFormat="1" applyAlignment="1">
      <alignment horizontal="right"/>
    </xf>
    <xf numFmtId="17" fontId="0" fillId="0" borderId="0" xfId="0" applyNumberFormat="1"/>
    <xf numFmtId="271" fontId="0" fillId="0" borderId="0" xfId="0" applyNumberFormat="1" applyAlignment="1">
      <alignment horizontal="right"/>
    </xf>
    <xf numFmtId="10" fontId="0" fillId="0" borderId="0" xfId="0" applyNumberFormat="1" applyAlignment="1">
      <alignment horizontal="right"/>
    </xf>
    <xf numFmtId="9" fontId="0" fillId="0" borderId="0" xfId="0" applyNumberFormat="1" applyAlignment="1">
      <alignment horizontal="right"/>
    </xf>
    <xf numFmtId="44" fontId="0" fillId="0" borderId="0" xfId="18" applyFont="1" applyAlignment="1">
      <alignment horizontal="right"/>
    </xf>
    <xf numFmtId="9" fontId="0" fillId="0" borderId="0" xfId="1" applyFont="1" applyAlignment="1">
      <alignment horizontal="right"/>
    </xf>
    <xf numFmtId="169" fontId="0" fillId="0" borderId="0" xfId="18" applyNumberFormat="1" applyFont="1" applyAlignment="1">
      <alignment horizontal="right"/>
    </xf>
    <xf numFmtId="270" fontId="170" fillId="0" borderId="0" xfId="1" applyNumberFormat="1" applyFont="1" applyFill="1" applyBorder="1" applyAlignment="1">
      <alignment horizontal="center" vertical="center"/>
    </xf>
    <xf numFmtId="0" fontId="24" fillId="0" borderId="60" xfId="14" applyFont="1" applyBorder="1"/>
    <xf numFmtId="3" fontId="180" fillId="0" borderId="63" xfId="14" applyNumberFormat="1" applyFont="1" applyBorder="1" applyAlignment="1">
      <alignment horizontal="center"/>
    </xf>
    <xf numFmtId="8" fontId="15" fillId="0" borderId="7" xfId="0" applyNumberFormat="1" applyFont="1" applyBorder="1"/>
    <xf numFmtId="6" fontId="15" fillId="0" borderId="2" xfId="0" applyNumberFormat="1" applyFont="1" applyBorder="1"/>
    <xf numFmtId="168" fontId="15" fillId="0" borderId="72" xfId="22" applyNumberFormat="1" applyFont="1" applyFill="1" applyBorder="1" applyAlignment="1">
      <alignment horizontal="center"/>
    </xf>
    <xf numFmtId="0" fontId="15" fillId="0" borderId="69" xfId="0" applyFont="1" applyBorder="1" applyAlignment="1">
      <alignment horizontal="center"/>
    </xf>
    <xf numFmtId="6" fontId="171" fillId="0" borderId="77" xfId="0" applyNumberFormat="1" applyFont="1" applyBorder="1" applyAlignment="1">
      <alignment horizontal="center"/>
    </xf>
    <xf numFmtId="165" fontId="23" fillId="0" borderId="72" xfId="2" applyNumberFormat="1" applyFont="1" applyBorder="1" applyAlignment="1">
      <alignment horizontal="center"/>
    </xf>
    <xf numFmtId="0" fontId="15" fillId="0" borderId="74" xfId="0" applyFont="1" applyBorder="1"/>
    <xf numFmtId="270" fontId="170" fillId="6" borderId="5" xfId="1" applyNumberFormat="1" applyFont="1" applyFill="1" applyBorder="1" applyAlignment="1">
      <alignment horizontal="center" vertical="center"/>
    </xf>
    <xf numFmtId="0" fontId="181" fillId="0" borderId="0" xfId="0" applyFont="1"/>
    <xf numFmtId="0" fontId="181" fillId="0" borderId="0" xfId="0" applyFont="1" applyAlignment="1">
      <alignment horizontal="center"/>
    </xf>
    <xf numFmtId="0" fontId="181" fillId="0" borderId="0" xfId="0" applyFont="1" applyAlignment="1">
      <alignment vertical="center"/>
    </xf>
    <xf numFmtId="269" fontId="181" fillId="0" borderId="0" xfId="1360" applyNumberFormat="1" applyFont="1"/>
    <xf numFmtId="273" fontId="181" fillId="0" borderId="0" xfId="0" applyNumberFormat="1" applyFont="1" applyAlignment="1">
      <alignment horizontal="center"/>
    </xf>
    <xf numFmtId="269" fontId="181" fillId="0" borderId="0" xfId="0" applyNumberFormat="1" applyFont="1"/>
    <xf numFmtId="5" fontId="23" fillId="0" borderId="12" xfId="22" applyNumberFormat="1" applyFont="1" applyBorder="1" applyAlignment="1">
      <alignment horizontal="center"/>
    </xf>
    <xf numFmtId="5" fontId="23" fillId="0" borderId="67" xfId="22" applyNumberFormat="1" applyFont="1" applyBorder="1" applyAlignment="1">
      <alignment horizontal="center"/>
    </xf>
    <xf numFmtId="5" fontId="15" fillId="0" borderId="66" xfId="22" applyNumberFormat="1" applyFont="1" applyBorder="1" applyAlignment="1">
      <alignment horizontal="center"/>
    </xf>
    <xf numFmtId="6" fontId="23" fillId="0" borderId="0" xfId="5" applyNumberFormat="1" applyFont="1" applyAlignment="1">
      <alignment horizontal="right"/>
    </xf>
    <xf numFmtId="38" fontId="180" fillId="0" borderId="63" xfId="22" applyNumberFormat="1" applyFont="1" applyBorder="1" applyAlignment="1">
      <alignment horizontal="center"/>
    </xf>
    <xf numFmtId="175" fontId="170" fillId="30" borderId="76" xfId="0" applyNumberFormat="1" applyFont="1" applyFill="1" applyBorder="1"/>
    <xf numFmtId="0" fontId="170" fillId="6" borderId="76" xfId="0" applyFont="1" applyFill="1" applyBorder="1" applyAlignment="1">
      <alignment horizontal="center"/>
    </xf>
    <xf numFmtId="5" fontId="15" fillId="0" borderId="67" xfId="22" applyNumberFormat="1" applyFont="1" applyBorder="1" applyAlignment="1">
      <alignment horizontal="center"/>
    </xf>
    <xf numFmtId="0" fontId="170" fillId="30" borderId="76" xfId="0" applyFont="1" applyFill="1" applyBorder="1"/>
    <xf numFmtId="165" fontId="171" fillId="28" borderId="76" xfId="0" applyNumberFormat="1" applyFont="1" applyFill="1" applyBorder="1" applyAlignment="1">
      <alignment horizontal="center"/>
    </xf>
    <xf numFmtId="166" fontId="15" fillId="9" borderId="61" xfId="22" applyNumberFormat="1" applyFont="1" applyFill="1" applyBorder="1" applyAlignment="1">
      <alignment horizontal="center"/>
    </xf>
    <xf numFmtId="168" fontId="15" fillId="0" borderId="0" xfId="0" applyNumberFormat="1" applyFont="1"/>
    <xf numFmtId="0" fontId="23" fillId="0" borderId="65" xfId="0" applyFont="1" applyBorder="1"/>
    <xf numFmtId="5" fontId="23" fillId="0" borderId="63" xfId="22" applyNumberFormat="1" applyFont="1" applyBorder="1" applyAlignment="1">
      <alignment horizontal="center"/>
    </xf>
    <xf numFmtId="5" fontId="23" fillId="0" borderId="0" xfId="22" applyNumberFormat="1" applyFont="1" applyBorder="1" applyAlignment="1">
      <alignment horizontal="center"/>
    </xf>
    <xf numFmtId="5" fontId="23" fillId="0" borderId="70" xfId="22" applyNumberFormat="1" applyFont="1" applyBorder="1" applyAlignment="1">
      <alignment horizontal="center"/>
    </xf>
    <xf numFmtId="5" fontId="15" fillId="0" borderId="78" xfId="22" applyNumberFormat="1" applyFont="1" applyBorder="1" applyAlignment="1">
      <alignment horizontal="center"/>
    </xf>
    <xf numFmtId="5" fontId="23" fillId="0" borderId="0" xfId="22" applyNumberFormat="1" applyFont="1" applyBorder="1" applyAlignment="1"/>
    <xf numFmtId="7" fontId="171" fillId="0" borderId="63" xfId="0" applyNumberFormat="1" applyFont="1" applyBorder="1" applyAlignment="1">
      <alignment horizontal="center"/>
    </xf>
    <xf numFmtId="0" fontId="15" fillId="9" borderId="73" xfId="0" applyFont="1" applyFill="1" applyBorder="1"/>
    <xf numFmtId="5" fontId="15" fillId="9" borderId="5" xfId="22" applyNumberFormat="1" applyFont="1" applyFill="1" applyBorder="1" applyAlignment="1">
      <alignment horizontal="center"/>
    </xf>
    <xf numFmtId="165" fontId="23" fillId="3" borderId="63" xfId="22" applyNumberFormat="1" applyFont="1" applyFill="1" applyBorder="1" applyAlignment="1">
      <alignment horizontal="center"/>
    </xf>
    <xf numFmtId="5" fontId="15" fillId="0" borderId="79" xfId="22" applyNumberFormat="1" applyFont="1" applyBorder="1" applyAlignment="1">
      <alignment horizontal="center"/>
    </xf>
    <xf numFmtId="260" fontId="23" fillId="0" borderId="64" xfId="0" applyNumberFormat="1" applyFont="1" applyBorder="1" applyAlignment="1">
      <alignment horizontal="left"/>
    </xf>
    <xf numFmtId="5" fontId="23" fillId="0" borderId="2" xfId="22" applyNumberFormat="1" applyFont="1" applyBorder="1" applyAlignment="1">
      <alignment horizontal="center"/>
    </xf>
    <xf numFmtId="0" fontId="171" fillId="0" borderId="60" xfId="0" applyFont="1" applyBorder="1" applyAlignment="1">
      <alignment horizontal="left"/>
    </xf>
    <xf numFmtId="5" fontId="171" fillId="0" borderId="2" xfId="0" applyNumberFormat="1" applyFont="1" applyBorder="1" applyAlignment="1">
      <alignment horizontal="center"/>
    </xf>
    <xf numFmtId="168" fontId="170" fillId="0" borderId="0" xfId="1360" applyNumberFormat="1" applyFont="1" applyFill="1" applyBorder="1" applyAlignment="1"/>
    <xf numFmtId="38" fontId="180" fillId="0" borderId="0" xfId="22" applyNumberFormat="1" applyFont="1" applyFill="1" applyBorder="1" applyAlignment="1">
      <alignment horizontal="center"/>
    </xf>
    <xf numFmtId="168" fontId="180" fillId="0" borderId="0" xfId="1360" applyNumberFormat="1" applyFont="1" applyFill="1" applyBorder="1" applyAlignment="1">
      <alignment horizontal="center" vertical="center"/>
    </xf>
    <xf numFmtId="167" fontId="180" fillId="0" borderId="0" xfId="1" applyNumberFormat="1" applyFont="1" applyFill="1" applyBorder="1" applyAlignment="1">
      <alignment horizontal="center"/>
    </xf>
    <xf numFmtId="0" fontId="170" fillId="6" borderId="5" xfId="0" applyFont="1" applyFill="1" applyBorder="1" applyAlignment="1">
      <alignment horizontal="left"/>
    </xf>
    <xf numFmtId="0" fontId="170" fillId="33" borderId="14" xfId="0" applyFont="1" applyFill="1" applyBorder="1" applyAlignment="1">
      <alignment horizontal="left"/>
    </xf>
    <xf numFmtId="168" fontId="170" fillId="33" borderId="0" xfId="1360" applyNumberFormat="1" applyFont="1" applyFill="1" applyBorder="1" applyAlignment="1"/>
    <xf numFmtId="270" fontId="170" fillId="33" borderId="5" xfId="1" applyNumberFormat="1" applyFont="1" applyFill="1" applyBorder="1" applyAlignment="1">
      <alignment horizontal="center" vertical="center"/>
    </xf>
    <xf numFmtId="0" fontId="170" fillId="33" borderId="64" xfId="0" applyFont="1" applyFill="1" applyBorder="1" applyAlignment="1">
      <alignment horizontal="left"/>
    </xf>
    <xf numFmtId="0" fontId="170" fillId="33" borderId="62" xfId="0" applyFont="1" applyFill="1" applyBorder="1" applyAlignment="1">
      <alignment horizontal="center"/>
    </xf>
    <xf numFmtId="0" fontId="170" fillId="33" borderId="62" xfId="0" applyFont="1" applyFill="1" applyBorder="1" applyAlignment="1">
      <alignment horizontal="center" wrapText="1"/>
    </xf>
    <xf numFmtId="0" fontId="170" fillId="33" borderId="9" xfId="0" applyFont="1" applyFill="1" applyBorder="1" applyAlignment="1">
      <alignment horizontal="center"/>
    </xf>
    <xf numFmtId="43" fontId="170" fillId="33" borderId="0" xfId="1360" applyFont="1" applyFill="1" applyBorder="1" applyAlignment="1">
      <alignment horizontal="center" vertical="center"/>
    </xf>
    <xf numFmtId="0" fontId="23" fillId="0" borderId="0" xfId="2" applyFont="1"/>
    <xf numFmtId="270" fontId="171" fillId="33" borderId="0" xfId="1" applyNumberFormat="1" applyFont="1" applyFill="1" applyBorder="1" applyAlignment="1">
      <alignment horizontal="center" vertical="center"/>
    </xf>
    <xf numFmtId="177" fontId="170" fillId="33" borderId="0" xfId="22" applyNumberFormat="1" applyFont="1" applyFill="1" applyBorder="1" applyAlignment="1">
      <alignment horizontal="center" vertical="center"/>
    </xf>
    <xf numFmtId="165" fontId="170" fillId="33" borderId="0" xfId="2" applyNumberFormat="1" applyFont="1" applyFill="1" applyAlignment="1">
      <alignment horizontal="center"/>
    </xf>
    <xf numFmtId="168" fontId="170" fillId="33" borderId="0" xfId="22" applyNumberFormat="1" applyFont="1" applyFill="1" applyBorder="1" applyAlignment="1">
      <alignment horizontal="left"/>
    </xf>
    <xf numFmtId="3" fontId="169" fillId="0" borderId="0" xfId="0" applyNumberFormat="1" applyFont="1"/>
    <xf numFmtId="0" fontId="171" fillId="0" borderId="0" xfId="0" applyFont="1"/>
    <xf numFmtId="168" fontId="169" fillId="0" borderId="0" xfId="1360" applyNumberFormat="1" applyFont="1" applyBorder="1"/>
    <xf numFmtId="167" fontId="180" fillId="0" borderId="5" xfId="1" applyNumberFormat="1" applyFont="1" applyFill="1" applyBorder="1" applyAlignment="1">
      <alignment horizontal="center"/>
    </xf>
    <xf numFmtId="0" fontId="172" fillId="33" borderId="5" xfId="0" applyFont="1" applyFill="1" applyBorder="1"/>
    <xf numFmtId="6" fontId="171" fillId="0" borderId="0" xfId="0" applyNumberFormat="1" applyFont="1" applyAlignment="1">
      <alignment horizontal="center"/>
    </xf>
    <xf numFmtId="0" fontId="170" fillId="0" borderId="0" xfId="0" applyFont="1" applyAlignment="1">
      <alignment horizontal="left"/>
    </xf>
    <xf numFmtId="0" fontId="170" fillId="0" borderId="0" xfId="0" applyFont="1" applyAlignment="1">
      <alignment horizontal="center"/>
    </xf>
    <xf numFmtId="164" fontId="15" fillId="0" borderId="0" xfId="22" applyNumberFormat="1" applyFont="1" applyFill="1" applyBorder="1" applyAlignment="1">
      <alignment horizontal="center"/>
    </xf>
    <xf numFmtId="0" fontId="172" fillId="0" borderId="0" xfId="0" applyFont="1"/>
    <xf numFmtId="6" fontId="15" fillId="0" borderId="0" xfId="0" applyNumberFormat="1" applyFont="1"/>
    <xf numFmtId="168" fontId="15" fillId="0" borderId="63" xfId="0" applyNumberFormat="1" applyFont="1" applyBorder="1"/>
    <xf numFmtId="175" fontId="170" fillId="0" borderId="0" xfId="0" applyNumberFormat="1" applyFont="1"/>
    <xf numFmtId="6" fontId="171" fillId="0" borderId="0" xfId="0" applyNumberFormat="1" applyFont="1" applyAlignment="1">
      <alignment horizontal="center" vertical="center"/>
    </xf>
    <xf numFmtId="37" fontId="15" fillId="0" borderId="0" xfId="22" applyNumberFormat="1" applyFont="1" applyFill="1" applyBorder="1"/>
    <xf numFmtId="9" fontId="15" fillId="0" borderId="0" xfId="0" applyNumberFormat="1" applyFont="1" applyAlignment="1">
      <alignment horizontal="center"/>
    </xf>
    <xf numFmtId="0" fontId="176" fillId="0" borderId="0" xfId="0" applyFont="1"/>
    <xf numFmtId="0" fontId="168" fillId="0" borderId="0" xfId="0" applyFont="1" applyAlignment="1">
      <alignment horizontal="center" vertical="center" wrapText="1"/>
    </xf>
    <xf numFmtId="168" fontId="170" fillId="0" borderId="0" xfId="1360" applyNumberFormat="1" applyFont="1" applyFill="1" applyBorder="1" applyAlignment="1">
      <alignment horizontal="center"/>
    </xf>
    <xf numFmtId="164" fontId="170" fillId="0" borderId="0" xfId="22" applyNumberFormat="1" applyFont="1" applyFill="1" applyBorder="1" applyAlignment="1">
      <alignment horizontal="center"/>
    </xf>
    <xf numFmtId="0" fontId="23" fillId="0" borderId="0" xfId="0" applyFont="1" applyAlignment="1">
      <alignment horizontal="left"/>
    </xf>
    <xf numFmtId="0" fontId="23" fillId="32" borderId="0" xfId="1347" applyFont="1" applyFill="1" applyAlignment="1">
      <alignment vertical="center"/>
    </xf>
    <xf numFmtId="0" fontId="15" fillId="32" borderId="0" xfId="1347" applyFont="1" applyFill="1" applyAlignment="1">
      <alignment horizontal="left" vertical="center"/>
    </xf>
    <xf numFmtId="166" fontId="175" fillId="32" borderId="0" xfId="1347" applyNumberFormat="1" applyFont="1" applyFill="1" applyAlignment="1">
      <alignment horizontal="center" vertical="center"/>
    </xf>
    <xf numFmtId="14" fontId="169" fillId="32" borderId="0" xfId="1347" applyNumberFormat="1" applyFont="1" applyFill="1" applyAlignment="1">
      <alignment horizontal="left"/>
    </xf>
    <xf numFmtId="175" fontId="177" fillId="34" borderId="76" xfId="0" applyNumberFormat="1" applyFont="1" applyFill="1" applyBorder="1"/>
    <xf numFmtId="5" fontId="15" fillId="0" borderId="2" xfId="22" applyNumberFormat="1" applyFont="1" applyFill="1" applyBorder="1" applyAlignment="1">
      <alignment horizontal="center"/>
    </xf>
    <xf numFmtId="9" fontId="181" fillId="0" borderId="0" xfId="1" applyFont="1"/>
    <xf numFmtId="43" fontId="181" fillId="0" borderId="0" xfId="0" applyNumberFormat="1" applyFont="1"/>
    <xf numFmtId="0" fontId="182" fillId="4" borderId="58" xfId="0" applyFont="1" applyFill="1" applyBorder="1" applyAlignment="1">
      <alignment vertical="center"/>
    </xf>
    <xf numFmtId="0" fontId="177" fillId="4" borderId="58" xfId="0" applyFont="1" applyFill="1" applyBorder="1" applyAlignment="1">
      <alignment vertical="center"/>
    </xf>
    <xf numFmtId="3" fontId="177" fillId="4" borderId="58" xfId="0" applyNumberFormat="1" applyFont="1" applyFill="1" applyBorder="1" applyAlignment="1">
      <alignment vertical="center"/>
    </xf>
    <xf numFmtId="0" fontId="167" fillId="4" borderId="74" xfId="0" applyFont="1" applyFill="1" applyBorder="1" applyAlignment="1">
      <alignment vertical="center"/>
    </xf>
    <xf numFmtId="0" fontId="181" fillId="0" borderId="60" xfId="0" applyFont="1" applyBorder="1" applyAlignment="1">
      <alignment horizontal="left" vertical="center"/>
    </xf>
    <xf numFmtId="43" fontId="181" fillId="0" borderId="63" xfId="1360" applyFont="1" applyBorder="1" applyAlignment="1">
      <alignment horizontal="left" vertical="center"/>
    </xf>
    <xf numFmtId="168" fontId="181" fillId="0" borderId="63" xfId="1360" applyNumberFormat="1" applyFont="1" applyBorder="1" applyAlignment="1">
      <alignment horizontal="left" vertical="center"/>
    </xf>
    <xf numFmtId="0" fontId="181" fillId="0" borderId="2" xfId="0" applyFont="1" applyBorder="1" applyAlignment="1">
      <alignment horizontal="left" vertical="center"/>
    </xf>
    <xf numFmtId="166" fontId="178" fillId="0" borderId="0" xfId="0" applyNumberFormat="1" applyFont="1" applyAlignment="1">
      <alignment horizontal="center" vertical="center"/>
    </xf>
    <xf numFmtId="0" fontId="176" fillId="0" borderId="0" xfId="0" applyFont="1" applyAlignment="1">
      <alignment horizontal="center"/>
    </xf>
    <xf numFmtId="6" fontId="179" fillId="0" borderId="0" xfId="0" applyNumberFormat="1" applyFont="1" applyAlignment="1">
      <alignment horizontal="center" vertical="center"/>
    </xf>
    <xf numFmtId="10" fontId="178" fillId="0" borderId="0" xfId="0" applyNumberFormat="1" applyFont="1" applyAlignment="1">
      <alignment horizontal="center" vertical="center"/>
    </xf>
    <xf numFmtId="0" fontId="23" fillId="33" borderId="0" xfId="2" applyFont="1" applyFill="1"/>
    <xf numFmtId="167" fontId="180" fillId="33" borderId="5" xfId="1" applyNumberFormat="1" applyFont="1" applyFill="1" applyBorder="1" applyAlignment="1">
      <alignment horizontal="center"/>
    </xf>
    <xf numFmtId="168" fontId="170" fillId="35" borderId="0" xfId="1360" applyNumberFormat="1" applyFont="1" applyFill="1" applyBorder="1" applyAlignment="1">
      <alignment horizontal="center" vertical="center"/>
    </xf>
    <xf numFmtId="275" fontId="170" fillId="35" borderId="0" xfId="1" applyNumberFormat="1" applyFont="1" applyFill="1" applyBorder="1"/>
    <xf numFmtId="276" fontId="170" fillId="35" borderId="0" xfId="0" applyNumberFormat="1" applyFont="1" applyFill="1"/>
    <xf numFmtId="275" fontId="171" fillId="0" borderId="60" xfId="1" applyNumberFormat="1" applyFont="1" applyBorder="1"/>
    <xf numFmtId="166" fontId="177" fillId="4" borderId="58" xfId="0" applyNumberFormat="1" applyFont="1" applyFill="1" applyBorder="1" applyAlignment="1">
      <alignment horizontal="center"/>
    </xf>
    <xf numFmtId="43" fontId="170" fillId="33" borderId="0" xfId="1360" applyFont="1" applyFill="1" applyBorder="1" applyAlignment="1">
      <alignment vertical="center"/>
    </xf>
    <xf numFmtId="168" fontId="170" fillId="33" borderId="0" xfId="1360" applyNumberFormat="1" applyFont="1" applyFill="1" applyBorder="1" applyAlignment="1">
      <alignment horizontal="center"/>
    </xf>
    <xf numFmtId="5" fontId="23" fillId="0" borderId="0" xfId="22" applyNumberFormat="1" applyFont="1" applyFill="1" applyBorder="1" applyAlignment="1">
      <alignment horizontal="center"/>
    </xf>
    <xf numFmtId="168" fontId="169" fillId="0" borderId="0" xfId="1360" applyNumberFormat="1" applyFont="1" applyFill="1" applyBorder="1"/>
    <xf numFmtId="0" fontId="183" fillId="6" borderId="75" xfId="2" applyFont="1" applyFill="1" applyBorder="1" applyAlignment="1">
      <alignment vertical="center"/>
    </xf>
    <xf numFmtId="166" fontId="170" fillId="6" borderId="0" xfId="2" applyNumberFormat="1" applyFont="1" applyFill="1"/>
    <xf numFmtId="0" fontId="177" fillId="0" borderId="0" xfId="0" applyFont="1" applyAlignment="1">
      <alignment horizontal="center"/>
    </xf>
    <xf numFmtId="166" fontId="177" fillId="0" borderId="0" xfId="0" applyNumberFormat="1" applyFont="1" applyAlignment="1">
      <alignment horizontal="center"/>
    </xf>
    <xf numFmtId="0" fontId="183" fillId="0" borderId="0" xfId="0" applyFont="1" applyAlignment="1">
      <alignment vertical="center"/>
    </xf>
    <xf numFmtId="0" fontId="177" fillId="0" borderId="0" xfId="0" applyFont="1" applyAlignment="1">
      <alignment horizontal="center" vertical="center" wrapText="1"/>
    </xf>
    <xf numFmtId="0" fontId="179" fillId="0" borderId="0" xfId="0" applyFont="1" applyAlignment="1">
      <alignment horizontal="center" vertical="center"/>
    </xf>
    <xf numFmtId="266" fontId="178" fillId="0" borderId="0" xfId="0" applyNumberFormat="1" applyFont="1" applyAlignment="1">
      <alignment horizontal="center" vertical="center"/>
    </xf>
    <xf numFmtId="0" fontId="15" fillId="0" borderId="0" xfId="0" applyFont="1" applyAlignment="1">
      <alignment wrapText="1"/>
    </xf>
    <xf numFmtId="10" fontId="181" fillId="0" borderId="0" xfId="1" applyNumberFormat="1" applyFont="1"/>
    <xf numFmtId="5" fontId="175" fillId="0" borderId="0" xfId="22" applyNumberFormat="1" applyFont="1" applyFill="1" applyBorder="1" applyAlignment="1">
      <alignment horizontal="center"/>
    </xf>
    <xf numFmtId="0" fontId="170" fillId="31" borderId="0" xfId="0" applyFont="1" applyFill="1"/>
    <xf numFmtId="0" fontId="183" fillId="6" borderId="0" xfId="2" applyFont="1" applyFill="1" applyAlignment="1">
      <alignment vertical="center"/>
    </xf>
    <xf numFmtId="0" fontId="178" fillId="0" borderId="14" xfId="0" applyFont="1" applyBorder="1" applyAlignment="1">
      <alignment horizontal="center" vertical="center"/>
    </xf>
    <xf numFmtId="3" fontId="178" fillId="0" borderId="0" xfId="0" applyNumberFormat="1" applyFont="1" applyAlignment="1">
      <alignment horizontal="center" vertical="center"/>
    </xf>
    <xf numFmtId="267" fontId="178" fillId="0" borderId="0" xfId="0" applyNumberFormat="1" applyFont="1" applyAlignment="1">
      <alignment horizontal="center" vertical="center"/>
    </xf>
    <xf numFmtId="5" fontId="167" fillId="0" borderId="0" xfId="0" applyNumberFormat="1" applyFont="1"/>
    <xf numFmtId="5" fontId="167" fillId="0" borderId="0" xfId="0" quotePrefix="1" applyNumberFormat="1" applyFont="1"/>
    <xf numFmtId="8" fontId="169" fillId="0" borderId="0" xfId="0" applyNumberFormat="1" applyFont="1"/>
    <xf numFmtId="5" fontId="181" fillId="0" borderId="0" xfId="0" applyNumberFormat="1" applyFont="1"/>
    <xf numFmtId="166" fontId="177" fillId="0" borderId="0" xfId="0" applyNumberFormat="1" applyFont="1" applyAlignment="1">
      <alignment horizontal="center" vertical="center"/>
    </xf>
    <xf numFmtId="0" fontId="167" fillId="0" borderId="0" xfId="0" applyFont="1" applyAlignment="1">
      <alignment horizontal="center" vertical="center"/>
    </xf>
    <xf numFmtId="0" fontId="167" fillId="0" borderId="0" xfId="0" applyFont="1" applyAlignment="1">
      <alignment horizontal="center" vertical="center" wrapText="1"/>
    </xf>
    <xf numFmtId="0" fontId="167" fillId="0" borderId="0" xfId="0" applyFont="1" applyAlignment="1">
      <alignment vertical="center"/>
    </xf>
    <xf numFmtId="166" fontId="167" fillId="0" borderId="0" xfId="0" applyNumberFormat="1" applyFont="1" applyAlignment="1">
      <alignment horizontal="center" vertical="center"/>
    </xf>
    <xf numFmtId="0" fontId="181" fillId="0" borderId="63" xfId="0" applyFont="1" applyBorder="1" applyAlignment="1">
      <alignment horizontal="left" vertical="center" wrapText="1"/>
    </xf>
    <xf numFmtId="0" fontId="181" fillId="0" borderId="0" xfId="0" applyFont="1" applyAlignment="1">
      <alignment horizontal="center" vertical="center"/>
    </xf>
    <xf numFmtId="3" fontId="190" fillId="0" borderId="0" xfId="0" applyNumberFormat="1" applyFont="1"/>
    <xf numFmtId="0" fontId="169" fillId="39" borderId="0" xfId="1347" applyFont="1" applyFill="1"/>
    <xf numFmtId="0" fontId="169" fillId="32" borderId="0" xfId="1347" applyFont="1" applyFill="1" applyAlignment="1">
      <alignment horizontal="right"/>
    </xf>
    <xf numFmtId="0" fontId="169" fillId="32" borderId="0" xfId="1347" applyFont="1" applyFill="1" applyAlignment="1">
      <alignment horizontal="center"/>
    </xf>
    <xf numFmtId="0" fontId="170" fillId="33" borderId="62" xfId="0" quotePrefix="1" applyFont="1" applyFill="1" applyBorder="1" applyAlignment="1">
      <alignment horizontal="center"/>
    </xf>
    <xf numFmtId="269" fontId="181" fillId="0" borderId="0" xfId="1360" applyNumberFormat="1" applyFont="1" applyFill="1"/>
    <xf numFmtId="5" fontId="15" fillId="0" borderId="0" xfId="22" applyNumberFormat="1" applyFont="1" applyBorder="1" applyAlignment="1">
      <alignment horizontal="center"/>
    </xf>
    <xf numFmtId="276" fontId="171" fillId="0" borderId="0" xfId="0" applyNumberFormat="1" applyFont="1"/>
    <xf numFmtId="168" fontId="180" fillId="0" borderId="0" xfId="1360" applyNumberFormat="1" applyFont="1" applyBorder="1"/>
    <xf numFmtId="0" fontId="181" fillId="0" borderId="62" xfId="0" applyFont="1" applyBorder="1"/>
    <xf numFmtId="0" fontId="181" fillId="0" borderId="62" xfId="0" applyFont="1" applyBorder="1" applyAlignment="1">
      <alignment vertical="center"/>
    </xf>
    <xf numFmtId="0" fontId="195" fillId="0" borderId="0" xfId="0" applyFont="1"/>
    <xf numFmtId="0" fontId="195" fillId="0" borderId="80" xfId="0" applyFont="1" applyBorder="1"/>
    <xf numFmtId="0" fontId="196" fillId="0" borderId="0" xfId="0" applyFont="1"/>
    <xf numFmtId="0" fontId="195" fillId="0" borderId="0" xfId="0" applyFont="1" applyAlignment="1">
      <alignment vertical="center"/>
    </xf>
    <xf numFmtId="0" fontId="197" fillId="0" borderId="0" xfId="0" applyFont="1" applyAlignment="1">
      <alignment vertical="center"/>
    </xf>
    <xf numFmtId="0" fontId="194" fillId="0" borderId="0" xfId="0" applyFont="1" applyAlignment="1">
      <alignment horizontal="center" vertical="center"/>
    </xf>
    <xf numFmtId="0" fontId="194" fillId="0" borderId="0" xfId="0" applyFont="1" applyAlignment="1">
      <alignment horizontal="left" vertical="center"/>
    </xf>
    <xf numFmtId="0" fontId="196" fillId="0" borderId="0" xfId="0" applyFont="1" applyAlignment="1">
      <alignment vertical="center"/>
    </xf>
    <xf numFmtId="0" fontId="195" fillId="9" borderId="0" xfId="0" applyFont="1" applyFill="1" applyAlignment="1">
      <alignment horizontal="center" vertical="center"/>
    </xf>
    <xf numFmtId="172" fontId="194" fillId="9" borderId="0" xfId="0" applyNumberFormat="1" applyFont="1" applyFill="1" applyAlignment="1">
      <alignment horizontal="center" vertical="center"/>
    </xf>
    <xf numFmtId="172" fontId="194" fillId="9" borderId="80" xfId="0" applyNumberFormat="1" applyFont="1" applyFill="1" applyBorder="1" applyAlignment="1">
      <alignment horizontal="center" vertical="center"/>
    </xf>
    <xf numFmtId="172" fontId="195" fillId="9" borderId="0" xfId="0" applyNumberFormat="1" applyFont="1" applyFill="1" applyAlignment="1">
      <alignment horizontal="center" vertical="center"/>
    </xf>
    <xf numFmtId="0" fontId="196" fillId="9" borderId="0" xfId="0" applyFont="1" applyFill="1" applyAlignment="1">
      <alignment horizontal="center" vertical="center"/>
    </xf>
    <xf numFmtId="167" fontId="194" fillId="0" borderId="0" xfId="0" applyNumberFormat="1" applyFont="1"/>
    <xf numFmtId="167" fontId="194" fillId="0" borderId="80" xfId="0" applyNumberFormat="1" applyFont="1" applyBorder="1"/>
    <xf numFmtId="9" fontId="194" fillId="0" borderId="0" xfId="0" applyNumberFormat="1" applyFont="1" applyAlignment="1">
      <alignment horizontal="center"/>
    </xf>
    <xf numFmtId="5" fontId="195" fillId="0" borderId="0" xfId="0" applyNumberFormat="1" applyFont="1"/>
    <xf numFmtId="5" fontId="195" fillId="0" borderId="80" xfId="0" applyNumberFormat="1" applyFont="1" applyBorder="1"/>
    <xf numFmtId="5" fontId="195" fillId="9" borderId="0" xfId="0" applyNumberFormat="1" applyFont="1" applyFill="1"/>
    <xf numFmtId="5" fontId="195" fillId="9" borderId="80" xfId="0" applyNumberFormat="1" applyFont="1" applyFill="1" applyBorder="1"/>
    <xf numFmtId="0" fontId="195" fillId="0" borderId="62" xfId="0" applyFont="1" applyBorder="1"/>
    <xf numFmtId="5" fontId="195" fillId="0" borderId="62" xfId="0" applyNumberFormat="1" applyFont="1" applyBorder="1"/>
    <xf numFmtId="5" fontId="195" fillId="0" borderId="7" xfId="0" applyNumberFormat="1" applyFont="1" applyBorder="1"/>
    <xf numFmtId="0" fontId="196" fillId="0" borderId="62" xfId="0" applyFont="1" applyBorder="1"/>
    <xf numFmtId="5" fontId="194" fillId="0" borderId="0" xfId="0" applyNumberFormat="1" applyFont="1"/>
    <xf numFmtId="5" fontId="194" fillId="0" borderId="80" xfId="0" applyNumberFormat="1" applyFont="1" applyBorder="1"/>
    <xf numFmtId="37" fontId="194" fillId="0" borderId="0" xfId="0" applyNumberFormat="1" applyFont="1"/>
    <xf numFmtId="0" fontId="194" fillId="0" borderId="0" xfId="0" applyFont="1" applyAlignment="1">
      <alignment horizontal="center" wrapText="1"/>
    </xf>
    <xf numFmtId="0" fontId="194" fillId="0" borderId="0" xfId="0" applyFont="1" applyAlignment="1">
      <alignment horizontal="center" vertical="center" wrapText="1"/>
    </xf>
    <xf numFmtId="0" fontId="194" fillId="0" borderId="80" xfId="0" applyFont="1" applyBorder="1" applyAlignment="1">
      <alignment horizontal="center" wrapText="1"/>
    </xf>
    <xf numFmtId="165" fontId="195" fillId="0" borderId="0" xfId="0" applyNumberFormat="1" applyFont="1"/>
    <xf numFmtId="0" fontId="195" fillId="9" borderId="0" xfId="0" applyFont="1" applyFill="1"/>
    <xf numFmtId="0" fontId="196" fillId="9" borderId="0" xfId="0" applyFont="1" applyFill="1"/>
    <xf numFmtId="6" fontId="195" fillId="9" borderId="0" xfId="0" applyNumberFormat="1" applyFont="1" applyFill="1"/>
    <xf numFmtId="0" fontId="194" fillId="9" borderId="0" xfId="0" applyFont="1" applyFill="1"/>
    <xf numFmtId="0" fontId="194" fillId="9" borderId="0" xfId="0" applyFont="1" applyFill="1" applyAlignment="1">
      <alignment horizontal="center" wrapText="1"/>
    </xf>
    <xf numFmtId="0" fontId="194" fillId="9" borderId="0" xfId="0" applyFont="1" applyFill="1" applyAlignment="1">
      <alignment horizontal="center" vertical="center" wrapText="1"/>
    </xf>
    <xf numFmtId="0" fontId="194" fillId="9" borderId="80" xfId="0" applyFont="1" applyFill="1" applyBorder="1" applyAlignment="1">
      <alignment horizontal="center" wrapText="1"/>
    </xf>
    <xf numFmtId="6" fontId="195" fillId="0" borderId="0" xfId="0" applyNumberFormat="1" applyFont="1"/>
    <xf numFmtId="282" fontId="197" fillId="0" borderId="0" xfId="0" applyNumberFormat="1" applyFont="1" applyAlignment="1">
      <alignment horizontal="centerContinuous" vertical="center"/>
    </xf>
    <xf numFmtId="282" fontId="197" fillId="0" borderId="80" xfId="0" applyNumberFormat="1" applyFont="1" applyBorder="1" applyAlignment="1">
      <alignment horizontal="centerContinuous" vertical="center"/>
    </xf>
    <xf numFmtId="14" fontId="194" fillId="9" borderId="80" xfId="0" applyNumberFormat="1" applyFont="1" applyFill="1" applyBorder="1" applyAlignment="1">
      <alignment horizontal="center" vertical="center"/>
    </xf>
    <xf numFmtId="14" fontId="194" fillId="0" borderId="80" xfId="0" applyNumberFormat="1" applyFont="1" applyBorder="1" applyAlignment="1">
      <alignment horizontal="right" vertical="center"/>
    </xf>
    <xf numFmtId="0" fontId="195" fillId="9" borderId="80" xfId="0" applyFont="1" applyFill="1" applyBorder="1" applyAlignment="1">
      <alignment horizontal="center" vertical="center"/>
    </xf>
    <xf numFmtId="10" fontId="195" fillId="0" borderId="80" xfId="0" applyNumberFormat="1" applyFont="1" applyBorder="1"/>
    <xf numFmtId="38" fontId="195" fillId="0" borderId="80" xfId="0" applyNumberFormat="1" applyFont="1" applyBorder="1"/>
    <xf numFmtId="0" fontId="194" fillId="9" borderId="80" xfId="0" applyFont="1" applyFill="1" applyBorder="1"/>
    <xf numFmtId="0" fontId="195" fillId="9" borderId="0" xfId="0" applyFont="1" applyFill="1" applyAlignment="1">
      <alignment vertical="center"/>
    </xf>
    <xf numFmtId="5" fontId="194" fillId="9" borderId="0" xfId="0" applyNumberFormat="1" applyFont="1" applyFill="1" applyAlignment="1">
      <alignment vertical="center"/>
    </xf>
    <xf numFmtId="5" fontId="194" fillId="9" borderId="80" xfId="0" applyNumberFormat="1" applyFont="1" applyFill="1" applyBorder="1" applyAlignment="1">
      <alignment vertical="center"/>
    </xf>
    <xf numFmtId="0" fontId="196" fillId="9" borderId="0" xfId="0" applyFont="1" applyFill="1" applyAlignment="1">
      <alignment vertical="center"/>
    </xf>
    <xf numFmtId="0" fontId="197" fillId="40" borderId="0" xfId="0" applyFont="1" applyFill="1" applyAlignment="1">
      <alignment horizontal="center" vertical="center"/>
    </xf>
    <xf numFmtId="168" fontId="169" fillId="0" borderId="63" xfId="1360" applyNumberFormat="1" applyFont="1" applyBorder="1"/>
    <xf numFmtId="172" fontId="194" fillId="0" borderId="0" xfId="0" applyNumberFormat="1" applyFont="1" applyAlignment="1">
      <alignment horizontal="center" vertical="center"/>
    </xf>
    <xf numFmtId="3" fontId="193" fillId="0" borderId="0" xfId="0" applyNumberFormat="1" applyFont="1" applyAlignment="1">
      <alignment vertical="center"/>
    </xf>
    <xf numFmtId="0" fontId="194" fillId="9" borderId="80" xfId="0" applyFont="1" applyFill="1" applyBorder="1" applyAlignment="1">
      <alignment horizontal="center"/>
    </xf>
    <xf numFmtId="172" fontId="194" fillId="9" borderId="61" xfId="0" applyNumberFormat="1" applyFont="1" applyFill="1" applyBorder="1" applyAlignment="1">
      <alignment horizontal="center" vertical="center"/>
    </xf>
    <xf numFmtId="172" fontId="194" fillId="9" borderId="62" xfId="0" applyNumberFormat="1" applyFont="1" applyFill="1" applyBorder="1" applyAlignment="1">
      <alignment horizontal="center" vertical="center"/>
    </xf>
    <xf numFmtId="281" fontId="194" fillId="9" borderId="7" xfId="1347" applyNumberFormat="1" applyFont="1" applyFill="1" applyBorder="1" applyAlignment="1">
      <alignment horizontal="center" vertical="center"/>
    </xf>
    <xf numFmtId="0" fontId="194" fillId="9" borderId="80" xfId="1347" applyFont="1" applyFill="1" applyBorder="1" applyAlignment="1">
      <alignment horizontal="center"/>
    </xf>
    <xf numFmtId="283" fontId="194" fillId="0" borderId="0" xfId="0" applyNumberFormat="1" applyFont="1"/>
    <xf numFmtId="284" fontId="195" fillId="0" borderId="80" xfId="0" applyNumberFormat="1" applyFont="1" applyBorder="1"/>
    <xf numFmtId="283" fontId="194" fillId="40" borderId="0" xfId="0" applyNumberFormat="1" applyFont="1" applyFill="1"/>
    <xf numFmtId="5" fontId="195" fillId="40" borderId="0" xfId="0" applyNumberFormat="1" applyFont="1" applyFill="1"/>
    <xf numFmtId="167" fontId="194" fillId="40" borderId="0" xfId="0" applyNumberFormat="1" applyFont="1" applyFill="1"/>
    <xf numFmtId="0" fontId="170" fillId="31" borderId="0" xfId="0" applyFont="1" applyFill="1" applyAlignment="1">
      <alignment wrapText="1"/>
    </xf>
    <xf numFmtId="5" fontId="195" fillId="0" borderId="0" xfId="0" applyNumberFormat="1" applyFont="1" applyAlignment="1">
      <alignment wrapText="1"/>
    </xf>
    <xf numFmtId="0" fontId="170" fillId="0" borderId="0" xfId="0" applyFont="1"/>
    <xf numFmtId="166" fontId="170" fillId="0" borderId="0" xfId="2" applyNumberFormat="1" applyFont="1" applyAlignment="1">
      <alignment vertical="center"/>
    </xf>
    <xf numFmtId="0" fontId="170" fillId="0" borderId="0" xfId="0" applyFont="1" applyAlignment="1">
      <alignment horizontal="center" wrapText="1"/>
    </xf>
    <xf numFmtId="260" fontId="23" fillId="0" borderId="0" xfId="0" applyNumberFormat="1" applyFont="1" applyAlignment="1">
      <alignment horizontal="left"/>
    </xf>
    <xf numFmtId="5" fontId="169" fillId="0" borderId="0" xfId="0" applyNumberFormat="1" applyFont="1"/>
    <xf numFmtId="5" fontId="23" fillId="0" borderId="0" xfId="22" applyNumberFormat="1" applyFont="1" applyBorder="1" applyAlignment="1">
      <alignment horizontal="right"/>
    </xf>
    <xf numFmtId="277" fontId="17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wrapText="1"/>
    </xf>
    <xf numFmtId="0" fontId="171" fillId="0" borderId="0" xfId="0" applyFont="1" applyAlignment="1">
      <alignment horizontal="right"/>
    </xf>
    <xf numFmtId="180" fontId="23" fillId="0" borderId="0" xfId="0" applyNumberFormat="1" applyFont="1" applyAlignment="1">
      <alignment horizontal="right"/>
    </xf>
    <xf numFmtId="0" fontId="176" fillId="0" borderId="0" xfId="0" applyFont="1" applyAlignment="1">
      <alignment horizontal="left"/>
    </xf>
    <xf numFmtId="5" fontId="15" fillId="0" borderId="0" xfId="22" applyNumberFormat="1" applyFont="1" applyFill="1" applyBorder="1" applyAlignment="1">
      <alignment horizontal="center"/>
    </xf>
    <xf numFmtId="5" fontId="15" fillId="0" borderId="0" xfId="22" applyNumberFormat="1" applyFont="1" applyFill="1" applyBorder="1" applyAlignment="1">
      <alignment horizontal="right"/>
    </xf>
    <xf numFmtId="5" fontId="23" fillId="0" borderId="0" xfId="22" applyNumberFormat="1" applyFont="1" applyFill="1" applyBorder="1" applyAlignment="1">
      <alignment horizontal="right"/>
    </xf>
    <xf numFmtId="0" fontId="171" fillId="0" borderId="0" xfId="0" applyFont="1" applyAlignment="1">
      <alignment horizontal="left"/>
    </xf>
    <xf numFmtId="5" fontId="15" fillId="0" borderId="0" xfId="22" applyNumberFormat="1" applyFont="1" applyFill="1" applyBorder="1" applyAlignment="1">
      <alignment horizontal="center" vertical="center"/>
    </xf>
    <xf numFmtId="0" fontId="171" fillId="0" borderId="60" xfId="0" applyFont="1" applyBorder="1"/>
    <xf numFmtId="5" fontId="171" fillId="0" borderId="2" xfId="0" applyNumberFormat="1" applyFont="1" applyBorder="1"/>
    <xf numFmtId="0" fontId="183" fillId="0" borderId="75" xfId="2" applyFont="1" applyBorder="1" applyAlignment="1">
      <alignment vertical="center"/>
    </xf>
    <xf numFmtId="275" fontId="170" fillId="0" borderId="0" xfId="1" applyNumberFormat="1" applyFont="1" applyFill="1" applyBorder="1"/>
    <xf numFmtId="43" fontId="170" fillId="0" borderId="0" xfId="1360" applyFont="1" applyFill="1" applyBorder="1" applyAlignment="1">
      <alignment horizontal="center" vertical="center"/>
    </xf>
    <xf numFmtId="168" fontId="170" fillId="0" borderId="0" xfId="1360" applyNumberFormat="1" applyFont="1" applyFill="1" applyBorder="1" applyAlignment="1">
      <alignment horizontal="center" vertical="center"/>
    </xf>
    <xf numFmtId="270" fontId="171" fillId="0" borderId="0" xfId="1" applyNumberFormat="1" applyFont="1" applyFill="1" applyBorder="1" applyAlignment="1">
      <alignment horizontal="center" vertical="center"/>
    </xf>
    <xf numFmtId="43" fontId="170" fillId="0" borderId="0" xfId="1360" applyFont="1" applyFill="1" applyBorder="1" applyAlignment="1">
      <alignment vertical="center"/>
    </xf>
    <xf numFmtId="168" fontId="170" fillId="0" borderId="0" xfId="22" applyNumberFormat="1" applyFont="1" applyFill="1" applyBorder="1" applyAlignment="1">
      <alignment horizontal="left"/>
    </xf>
    <xf numFmtId="177" fontId="170" fillId="0" borderId="0" xfId="22" applyNumberFormat="1" applyFont="1" applyFill="1" applyBorder="1" applyAlignment="1">
      <alignment horizontal="center" vertical="center"/>
    </xf>
    <xf numFmtId="168" fontId="180" fillId="0" borderId="0" xfId="1360" applyNumberFormat="1" applyFont="1" applyFill="1" applyBorder="1"/>
    <xf numFmtId="5" fontId="23" fillId="0" borderId="0" xfId="22" applyNumberFormat="1" applyFont="1" applyFill="1" applyBorder="1" applyAlignment="1"/>
    <xf numFmtId="272" fontId="169" fillId="0" borderId="0" xfId="0" applyNumberFormat="1" applyFont="1" applyAlignment="1">
      <alignment horizontal="center"/>
    </xf>
    <xf numFmtId="0" fontId="187" fillId="0" borderId="0" xfId="0" applyFont="1" applyAlignment="1">
      <alignment horizontal="left"/>
    </xf>
    <xf numFmtId="276" fontId="170" fillId="0" borderId="0" xfId="0" applyNumberFormat="1" applyFont="1"/>
    <xf numFmtId="0" fontId="170" fillId="0" borderId="0" xfId="0" quotePrefix="1" applyFont="1" applyAlignment="1">
      <alignment horizontal="center"/>
    </xf>
    <xf numFmtId="178" fontId="15" fillId="0" borderId="0" xfId="0" applyNumberFormat="1" applyFont="1" applyAlignment="1">
      <alignment horizontal="left"/>
    </xf>
    <xf numFmtId="38" fontId="15" fillId="0" borderId="0" xfId="22" applyNumberFormat="1" applyFont="1" applyFill="1" applyBorder="1" applyAlignment="1">
      <alignment horizontal="center"/>
    </xf>
    <xf numFmtId="8" fontId="15" fillId="0" borderId="0" xfId="0" applyNumberFormat="1" applyFont="1" applyAlignment="1">
      <alignment horizontal="center"/>
    </xf>
    <xf numFmtId="179" fontId="23" fillId="0" borderId="0" xfId="22" applyNumberFormat="1" applyFont="1" applyFill="1" applyBorder="1" applyAlignment="1">
      <alignment horizontal="center"/>
    </xf>
    <xf numFmtId="176" fontId="23" fillId="0" borderId="0" xfId="22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168" fontId="15" fillId="0" borderId="0" xfId="22" applyNumberFormat="1" applyFont="1" applyFill="1" applyBorder="1" applyAlignment="1">
      <alignment horizontal="center"/>
    </xf>
    <xf numFmtId="177" fontId="23" fillId="0" borderId="0" xfId="22" applyNumberFormat="1" applyFont="1" applyFill="1" applyBorder="1" applyAlignment="1">
      <alignment horizontal="center" vertical="center"/>
    </xf>
    <xf numFmtId="165" fontId="23" fillId="0" borderId="0" xfId="2" applyNumberFormat="1" applyFont="1" applyAlignment="1">
      <alignment horizontal="center"/>
    </xf>
    <xf numFmtId="165" fontId="170" fillId="0" borderId="0" xfId="2" applyNumberFormat="1" applyFont="1" applyAlignment="1">
      <alignment horizontal="center"/>
    </xf>
    <xf numFmtId="0" fontId="24" fillId="0" borderId="0" xfId="14" applyFont="1"/>
    <xf numFmtId="3" fontId="180" fillId="0" borderId="0" xfId="14" applyNumberFormat="1" applyFont="1" applyAlignment="1">
      <alignment horizontal="center"/>
    </xf>
    <xf numFmtId="8" fontId="15" fillId="0" borderId="0" xfId="0" applyNumberFormat="1" applyFont="1"/>
    <xf numFmtId="3" fontId="23" fillId="0" borderId="0" xfId="0" applyNumberFormat="1" applyFont="1" applyAlignment="1">
      <alignment horizontal="center"/>
    </xf>
    <xf numFmtId="275" fontId="171" fillId="0" borderId="0" xfId="1" applyNumberFormat="1" applyFont="1" applyFill="1" applyBorder="1"/>
    <xf numFmtId="168" fontId="180" fillId="0" borderId="0" xfId="0" applyNumberFormat="1" applyFont="1"/>
    <xf numFmtId="165" fontId="15" fillId="0" borderId="0" xfId="22" applyNumberFormat="1" applyFont="1" applyFill="1" applyBorder="1" applyAlignment="1">
      <alignment horizontal="center"/>
    </xf>
    <xf numFmtId="166" fontId="15" fillId="0" borderId="0" xfId="22" applyNumberFormat="1" applyFont="1" applyFill="1" applyBorder="1" applyAlignment="1">
      <alignment horizontal="center"/>
    </xf>
    <xf numFmtId="274" fontId="15" fillId="0" borderId="0" xfId="0" applyNumberFormat="1" applyFont="1" applyAlignment="1">
      <alignment horizontal="left"/>
    </xf>
    <xf numFmtId="7" fontId="15" fillId="0" borderId="0" xfId="22" applyNumberFormat="1" applyFont="1" applyFill="1" applyBorder="1" applyAlignment="1">
      <alignment horizontal="center"/>
    </xf>
    <xf numFmtId="260" fontId="15" fillId="0" borderId="0" xfId="0" applyNumberFormat="1" applyFont="1" applyAlignment="1">
      <alignment horizontal="left"/>
    </xf>
    <xf numFmtId="0" fontId="23" fillId="0" borderId="0" xfId="0" applyFont="1"/>
    <xf numFmtId="174" fontId="175" fillId="0" borderId="0" xfId="0" applyNumberFormat="1" applyFont="1" applyAlignment="1">
      <alignment horizontal="left"/>
    </xf>
    <xf numFmtId="5" fontId="23" fillId="0" borderId="0" xfId="22" applyNumberFormat="1" applyFont="1" applyFill="1" applyBorder="1" applyAlignment="1">
      <alignment horizontal="left"/>
    </xf>
    <xf numFmtId="165" fontId="23" fillId="0" borderId="0" xfId="22" applyNumberFormat="1" applyFont="1" applyFill="1" applyBorder="1" applyAlignment="1">
      <alignment horizontal="center"/>
    </xf>
    <xf numFmtId="7" fontId="171" fillId="0" borderId="0" xfId="0" applyNumberFormat="1" applyFont="1" applyAlignment="1">
      <alignment horizontal="center"/>
    </xf>
    <xf numFmtId="5" fontId="171" fillId="0" borderId="0" xfId="0" applyNumberFormat="1" applyFont="1" applyAlignment="1">
      <alignment horizontal="center"/>
    </xf>
    <xf numFmtId="165" fontId="171" fillId="0" borderId="0" xfId="0" applyNumberFormat="1" applyFont="1" applyAlignment="1">
      <alignment horizontal="center"/>
    </xf>
    <xf numFmtId="166" fontId="171" fillId="0" borderId="0" xfId="0" applyNumberFormat="1" applyFont="1" applyAlignment="1">
      <alignment horizontal="center"/>
    </xf>
    <xf numFmtId="280" fontId="15" fillId="0" borderId="0" xfId="0" applyNumberFormat="1" applyFont="1" applyAlignment="1">
      <alignment horizontal="center"/>
    </xf>
    <xf numFmtId="261" fontId="169" fillId="0" borderId="0" xfId="0" applyNumberFormat="1" applyFont="1" applyAlignment="1">
      <alignment horizontal="center" vertical="center"/>
    </xf>
    <xf numFmtId="261" fontId="169" fillId="0" borderId="0" xfId="0" applyNumberFormat="1" applyFont="1" applyAlignment="1">
      <alignment horizontal="center"/>
    </xf>
    <xf numFmtId="5" fontId="180" fillId="0" borderId="0" xfId="22" applyNumberFormat="1" applyFont="1" applyFill="1" applyBorder="1" applyAlignment="1">
      <alignment horizontal="center"/>
    </xf>
    <xf numFmtId="0" fontId="169" fillId="0" borderId="0" xfId="0" applyFont="1" applyAlignment="1">
      <alignment horizontal="center" wrapText="1"/>
    </xf>
    <xf numFmtId="263" fontId="169" fillId="0" borderId="0" xfId="0" applyNumberFormat="1" applyFont="1" applyAlignment="1">
      <alignment horizontal="center"/>
    </xf>
    <xf numFmtId="278" fontId="169" fillId="0" borderId="0" xfId="0" applyNumberFormat="1" applyFont="1" applyAlignment="1">
      <alignment horizontal="center"/>
    </xf>
    <xf numFmtId="264" fontId="169" fillId="0" borderId="0" xfId="0" applyNumberFormat="1" applyFont="1" applyAlignment="1">
      <alignment horizontal="center"/>
    </xf>
    <xf numFmtId="265" fontId="169" fillId="0" borderId="0" xfId="0" applyNumberFormat="1" applyFont="1" applyAlignment="1">
      <alignment horizontal="center"/>
    </xf>
    <xf numFmtId="5" fontId="169" fillId="0" borderId="0" xfId="22" applyNumberFormat="1" applyFont="1" applyFill="1" applyBorder="1" applyAlignment="1">
      <alignment horizontal="center"/>
    </xf>
    <xf numFmtId="285" fontId="169" fillId="0" borderId="0" xfId="0" applyNumberFormat="1" applyFont="1" applyAlignment="1">
      <alignment horizontal="center"/>
    </xf>
    <xf numFmtId="10" fontId="169" fillId="0" borderId="0" xfId="1" applyNumberFormat="1" applyFont="1" applyFill="1" applyBorder="1"/>
    <xf numFmtId="182" fontId="15" fillId="0" borderId="0" xfId="0" applyNumberFormat="1" applyFont="1"/>
    <xf numFmtId="279" fontId="169" fillId="0" borderId="0" xfId="0" applyNumberFormat="1" applyFont="1" applyAlignment="1">
      <alignment horizontal="center"/>
    </xf>
    <xf numFmtId="5" fontId="169" fillId="0" borderId="0" xfId="0" applyNumberFormat="1" applyFont="1" applyAlignment="1">
      <alignment horizontal="right"/>
    </xf>
    <xf numFmtId="5" fontId="171" fillId="0" borderId="0" xfId="0" applyNumberFormat="1" applyFont="1" applyAlignment="1">
      <alignment horizontal="right"/>
    </xf>
    <xf numFmtId="0" fontId="23" fillId="0" borderId="0" xfId="2" applyFont="1" applyAlignment="1">
      <alignment vertical="center"/>
    </xf>
    <xf numFmtId="286" fontId="23" fillId="0" borderId="0" xfId="2" applyNumberFormat="1" applyFont="1" applyAlignment="1">
      <alignment horizontal="center" vertical="center"/>
    </xf>
    <xf numFmtId="5" fontId="15" fillId="0" borderId="0" xfId="22" applyNumberFormat="1" applyFont="1" applyFill="1" applyBorder="1"/>
    <xf numFmtId="181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10" fontId="23" fillId="0" borderId="0" xfId="2" applyNumberFormat="1" applyFont="1" applyAlignment="1">
      <alignment horizontal="center" vertical="center"/>
    </xf>
    <xf numFmtId="260" fontId="23" fillId="0" borderId="60" xfId="0" applyNumberFormat="1" applyFont="1" applyBorder="1" applyAlignment="1">
      <alignment horizontal="left"/>
    </xf>
    <xf numFmtId="5" fontId="23" fillId="0" borderId="2" xfId="22" applyNumberFormat="1" applyFont="1" applyBorder="1" applyAlignment="1">
      <alignment horizontal="right"/>
    </xf>
    <xf numFmtId="0" fontId="169" fillId="0" borderId="60" xfId="0" applyFont="1" applyBorder="1"/>
    <xf numFmtId="10" fontId="170" fillId="0" borderId="0" xfId="1" applyNumberFormat="1" applyFont="1" applyFill="1"/>
    <xf numFmtId="288" fontId="170" fillId="6" borderId="0" xfId="2" applyNumberFormat="1" applyFont="1" applyFill="1"/>
    <xf numFmtId="173" fontId="175" fillId="0" borderId="0" xfId="0" applyNumberFormat="1" applyFont="1" applyAlignment="1" applyProtection="1">
      <alignment horizontal="left"/>
      <protection locked="0"/>
    </xf>
    <xf numFmtId="10" fontId="170" fillId="6" borderId="0" xfId="1361" applyNumberFormat="1" applyFont="1" applyFill="1"/>
    <xf numFmtId="6" fontId="195" fillId="0" borderId="80" xfId="0" applyNumberFormat="1" applyFont="1" applyBorder="1"/>
    <xf numFmtId="0" fontId="195" fillId="0" borderId="81" xfId="0" applyFont="1" applyBorder="1"/>
    <xf numFmtId="0" fontId="195" fillId="0" borderId="82" xfId="0" applyFont="1" applyBorder="1"/>
    <xf numFmtId="10" fontId="194" fillId="0" borderId="80" xfId="0" applyNumberFormat="1" applyFont="1" applyBorder="1"/>
    <xf numFmtId="6" fontId="195" fillId="0" borderId="7" xfId="0" applyNumberFormat="1" applyFont="1" applyBorder="1"/>
    <xf numFmtId="9" fontId="195" fillId="0" borderId="80" xfId="0" applyNumberFormat="1" applyFont="1" applyBorder="1"/>
    <xf numFmtId="0" fontId="195" fillId="0" borderId="83" xfId="0" applyFont="1" applyBorder="1"/>
    <xf numFmtId="5" fontId="195" fillId="0" borderId="84" xfId="0" applyNumberFormat="1" applyFont="1" applyBorder="1"/>
    <xf numFmtId="5" fontId="195" fillId="0" borderId="83" xfId="0" applyNumberFormat="1" applyFont="1" applyBorder="1"/>
    <xf numFmtId="0" fontId="196" fillId="0" borderId="83" xfId="0" applyFont="1" applyBorder="1"/>
    <xf numFmtId="41" fontId="169" fillId="32" borderId="0" xfId="1361" applyFont="1" applyFill="1"/>
    <xf numFmtId="44" fontId="15" fillId="0" borderId="0" xfId="0" applyNumberFormat="1" applyFont="1" applyAlignment="1">
      <alignment horizontal="center"/>
    </xf>
    <xf numFmtId="0" fontId="15" fillId="0" borderId="87" xfId="0" applyFont="1" applyBorder="1"/>
    <xf numFmtId="38" fontId="15" fillId="0" borderId="93" xfId="22" applyNumberFormat="1" applyFont="1" applyBorder="1" applyAlignment="1">
      <alignment horizontal="center"/>
    </xf>
    <xf numFmtId="8" fontId="15" fillId="0" borderId="93" xfId="0" applyNumberFormat="1" applyFont="1" applyBorder="1" applyAlignment="1">
      <alignment horizontal="center"/>
    </xf>
    <xf numFmtId="164" fontId="15" fillId="0" borderId="86" xfId="22" applyNumberFormat="1" applyFont="1" applyBorder="1" applyAlignment="1">
      <alignment horizontal="center"/>
    </xf>
    <xf numFmtId="0" fontId="24" fillId="0" borderId="94" xfId="14" applyFont="1" applyBorder="1"/>
    <xf numFmtId="38" fontId="180" fillId="0" borderId="95" xfId="22" applyNumberFormat="1" applyFont="1" applyBorder="1" applyAlignment="1">
      <alignment horizontal="center"/>
    </xf>
    <xf numFmtId="3" fontId="180" fillId="0" borderId="96" xfId="14" applyNumberFormat="1" applyFont="1" applyBorder="1" applyAlignment="1">
      <alignment horizontal="center"/>
    </xf>
    <xf numFmtId="8" fontId="15" fillId="0" borderId="88" xfId="0" applyNumberFormat="1" applyFont="1" applyBorder="1"/>
    <xf numFmtId="6" fontId="15" fillId="0" borderId="89" xfId="0" applyNumberFormat="1" applyFont="1" applyBorder="1"/>
    <xf numFmtId="38" fontId="180" fillId="0" borderId="96" xfId="22" applyNumberFormat="1" applyFont="1" applyBorder="1" applyAlignment="1">
      <alignment horizontal="center"/>
    </xf>
    <xf numFmtId="0" fontId="169" fillId="0" borderId="97" xfId="0" applyFont="1" applyBorder="1"/>
    <xf numFmtId="168" fontId="15" fillId="0" borderId="96" xfId="0" applyNumberFormat="1" applyFont="1" applyBorder="1"/>
    <xf numFmtId="168" fontId="169" fillId="0" borderId="96" xfId="1360" applyNumberFormat="1" applyFont="1" applyBorder="1"/>
    <xf numFmtId="0" fontId="169" fillId="0" borderId="90" xfId="0" applyFont="1" applyBorder="1"/>
    <xf numFmtId="276" fontId="171" fillId="0" borderId="87" xfId="0" applyNumberFormat="1" applyFont="1" applyBorder="1"/>
    <xf numFmtId="168" fontId="15" fillId="0" borderId="93" xfId="0" applyNumberFormat="1" applyFont="1" applyBorder="1"/>
    <xf numFmtId="168" fontId="169" fillId="0" borderId="93" xfId="1360" applyNumberFormat="1" applyFont="1" applyBorder="1"/>
    <xf numFmtId="5" fontId="15" fillId="0" borderId="93" xfId="22" applyNumberFormat="1" applyFont="1" applyBorder="1" applyAlignment="1">
      <alignment horizontal="center"/>
    </xf>
    <xf numFmtId="276" fontId="171" fillId="0" borderId="91" xfId="0" applyNumberFormat="1" applyFont="1" applyBorder="1"/>
    <xf numFmtId="168" fontId="180" fillId="39" borderId="98" xfId="0" applyNumberFormat="1" applyFont="1" applyFill="1" applyBorder="1"/>
    <xf numFmtId="168" fontId="169" fillId="0" borderId="98" xfId="1360" applyNumberFormat="1" applyFont="1" applyBorder="1"/>
    <xf numFmtId="5" fontId="15" fillId="0" borderId="98" xfId="22" applyNumberFormat="1" applyFont="1" applyBorder="1" applyAlignment="1">
      <alignment horizontal="center"/>
    </xf>
    <xf numFmtId="166" fontId="15" fillId="9" borderId="93" xfId="22" applyNumberFormat="1" applyFont="1" applyFill="1" applyBorder="1" applyAlignment="1">
      <alignment horizontal="center"/>
    </xf>
    <xf numFmtId="274" fontId="15" fillId="0" borderId="99" xfId="0" applyNumberFormat="1" applyFont="1" applyBorder="1" applyAlignment="1">
      <alignment horizontal="left"/>
    </xf>
    <xf numFmtId="7" fontId="15" fillId="0" borderId="93" xfId="22" applyNumberFormat="1" applyFont="1" applyBorder="1" applyAlignment="1">
      <alignment horizontal="center"/>
    </xf>
    <xf numFmtId="260" fontId="23" fillId="0" borderId="99" xfId="0" applyNumberFormat="1" applyFont="1" applyBorder="1" applyAlignment="1">
      <alignment horizontal="left"/>
    </xf>
    <xf numFmtId="5" fontId="23" fillId="0" borderId="101" xfId="22" applyNumberFormat="1" applyFont="1" applyBorder="1" applyAlignment="1">
      <alignment horizontal="center"/>
    </xf>
    <xf numFmtId="260" fontId="15" fillId="0" borderId="87" xfId="0" applyNumberFormat="1" applyFont="1" applyBorder="1" applyAlignment="1">
      <alignment horizontal="left"/>
    </xf>
    <xf numFmtId="5" fontId="15" fillId="0" borderId="86" xfId="22" applyNumberFormat="1" applyFont="1" applyBorder="1" applyAlignment="1">
      <alignment horizontal="center"/>
    </xf>
    <xf numFmtId="5" fontId="23" fillId="0" borderId="96" xfId="22" applyNumberFormat="1" applyFont="1" applyBorder="1" applyAlignment="1">
      <alignment horizontal="center"/>
    </xf>
    <xf numFmtId="261" fontId="169" fillId="0" borderId="93" xfId="0" applyNumberFormat="1" applyFont="1" applyBorder="1" applyAlignment="1">
      <alignment horizontal="center"/>
    </xf>
    <xf numFmtId="0" fontId="169" fillId="0" borderId="87" xfId="0" applyFont="1" applyBorder="1"/>
    <xf numFmtId="263" fontId="169" fillId="0" borderId="93" xfId="0" applyNumberFormat="1" applyFont="1" applyBorder="1" applyAlignment="1">
      <alignment horizontal="center"/>
    </xf>
    <xf numFmtId="0" fontId="169" fillId="0" borderId="93" xfId="0" applyFont="1" applyBorder="1" applyAlignment="1">
      <alignment horizontal="center"/>
    </xf>
    <xf numFmtId="264" fontId="169" fillId="0" borderId="93" xfId="0" applyNumberFormat="1" applyFont="1" applyBorder="1" applyAlignment="1">
      <alignment horizontal="center"/>
    </xf>
    <xf numFmtId="260" fontId="23" fillId="0" borderId="87" xfId="0" applyNumberFormat="1" applyFont="1" applyBorder="1" applyAlignment="1">
      <alignment horizontal="left"/>
    </xf>
    <xf numFmtId="5" fontId="169" fillId="0" borderId="86" xfId="0" applyNumberFormat="1" applyFont="1" applyBorder="1"/>
    <xf numFmtId="260" fontId="23" fillId="0" borderId="91" xfId="0" applyNumberFormat="1" applyFont="1" applyBorder="1" applyAlignment="1">
      <alignment horizontal="left"/>
    </xf>
    <xf numFmtId="5" fontId="23" fillId="0" borderId="92" xfId="22" applyNumberFormat="1" applyFont="1" applyBorder="1" applyAlignment="1"/>
    <xf numFmtId="0" fontId="171" fillId="0" borderId="91" xfId="0" applyFont="1" applyBorder="1"/>
    <xf numFmtId="5" fontId="171" fillId="0" borderId="92" xfId="0" applyNumberFormat="1" applyFont="1" applyBorder="1"/>
    <xf numFmtId="0" fontId="171" fillId="0" borderId="87" xfId="0" applyFont="1" applyBorder="1"/>
    <xf numFmtId="5" fontId="15" fillId="0" borderId="86" xfId="22" applyNumberFormat="1" applyFont="1" applyFill="1" applyBorder="1" applyAlignment="1">
      <alignment horizontal="right"/>
    </xf>
    <xf numFmtId="0" fontId="194" fillId="9" borderId="84" xfId="0" applyFont="1" applyFill="1" applyBorder="1" applyAlignment="1">
      <alignment horizontal="center" vertical="center"/>
    </xf>
    <xf numFmtId="0" fontId="171" fillId="0" borderId="93" xfId="0" applyFont="1" applyBorder="1" applyAlignment="1">
      <alignment horizontal="right"/>
    </xf>
    <xf numFmtId="172" fontId="171" fillId="0" borderId="93" xfId="0" applyNumberFormat="1" applyFont="1" applyBorder="1" applyAlignment="1">
      <alignment horizontal="right"/>
    </xf>
    <xf numFmtId="172" fontId="171" fillId="0" borderId="93" xfId="0" applyNumberFormat="1" applyFont="1" applyBorder="1"/>
    <xf numFmtId="172" fontId="169" fillId="0" borderId="93" xfId="0" applyNumberFormat="1" applyFont="1" applyBorder="1"/>
    <xf numFmtId="5" fontId="169" fillId="0" borderId="93" xfId="0" applyNumberFormat="1" applyFont="1" applyBorder="1"/>
    <xf numFmtId="0" fontId="169" fillId="0" borderId="93" xfId="0" applyFont="1" applyBorder="1"/>
    <xf numFmtId="10" fontId="169" fillId="0" borderId="93" xfId="0" applyNumberFormat="1" applyFont="1" applyBorder="1"/>
    <xf numFmtId="5" fontId="171" fillId="4" borderId="93" xfId="0" applyNumberFormat="1" applyFont="1" applyFill="1" applyBorder="1"/>
    <xf numFmtId="5" fontId="171" fillId="0" borderId="93" xfId="0" applyNumberFormat="1" applyFont="1" applyBorder="1"/>
    <xf numFmtId="10" fontId="171" fillId="0" borderId="93" xfId="0" applyNumberFormat="1" applyFont="1" applyBorder="1"/>
    <xf numFmtId="0" fontId="169" fillId="4" borderId="93" xfId="0" applyFont="1" applyFill="1" applyBorder="1"/>
    <xf numFmtId="0" fontId="171" fillId="0" borderId="93" xfId="0" applyFont="1" applyBorder="1" applyAlignment="1">
      <alignment horizontal="center" wrapText="1"/>
    </xf>
    <xf numFmtId="10" fontId="169" fillId="4" borderId="93" xfId="0" applyNumberFormat="1" applyFont="1" applyFill="1" applyBorder="1"/>
    <xf numFmtId="5" fontId="169" fillId="4" borderId="93" xfId="0" applyNumberFormat="1" applyFont="1" applyFill="1" applyBorder="1"/>
    <xf numFmtId="5" fontId="169" fillId="0" borderId="93" xfId="0" quotePrefix="1" applyNumberFormat="1" applyFont="1" applyBorder="1"/>
    <xf numFmtId="0" fontId="177" fillId="0" borderId="94" xfId="0" applyFont="1" applyBorder="1" applyAlignment="1">
      <alignment vertical="center"/>
    </xf>
    <xf numFmtId="0" fontId="177" fillId="0" borderId="96" xfId="0" applyFont="1" applyBorder="1" applyAlignment="1">
      <alignment vertical="center"/>
    </xf>
    <xf numFmtId="0" fontId="177" fillId="0" borderId="89" xfId="0" applyFont="1" applyBorder="1" applyAlignment="1">
      <alignment vertical="center"/>
    </xf>
    <xf numFmtId="0" fontId="181" fillId="0" borderId="87" xfId="0" applyFont="1" applyBorder="1" applyAlignment="1">
      <alignment horizontal="left" vertical="center"/>
    </xf>
    <xf numFmtId="0" fontId="181" fillId="0" borderId="93" xfId="0" applyFont="1" applyBorder="1" applyAlignment="1">
      <alignment horizontal="left" vertical="center" wrapText="1"/>
    </xf>
    <xf numFmtId="43" fontId="181" fillId="0" borderId="93" xfId="1360" applyFont="1" applyBorder="1" applyAlignment="1">
      <alignment horizontal="left" vertical="center"/>
    </xf>
    <xf numFmtId="168" fontId="181" fillId="0" borderId="93" xfId="1360" applyNumberFormat="1" applyFont="1" applyBorder="1" applyAlignment="1">
      <alignment horizontal="left" vertical="center"/>
    </xf>
    <xf numFmtId="0" fontId="181" fillId="0" borderId="86" xfId="0" applyFont="1" applyBorder="1" applyAlignment="1">
      <alignment horizontal="left" vertical="center"/>
    </xf>
    <xf numFmtId="0" fontId="198" fillId="0" borderId="93" xfId="0" applyFont="1" applyBorder="1" applyAlignment="1">
      <alignment horizontal="center" vertical="center" wrapText="1"/>
    </xf>
    <xf numFmtId="3" fontId="203" fillId="0" borderId="93" xfId="0" applyNumberFormat="1" applyFont="1" applyBorder="1" applyAlignment="1">
      <alignment horizontal="center" vertical="center"/>
    </xf>
    <xf numFmtId="168" fontId="203" fillId="0" borderId="93" xfId="1360" applyNumberFormat="1" applyFont="1" applyBorder="1" applyAlignment="1">
      <alignment vertical="center"/>
    </xf>
    <xf numFmtId="179" fontId="203" fillId="0" borderId="93" xfId="0" applyNumberFormat="1" applyFont="1" applyBorder="1" applyAlignment="1">
      <alignment horizontal="center" vertical="center"/>
    </xf>
    <xf numFmtId="168" fontId="203" fillId="0" borderId="93" xfId="1360" applyNumberFormat="1" applyFont="1" applyBorder="1" applyAlignment="1"/>
    <xf numFmtId="0" fontId="203" fillId="0" borderId="93" xfId="0" applyFont="1" applyBorder="1" applyAlignment="1">
      <alignment horizontal="center"/>
    </xf>
    <xf numFmtId="0" fontId="177" fillId="0" borderId="87" xfId="0" applyFont="1" applyBorder="1" applyAlignment="1">
      <alignment horizontal="center" vertical="center"/>
    </xf>
    <xf numFmtId="0" fontId="177" fillId="0" borderId="93" xfId="0" applyFont="1" applyBorder="1" applyAlignment="1">
      <alignment horizontal="center" vertical="center"/>
    </xf>
    <xf numFmtId="0" fontId="177" fillId="0" borderId="93" xfId="0" applyFont="1" applyBorder="1" applyAlignment="1">
      <alignment horizontal="center" vertical="center" wrapText="1"/>
    </xf>
    <xf numFmtId="0" fontId="177" fillId="0" borderId="86" xfId="0" applyFont="1" applyBorder="1" applyAlignment="1">
      <alignment horizontal="center" vertical="center" wrapText="1"/>
    </xf>
    <xf numFmtId="0" fontId="185" fillId="0" borderId="87" xfId="0" applyFont="1" applyBorder="1" applyAlignment="1">
      <alignment horizontal="center" vertical="center"/>
    </xf>
    <xf numFmtId="3" fontId="202" fillId="41" borderId="93" xfId="0" applyNumberFormat="1" applyFont="1" applyFill="1" applyBorder="1" applyAlignment="1">
      <alignment horizontal="center" vertical="center"/>
    </xf>
    <xf numFmtId="0" fontId="185" fillId="0" borderId="93" xfId="0" applyFont="1" applyBorder="1" applyAlignment="1">
      <alignment horizontal="center" vertical="center"/>
    </xf>
    <xf numFmtId="3" fontId="185" fillId="0" borderId="104" xfId="0" applyNumberFormat="1" applyFont="1" applyBorder="1" applyAlignment="1">
      <alignment horizontal="center" vertical="center"/>
    </xf>
    <xf numFmtId="0" fontId="185" fillId="0" borderId="99" xfId="0" applyFont="1" applyBorder="1" applyAlignment="1">
      <alignment horizontal="center" vertical="center"/>
    </xf>
    <xf numFmtId="3" fontId="202" fillId="41" borderId="104" xfId="0" applyNumberFormat="1" applyFont="1" applyFill="1" applyBorder="1" applyAlignment="1">
      <alignment horizontal="center" vertical="center"/>
    </xf>
    <xf numFmtId="0" fontId="185" fillId="0" borderId="104" xfId="0" applyFont="1" applyBorder="1" applyAlignment="1">
      <alignment horizontal="center" vertical="center"/>
    </xf>
    <xf numFmtId="0" fontId="177" fillId="0" borderId="84" xfId="0" applyFont="1" applyBorder="1" applyAlignment="1">
      <alignment horizontal="center" vertical="center"/>
    </xf>
    <xf numFmtId="0" fontId="181" fillId="39" borderId="87" xfId="0" applyFont="1" applyFill="1" applyBorder="1" applyAlignment="1">
      <alignment horizontal="center" vertical="center"/>
    </xf>
    <xf numFmtId="0" fontId="181" fillId="0" borderId="84" xfId="0" applyFont="1" applyBorder="1" applyAlignment="1">
      <alignment horizontal="center" vertical="center"/>
    </xf>
    <xf numFmtId="168" fontId="176" fillId="35" borderId="93" xfId="1360" applyNumberFormat="1" applyFont="1" applyFill="1" applyBorder="1" applyAlignment="1">
      <alignment horizontal="center" vertical="center"/>
    </xf>
    <xf numFmtId="0" fontId="181" fillId="0" borderId="93" xfId="0" applyFont="1" applyBorder="1" applyAlignment="1">
      <alignment horizontal="center" vertical="center"/>
    </xf>
    <xf numFmtId="0" fontId="181" fillId="0" borderId="93" xfId="0" applyFont="1" applyBorder="1" applyAlignment="1">
      <alignment horizontal="center" vertical="center" wrapText="1"/>
    </xf>
    <xf numFmtId="166" fontId="181" fillId="0" borderId="93" xfId="0" applyNumberFormat="1" applyFont="1" applyBorder="1" applyAlignment="1">
      <alignment horizontal="center"/>
    </xf>
    <xf numFmtId="0" fontId="181" fillId="39" borderId="87" xfId="0" applyFont="1" applyFill="1" applyBorder="1" applyAlignment="1">
      <alignment horizontal="center" vertical="center" wrapText="1"/>
    </xf>
    <xf numFmtId="0" fontId="181" fillId="0" borderId="84" xfId="0" applyFont="1" applyBorder="1" applyAlignment="1">
      <alignment horizontal="center" vertical="center" wrapText="1"/>
    </xf>
    <xf numFmtId="166" fontId="181" fillId="0" borderId="93" xfId="0" applyNumberFormat="1" applyFont="1" applyBorder="1"/>
    <xf numFmtId="0" fontId="181" fillId="0" borderId="94" xfId="0" applyFont="1" applyBorder="1" applyAlignment="1">
      <alignment horizontal="center" vertical="center" wrapText="1"/>
    </xf>
    <xf numFmtId="43" fontId="186" fillId="0" borderId="96" xfId="1360" applyFont="1" applyFill="1" applyBorder="1" applyAlignment="1">
      <alignment horizontal="center" vertical="center"/>
    </xf>
    <xf numFmtId="166" fontId="181" fillId="0" borderId="96" xfId="0" applyNumberFormat="1" applyFont="1" applyBorder="1"/>
    <xf numFmtId="166" fontId="181" fillId="0" borderId="89" xfId="0" applyNumberFormat="1" applyFont="1" applyBorder="1"/>
    <xf numFmtId="3" fontId="167" fillId="0" borderId="100" xfId="0" applyNumberFormat="1" applyFont="1" applyBorder="1" applyAlignment="1">
      <alignment horizontal="center" vertical="center"/>
    </xf>
    <xf numFmtId="3" fontId="167" fillId="0" borderId="105" xfId="0" applyNumberFormat="1" applyFont="1" applyBorder="1" applyAlignment="1">
      <alignment horizontal="center" vertical="center"/>
    </xf>
    <xf numFmtId="3" fontId="167" fillId="0" borderId="93" xfId="0" applyNumberFormat="1" applyFont="1" applyBorder="1" applyAlignment="1">
      <alignment horizontal="center" vertical="center"/>
    </xf>
    <xf numFmtId="0" fontId="167" fillId="0" borderId="93" xfId="0" applyFont="1" applyBorder="1" applyAlignment="1">
      <alignment horizontal="center" vertical="center"/>
    </xf>
    <xf numFmtId="277" fontId="173" fillId="0" borderId="87" xfId="0" applyNumberFormat="1" applyFont="1" applyBorder="1" applyAlignment="1">
      <alignment horizontal="left"/>
    </xf>
    <xf numFmtId="5" fontId="169" fillId="0" borderId="86" xfId="0" applyNumberFormat="1" applyFont="1" applyBorder="1" applyAlignment="1">
      <alignment horizontal="right"/>
    </xf>
    <xf numFmtId="5" fontId="171" fillId="0" borderId="92" xfId="0" applyNumberFormat="1" applyFont="1" applyBorder="1" applyAlignment="1">
      <alignment horizontal="right"/>
    </xf>
    <xf numFmtId="0" fontId="23" fillId="0" borderId="87" xfId="2" applyFont="1" applyBorder="1" applyAlignment="1">
      <alignment vertical="center"/>
    </xf>
    <xf numFmtId="5" fontId="23" fillId="0" borderId="86" xfId="22" applyNumberFormat="1" applyFont="1" applyFill="1" applyBorder="1" applyAlignment="1">
      <alignment horizontal="right"/>
    </xf>
    <xf numFmtId="10" fontId="15" fillId="0" borderId="86" xfId="2" applyNumberFormat="1" applyFont="1" applyBorder="1" applyAlignment="1">
      <alignment horizontal="right" vertical="center"/>
    </xf>
    <xf numFmtId="287" fontId="15" fillId="0" borderId="86" xfId="1361" applyNumberFormat="1" applyFont="1" applyFill="1" applyBorder="1"/>
    <xf numFmtId="5" fontId="171" fillId="0" borderId="86" xfId="0" applyNumberFormat="1" applyFont="1" applyBorder="1"/>
    <xf numFmtId="10" fontId="195" fillId="0" borderId="0" xfId="0" applyNumberFormat="1" applyFont="1"/>
    <xf numFmtId="0" fontId="195" fillId="0" borderId="85" xfId="0" applyFont="1" applyBorder="1"/>
    <xf numFmtId="0" fontId="203" fillId="39" borderId="93" xfId="0" applyFont="1" applyFill="1" applyBorder="1" applyAlignment="1">
      <alignment horizontal="center" vertical="center"/>
    </xf>
    <xf numFmtId="3" fontId="203" fillId="39" borderId="93" xfId="0" applyNumberFormat="1" applyFont="1" applyFill="1" applyBorder="1" applyAlignment="1">
      <alignment horizontal="center" vertical="center"/>
    </xf>
    <xf numFmtId="179" fontId="203" fillId="39" borderId="93" xfId="0" applyNumberFormat="1" applyFont="1" applyFill="1" applyBorder="1" applyAlignment="1">
      <alignment horizontal="center" vertical="center"/>
    </xf>
    <xf numFmtId="0" fontId="178" fillId="0" borderId="0" xfId="0" applyFont="1" applyAlignment="1">
      <alignment horizontal="center" vertical="center"/>
    </xf>
    <xf numFmtId="10" fontId="203" fillId="0" borderId="93" xfId="1" applyNumberFormat="1" applyFont="1" applyBorder="1" applyAlignment="1">
      <alignment horizontal="center" vertical="center"/>
    </xf>
    <xf numFmtId="168" fontId="181" fillId="0" borderId="0" xfId="0" applyNumberFormat="1" applyFont="1"/>
    <xf numFmtId="168" fontId="181" fillId="0" borderId="0" xfId="1360" applyNumberFormat="1" applyFont="1"/>
    <xf numFmtId="168" fontId="181" fillId="0" borderId="0" xfId="1360" applyNumberFormat="1" applyFont="1" applyFill="1"/>
    <xf numFmtId="10" fontId="167" fillId="0" borderId="0" xfId="1" applyNumberFormat="1" applyFont="1"/>
    <xf numFmtId="10" fontId="203" fillId="0" borderId="0" xfId="1" applyNumberFormat="1" applyFont="1"/>
    <xf numFmtId="0" fontId="181" fillId="0" borderId="62" xfId="0" applyFont="1" applyBorder="1" applyAlignment="1">
      <alignment horizontal="center" vertical="center"/>
    </xf>
    <xf numFmtId="0" fontId="181" fillId="0" borderId="62" xfId="0" applyFont="1" applyBorder="1" applyAlignment="1">
      <alignment horizontal="center"/>
    </xf>
    <xf numFmtId="168" fontId="181" fillId="0" borderId="62" xfId="1360" applyNumberFormat="1" applyFont="1" applyBorder="1"/>
    <xf numFmtId="269" fontId="181" fillId="0" borderId="62" xfId="1360" applyNumberFormat="1" applyFont="1" applyBorder="1"/>
    <xf numFmtId="43" fontId="181" fillId="0" borderId="62" xfId="1360" applyFont="1" applyBorder="1"/>
    <xf numFmtId="168" fontId="181" fillId="0" borderId="62" xfId="1360" applyNumberFormat="1" applyFont="1" applyFill="1" applyBorder="1"/>
    <xf numFmtId="269" fontId="181" fillId="0" borderId="62" xfId="1360" applyNumberFormat="1" applyFont="1" applyFill="1" applyBorder="1"/>
    <xf numFmtId="0" fontId="181" fillId="0" borderId="62" xfId="0" applyFont="1" applyBorder="1" applyAlignment="1">
      <alignment wrapText="1"/>
    </xf>
    <xf numFmtId="168" fontId="203" fillId="0" borderId="0" xfId="0" applyNumberFormat="1" applyFont="1"/>
    <xf numFmtId="168" fontId="203" fillId="0" borderId="0" xfId="1360" applyNumberFormat="1" applyFont="1"/>
    <xf numFmtId="168" fontId="204" fillId="0" borderId="0" xfId="0" applyNumberFormat="1" applyFont="1"/>
    <xf numFmtId="9" fontId="181" fillId="0" borderId="0" xfId="1" applyFont="1" applyAlignment="1">
      <alignment horizontal="center"/>
    </xf>
    <xf numFmtId="10" fontId="181" fillId="0" borderId="0" xfId="1" applyNumberFormat="1" applyFont="1" applyAlignment="1">
      <alignment horizontal="center"/>
    </xf>
    <xf numFmtId="10" fontId="167" fillId="0" borderId="0" xfId="1" applyNumberFormat="1" applyFont="1" applyAlignment="1">
      <alignment horizontal="center" vertical="center"/>
    </xf>
    <xf numFmtId="9" fontId="181" fillId="0" borderId="0" xfId="1" applyFont="1" applyAlignment="1">
      <alignment horizontal="center" vertical="center"/>
    </xf>
    <xf numFmtId="9" fontId="167" fillId="0" borderId="0" xfId="1" applyFont="1" applyAlignment="1">
      <alignment horizontal="center" vertical="center" wrapText="1"/>
    </xf>
    <xf numFmtId="10" fontId="181" fillId="0" borderId="0" xfId="0" applyNumberFormat="1" applyFont="1"/>
    <xf numFmtId="0" fontId="169" fillId="32" borderId="0" xfId="0" applyFont="1" applyFill="1"/>
    <xf numFmtId="289" fontId="189" fillId="32" borderId="0" xfId="1" applyNumberFormat="1" applyFont="1" applyFill="1" applyBorder="1" applyAlignment="1">
      <alignment horizontal="right" vertical="center"/>
    </xf>
    <xf numFmtId="0" fontId="169" fillId="32" borderId="106" xfId="0" applyFont="1" applyFill="1" applyBorder="1"/>
    <xf numFmtId="0" fontId="169" fillId="32" borderId="30" xfId="0" applyFont="1" applyFill="1" applyBorder="1"/>
    <xf numFmtId="0" fontId="15" fillId="32" borderId="107" xfId="0" applyFont="1" applyFill="1" applyBorder="1" applyAlignment="1">
      <alignment wrapText="1"/>
    </xf>
    <xf numFmtId="0" fontId="15" fillId="32" borderId="108" xfId="0" applyFont="1" applyFill="1" applyBorder="1" applyAlignment="1">
      <alignment wrapText="1"/>
    </xf>
    <xf numFmtId="0" fontId="169" fillId="32" borderId="108" xfId="1347" applyFont="1" applyFill="1" applyBorder="1"/>
    <xf numFmtId="0" fontId="15" fillId="32" borderId="108" xfId="0" applyFont="1" applyFill="1" applyBorder="1"/>
    <xf numFmtId="0" fontId="169" fillId="32" borderId="107" xfId="1347" applyFont="1" applyFill="1" applyBorder="1"/>
    <xf numFmtId="0" fontId="169" fillId="32" borderId="109" xfId="0" applyFont="1" applyFill="1" applyBorder="1"/>
    <xf numFmtId="0" fontId="169" fillId="32" borderId="73" xfId="0" applyFont="1" applyFill="1" applyBorder="1"/>
    <xf numFmtId="0" fontId="169" fillId="32" borderId="110" xfId="0" applyFont="1" applyFill="1" applyBorder="1"/>
    <xf numFmtId="0" fontId="169" fillId="32" borderId="5" xfId="0" applyFont="1" applyFill="1" applyBorder="1"/>
    <xf numFmtId="0" fontId="169" fillId="32" borderId="111" xfId="0" applyFont="1" applyFill="1" applyBorder="1"/>
    <xf numFmtId="0" fontId="169" fillId="32" borderId="112" xfId="0" applyFont="1" applyFill="1" applyBorder="1"/>
    <xf numFmtId="0" fontId="169" fillId="32" borderId="75" xfId="0" applyFont="1" applyFill="1" applyBorder="1"/>
    <xf numFmtId="0" fontId="169" fillId="32" borderId="113" xfId="0" applyFont="1" applyFill="1" applyBorder="1"/>
    <xf numFmtId="0" fontId="169" fillId="32" borderId="14" xfId="0" applyFont="1" applyFill="1" applyBorder="1"/>
    <xf numFmtId="10" fontId="189" fillId="32" borderId="5" xfId="1347" applyNumberFormat="1" applyFont="1" applyFill="1" applyBorder="1" applyAlignment="1">
      <alignment horizontal="right" vertical="center"/>
    </xf>
    <xf numFmtId="0" fontId="169" fillId="32" borderId="115" xfId="0" applyFont="1" applyFill="1" applyBorder="1"/>
    <xf numFmtId="0" fontId="169" fillId="32" borderId="116" xfId="0" applyFont="1" applyFill="1" applyBorder="1"/>
    <xf numFmtId="0" fontId="169" fillId="0" borderId="114" xfId="0" applyFont="1" applyBorder="1"/>
    <xf numFmtId="0" fontId="169" fillId="0" borderId="75" xfId="0" applyFont="1" applyBorder="1"/>
    <xf numFmtId="0" fontId="206" fillId="42" borderId="122" xfId="0" applyFont="1" applyFill="1" applyBorder="1" applyAlignment="1">
      <alignment horizontal="center" vertical="top"/>
    </xf>
    <xf numFmtId="5" fontId="15" fillId="0" borderId="0" xfId="22" applyNumberFormat="1" applyFont="1" applyBorder="1" applyAlignment="1">
      <alignment horizontal="center" vertical="center"/>
    </xf>
    <xf numFmtId="0" fontId="171" fillId="0" borderId="93" xfId="0" applyFont="1" applyBorder="1" applyAlignment="1">
      <alignment horizontal="center"/>
    </xf>
    <xf numFmtId="0" fontId="171" fillId="0" borderId="86" xfId="0" applyFont="1" applyBorder="1" applyAlignment="1">
      <alignment horizontal="center"/>
    </xf>
    <xf numFmtId="0" fontId="170" fillId="6" borderId="0" xfId="2" applyFont="1" applyFill="1" applyAlignment="1">
      <alignment horizontal="right" vertical="center"/>
    </xf>
    <xf numFmtId="9" fontId="169" fillId="0" borderId="0" xfId="1" applyFont="1"/>
    <xf numFmtId="0" fontId="169" fillId="0" borderId="0" xfId="0" applyFont="1" applyAlignment="1">
      <alignment horizontal="right"/>
    </xf>
    <xf numFmtId="5" fontId="23" fillId="0" borderId="93" xfId="22" applyNumberFormat="1" applyFont="1" applyBorder="1" applyAlignment="1">
      <alignment horizontal="right" vertical="center"/>
    </xf>
    <xf numFmtId="5" fontId="171" fillId="0" borderId="93" xfId="0" applyNumberFormat="1" applyFont="1" applyBorder="1" applyAlignment="1">
      <alignment horizontal="right"/>
    </xf>
    <xf numFmtId="10" fontId="15" fillId="0" borderId="0" xfId="0" applyNumberFormat="1" applyFont="1" applyAlignment="1">
      <alignment horizontal="center"/>
    </xf>
    <xf numFmtId="2" fontId="23" fillId="0" borderId="86" xfId="1" applyNumberFormat="1" applyFont="1" applyFill="1" applyBorder="1" applyAlignment="1">
      <alignment horizontal="right"/>
    </xf>
    <xf numFmtId="0" fontId="171" fillId="0" borderId="58" xfId="0" applyFont="1" applyBorder="1" applyAlignment="1">
      <alignment horizontal="right"/>
    </xf>
    <xf numFmtId="0" fontId="169" fillId="0" borderId="113" xfId="0" applyFont="1" applyBorder="1"/>
    <xf numFmtId="5" fontId="23" fillId="0" borderId="79" xfId="0" applyNumberFormat="1" applyFont="1" applyBorder="1" applyAlignment="1">
      <alignment horizontal="right" vertical="center"/>
    </xf>
    <xf numFmtId="10" fontId="171" fillId="0" borderId="0" xfId="1" applyNumberFormat="1" applyFont="1" applyBorder="1" applyAlignment="1">
      <alignment horizontal="center"/>
    </xf>
    <xf numFmtId="0" fontId="171" fillId="0" borderId="0" xfId="0" applyFont="1" applyAlignment="1">
      <alignment horizontal="center"/>
    </xf>
    <xf numFmtId="5" fontId="23" fillId="0" borderId="0" xfId="0" applyNumberFormat="1" applyFont="1" applyAlignment="1">
      <alignment horizontal="center" vertical="center"/>
    </xf>
    <xf numFmtId="37" fontId="15" fillId="0" borderId="0" xfId="22" applyNumberFormat="1" applyFont="1" applyFill="1" applyBorder="1" applyAlignment="1">
      <alignment horizontal="center"/>
    </xf>
    <xf numFmtId="171" fontId="15" fillId="0" borderId="0" xfId="1" applyNumberFormat="1" applyFont="1" applyFill="1" applyBorder="1" applyAlignment="1">
      <alignment horizontal="center"/>
    </xf>
    <xf numFmtId="9" fontId="23" fillId="0" borderId="0" xfId="0" applyNumberFormat="1" applyFont="1" applyAlignment="1">
      <alignment horizontal="center"/>
    </xf>
    <xf numFmtId="37" fontId="15" fillId="0" borderId="0" xfId="22" applyNumberFormat="1" applyFont="1" applyFill="1" applyBorder="1" applyAlignment="1">
      <alignment horizontal="center" vertical="center"/>
    </xf>
    <xf numFmtId="166" fontId="23" fillId="0" borderId="0" xfId="22" applyNumberFormat="1" applyFont="1" applyFill="1" applyBorder="1" applyAlignment="1">
      <alignment horizontal="center"/>
    </xf>
    <xf numFmtId="10" fontId="171" fillId="0" borderId="67" xfId="0" applyNumberFormat="1" applyFont="1" applyBorder="1" applyAlignment="1">
      <alignment horizontal="center"/>
    </xf>
    <xf numFmtId="294" fontId="169" fillId="0" borderId="93" xfId="0" applyNumberFormat="1" applyFont="1" applyBorder="1" applyAlignment="1">
      <alignment horizontal="center" vertical="center"/>
    </xf>
    <xf numFmtId="265" fontId="169" fillId="0" borderId="93" xfId="0" applyNumberFormat="1" applyFont="1" applyBorder="1" applyAlignment="1">
      <alignment horizontal="center"/>
    </xf>
    <xf numFmtId="296" fontId="169" fillId="0" borderId="93" xfId="0" applyNumberFormat="1" applyFont="1" applyBorder="1" applyAlignment="1">
      <alignment horizontal="center"/>
    </xf>
    <xf numFmtId="0" fontId="23" fillId="34" borderId="124" xfId="0" applyFont="1" applyFill="1" applyBorder="1" applyAlignment="1">
      <alignment horizontal="left"/>
    </xf>
    <xf numFmtId="0" fontId="23" fillId="34" borderId="125" xfId="0" applyFont="1" applyFill="1" applyBorder="1" applyAlignment="1">
      <alignment horizontal="center"/>
    </xf>
    <xf numFmtId="10" fontId="23" fillId="0" borderId="2" xfId="2" applyNumberFormat="1" applyFont="1" applyBorder="1" applyAlignment="1">
      <alignment horizontal="right" vertical="center"/>
    </xf>
    <xf numFmtId="5" fontId="170" fillId="0" borderId="0" xfId="0" applyNumberFormat="1" applyFont="1"/>
    <xf numFmtId="0" fontId="169" fillId="32" borderId="127" xfId="0" applyFont="1" applyFill="1" applyBorder="1"/>
    <xf numFmtId="0" fontId="169" fillId="32" borderId="0" xfId="0" applyFont="1" applyFill="1" applyAlignment="1">
      <alignment horizontal="right"/>
    </xf>
    <xf numFmtId="0" fontId="169" fillId="32" borderId="0" xfId="1347" applyFont="1" applyFill="1" applyAlignment="1">
      <alignment horizontal="left"/>
    </xf>
    <xf numFmtId="0" fontId="203" fillId="0" borderId="93" xfId="0" applyFont="1" applyBorder="1" applyAlignment="1">
      <alignment horizontal="center" vertical="center"/>
    </xf>
    <xf numFmtId="0" fontId="167" fillId="0" borderId="0" xfId="0" applyFont="1" applyAlignment="1">
      <alignment horizontal="right"/>
    </xf>
    <xf numFmtId="0" fontId="207" fillId="43" borderId="128" xfId="0" applyFont="1" applyFill="1" applyBorder="1" applyAlignment="1">
      <alignment horizontal="center" vertical="top"/>
    </xf>
    <xf numFmtId="168" fontId="167" fillId="0" borderId="0" xfId="1360" applyNumberFormat="1" applyFont="1" applyAlignment="1">
      <alignment horizontal="right"/>
    </xf>
    <xf numFmtId="43" fontId="167" fillId="0" borderId="0" xfId="0" applyNumberFormat="1" applyFont="1" applyAlignment="1">
      <alignment horizontal="right"/>
    </xf>
    <xf numFmtId="3" fontId="167" fillId="0" borderId="0" xfId="0" applyNumberFormat="1" applyFont="1" applyAlignment="1">
      <alignment horizontal="right"/>
    </xf>
    <xf numFmtId="0" fontId="167" fillId="4" borderId="0" xfId="0" applyFont="1" applyFill="1"/>
    <xf numFmtId="0" fontId="167" fillId="4" borderId="0" xfId="0" applyFont="1" applyFill="1" applyAlignment="1">
      <alignment horizontal="right"/>
    </xf>
    <xf numFmtId="9" fontId="189" fillId="32" borderId="0" xfId="1" applyFont="1" applyFill="1" applyBorder="1" applyAlignment="1">
      <alignment horizontal="right"/>
    </xf>
    <xf numFmtId="10" fontId="189" fillId="32" borderId="0" xfId="1" applyNumberFormat="1" applyFont="1" applyFill="1" applyBorder="1" applyAlignment="1">
      <alignment horizontal="right"/>
    </xf>
    <xf numFmtId="168" fontId="189" fillId="32" borderId="0" xfId="1360" applyNumberFormat="1" applyFont="1" applyFill="1" applyBorder="1" applyAlignment="1"/>
    <xf numFmtId="262" fontId="205" fillId="32" borderId="0" xfId="0" applyNumberFormat="1" applyFont="1" applyFill="1" applyAlignment="1">
      <alignment horizontal="right"/>
    </xf>
    <xf numFmtId="0" fontId="171" fillId="32" borderId="0" xfId="0" applyFont="1" applyFill="1"/>
    <xf numFmtId="0" fontId="171" fillId="32" borderId="126" xfId="0" applyFont="1" applyFill="1" applyBorder="1"/>
    <xf numFmtId="0" fontId="169" fillId="32" borderId="120" xfId="0" applyFont="1" applyFill="1" applyBorder="1" applyAlignment="1">
      <alignment horizontal="left"/>
    </xf>
    <xf numFmtId="0" fontId="169" fillId="32" borderId="129" xfId="0" applyFont="1" applyFill="1" applyBorder="1"/>
    <xf numFmtId="0" fontId="169" fillId="32" borderId="121" xfId="0" applyFont="1" applyFill="1" applyBorder="1"/>
    <xf numFmtId="291" fontId="189" fillId="32" borderId="0" xfId="0" applyNumberFormat="1" applyFont="1" applyFill="1" applyAlignment="1">
      <alignment horizontal="right"/>
    </xf>
    <xf numFmtId="290" fontId="189" fillId="32" borderId="0" xfId="0" applyNumberFormat="1" applyFont="1" applyFill="1" applyAlignment="1">
      <alignment horizontal="right"/>
    </xf>
    <xf numFmtId="0" fontId="15" fillId="32" borderId="0" xfId="1347" applyFont="1" applyFill="1" applyAlignment="1">
      <alignment horizontal="left" vertical="center" indent="1"/>
    </xf>
    <xf numFmtId="0" fontId="23" fillId="32" borderId="5" xfId="1347" applyFont="1" applyFill="1" applyBorder="1" applyAlignment="1">
      <alignment horizontal="center" vertical="center"/>
    </xf>
    <xf numFmtId="0" fontId="15" fillId="32" borderId="0" xfId="1347" applyFont="1" applyFill="1" applyAlignment="1">
      <alignment vertical="center"/>
    </xf>
    <xf numFmtId="9" fontId="189" fillId="32" borderId="0" xfId="1347" applyNumberFormat="1" applyFont="1" applyFill="1" applyAlignment="1">
      <alignment horizontal="center" vertical="center"/>
    </xf>
    <xf numFmtId="166" fontId="189" fillId="32" borderId="5" xfId="1347" applyNumberFormat="1" applyFont="1" applyFill="1" applyBorder="1" applyAlignment="1">
      <alignment horizontal="center"/>
    </xf>
    <xf numFmtId="8" fontId="171" fillId="32" borderId="0" xfId="1347" applyNumberFormat="1" applyFont="1" applyFill="1" applyAlignment="1">
      <alignment horizontal="center"/>
    </xf>
    <xf numFmtId="0" fontId="174" fillId="32" borderId="0" xfId="1347" applyFont="1" applyFill="1" applyAlignment="1">
      <alignment horizontal="left" vertical="center" indent="1"/>
    </xf>
    <xf numFmtId="166" fontId="169" fillId="32" borderId="0" xfId="1347" applyNumberFormat="1" applyFont="1" applyFill="1"/>
    <xf numFmtId="166" fontId="23" fillId="32" borderId="0" xfId="1347" applyNumberFormat="1" applyFont="1" applyFill="1" applyAlignment="1">
      <alignment horizontal="center" vertical="center"/>
    </xf>
    <xf numFmtId="166" fontId="175" fillId="32" borderId="0" xfId="1347" applyNumberFormat="1" applyFont="1" applyFill="1" applyAlignment="1">
      <alignment horizontal="center"/>
    </xf>
    <xf numFmtId="8" fontId="175" fillId="32" borderId="0" xfId="1347" applyNumberFormat="1" applyFont="1" applyFill="1" applyAlignment="1">
      <alignment horizontal="center" vertical="center"/>
    </xf>
    <xf numFmtId="10" fontId="167" fillId="0" borderId="0" xfId="1" applyNumberFormat="1" applyFont="1" applyFill="1"/>
    <xf numFmtId="0" fontId="183" fillId="38" borderId="129" xfId="0" applyFont="1" applyFill="1" applyBorder="1" applyAlignment="1">
      <alignment vertical="center"/>
    </xf>
    <xf numFmtId="0" fontId="198" fillId="0" borderId="87" xfId="0" applyFont="1" applyBorder="1" applyAlignment="1">
      <alignment horizontal="center" vertical="center" wrapText="1"/>
    </xf>
    <xf numFmtId="0" fontId="167" fillId="0" borderId="86" xfId="0" applyFont="1" applyBorder="1"/>
    <xf numFmtId="0" fontId="203" fillId="39" borderId="87" xfId="0" applyFont="1" applyFill="1" applyBorder="1" applyAlignment="1">
      <alignment horizontal="center" vertical="distributed"/>
    </xf>
    <xf numFmtId="0" fontId="203" fillId="39" borderId="87" xfId="0" applyFont="1" applyFill="1" applyBorder="1" applyAlignment="1">
      <alignment horizontal="center" vertical="center"/>
    </xf>
    <xf numFmtId="0" fontId="185" fillId="0" borderId="86" xfId="0" applyFont="1" applyBorder="1" applyAlignment="1">
      <alignment horizontal="center" vertical="center"/>
    </xf>
    <xf numFmtId="0" fontId="185" fillId="0" borderId="101" xfId="0" applyFont="1" applyBorder="1" applyAlignment="1">
      <alignment horizontal="center" vertical="center"/>
    </xf>
    <xf numFmtId="3" fontId="185" fillId="0" borderId="101" xfId="0" applyNumberFormat="1" applyFont="1" applyBorder="1" applyAlignment="1">
      <alignment horizontal="center" vertical="center"/>
    </xf>
    <xf numFmtId="0" fontId="177" fillId="4" borderId="114" xfId="0" applyFont="1" applyFill="1" applyBorder="1" applyAlignment="1">
      <alignment horizontal="center"/>
    </xf>
    <xf numFmtId="166" fontId="177" fillId="4" borderId="74" xfId="0" applyNumberFormat="1" applyFont="1" applyFill="1" applyBorder="1" applyAlignment="1">
      <alignment horizontal="center"/>
    </xf>
    <xf numFmtId="0" fontId="181" fillId="0" borderId="86" xfId="0" applyFont="1" applyBorder="1" applyAlignment="1">
      <alignment horizontal="center" vertical="center"/>
    </xf>
    <xf numFmtId="0" fontId="181" fillId="0" borderId="86" xfId="0" applyFont="1" applyBorder="1" applyAlignment="1">
      <alignment horizontal="center" vertical="center" wrapText="1"/>
    </xf>
    <xf numFmtId="166" fontId="181" fillId="0" borderId="86" xfId="0" applyNumberFormat="1" applyFont="1" applyBorder="1"/>
    <xf numFmtId="0" fontId="185" fillId="0" borderId="94" xfId="0" applyFont="1" applyBorder="1" applyAlignment="1">
      <alignment horizontal="center" vertical="center"/>
    </xf>
    <xf numFmtId="0" fontId="202" fillId="41" borderId="96" xfId="0" applyFont="1" applyFill="1" applyBorder="1" applyAlignment="1">
      <alignment horizontal="center" vertical="center"/>
    </xf>
    <xf numFmtId="0" fontId="185" fillId="0" borderId="96" xfId="0" applyFont="1" applyBorder="1" applyAlignment="1">
      <alignment horizontal="center" vertical="center"/>
    </xf>
    <xf numFmtId="0" fontId="185" fillId="0" borderId="89" xfId="0" applyFont="1" applyBorder="1" applyAlignment="1">
      <alignment horizontal="center" vertical="center"/>
    </xf>
    <xf numFmtId="0" fontId="177" fillId="4" borderId="114" xfId="0" applyFont="1" applyFill="1" applyBorder="1" applyAlignment="1">
      <alignment horizontal="center" vertical="center"/>
    </xf>
    <xf numFmtId="10" fontId="177" fillId="4" borderId="58" xfId="0" applyNumberFormat="1" applyFont="1" applyFill="1" applyBorder="1" applyAlignment="1">
      <alignment horizontal="center" vertical="center"/>
    </xf>
    <xf numFmtId="2" fontId="177" fillId="4" borderId="74" xfId="1361" applyNumberFormat="1" applyFont="1" applyFill="1" applyBorder="1" applyAlignment="1">
      <alignment horizontal="center" vertical="center"/>
    </xf>
    <xf numFmtId="0" fontId="203" fillId="39" borderId="94" xfId="0" applyFont="1" applyFill="1" applyBorder="1" applyAlignment="1">
      <alignment horizontal="center" vertical="center"/>
    </xf>
    <xf numFmtId="3" fontId="203" fillId="39" borderId="96" xfId="0" applyNumberFormat="1" applyFont="1" applyFill="1" applyBorder="1" applyAlignment="1">
      <alignment horizontal="center" vertical="center"/>
    </xf>
    <xf numFmtId="179" fontId="203" fillId="39" borderId="96" xfId="0" applyNumberFormat="1" applyFont="1" applyFill="1" applyBorder="1" applyAlignment="1">
      <alignment horizontal="center" vertical="center"/>
    </xf>
    <xf numFmtId="0" fontId="181" fillId="0" borderId="94" xfId="0" applyFont="1" applyBorder="1" applyAlignment="1">
      <alignment horizontal="left" vertical="center"/>
    </xf>
    <xf numFmtId="0" fontId="181" fillId="0" borderId="96" xfId="0" applyFont="1" applyBorder="1" applyAlignment="1">
      <alignment horizontal="left" vertical="center" wrapText="1"/>
    </xf>
    <xf numFmtId="43" fontId="181" fillId="0" borderId="96" xfId="1360" applyFont="1" applyBorder="1" applyAlignment="1">
      <alignment horizontal="left" vertical="center"/>
    </xf>
    <xf numFmtId="168" fontId="181" fillId="0" borderId="96" xfId="1360" applyNumberFormat="1" applyFont="1" applyBorder="1" applyAlignment="1">
      <alignment horizontal="left" vertical="center"/>
    </xf>
    <xf numFmtId="0" fontId="181" fillId="0" borderId="89" xfId="0" applyFont="1" applyBorder="1" applyAlignment="1">
      <alignment horizontal="left" vertical="center"/>
    </xf>
    <xf numFmtId="168" fontId="176" fillId="35" borderId="96" xfId="1360" applyNumberFormat="1" applyFont="1" applyFill="1" applyBorder="1" applyAlignment="1">
      <alignment horizontal="center" vertical="center"/>
    </xf>
    <xf numFmtId="0" fontId="181" fillId="0" borderId="96" xfId="0" applyFont="1" applyBorder="1" applyAlignment="1">
      <alignment horizontal="center" vertical="center"/>
    </xf>
    <xf numFmtId="0" fontId="181" fillId="0" borderId="96" xfId="0" applyFont="1" applyBorder="1" applyAlignment="1">
      <alignment horizontal="center" vertical="center" wrapText="1"/>
    </xf>
    <xf numFmtId="0" fontId="181" fillId="39" borderId="87" xfId="0" applyFont="1" applyFill="1" applyBorder="1" applyAlignment="1">
      <alignment horizontal="left" vertical="center"/>
    </xf>
    <xf numFmtId="0" fontId="181" fillId="39" borderId="94" xfId="0" applyFont="1" applyFill="1" applyBorder="1" applyAlignment="1">
      <alignment horizontal="left" vertical="center"/>
    </xf>
    <xf numFmtId="0" fontId="181" fillId="0" borderId="89" xfId="0" applyFont="1" applyBorder="1" applyAlignment="1">
      <alignment horizontal="center" vertical="center"/>
    </xf>
    <xf numFmtId="166" fontId="177" fillId="4" borderId="58" xfId="0" applyNumberFormat="1" applyFont="1" applyFill="1" applyBorder="1" applyAlignment="1">
      <alignment horizontal="center" vertical="center"/>
    </xf>
    <xf numFmtId="166" fontId="177" fillId="4" borderId="74" xfId="0" applyNumberFormat="1" applyFont="1" applyFill="1" applyBorder="1" applyAlignment="1">
      <alignment horizontal="center" vertical="center"/>
    </xf>
    <xf numFmtId="0" fontId="176" fillId="38" borderId="129" xfId="0" applyFont="1" applyFill="1" applyBorder="1" applyAlignment="1">
      <alignment horizontal="center" vertical="center"/>
    </xf>
    <xf numFmtId="0" fontId="167" fillId="38" borderId="129" xfId="0" applyFont="1" applyFill="1" applyBorder="1"/>
    <xf numFmtId="172" fontId="182" fillId="0" borderId="127" xfId="0" applyNumberFormat="1" applyFont="1" applyBorder="1" applyAlignment="1">
      <alignment vertical="center"/>
    </xf>
    <xf numFmtId="0" fontId="181" fillId="0" borderId="5" xfId="0" applyFont="1" applyBorder="1"/>
    <xf numFmtId="0" fontId="181" fillId="0" borderId="126" xfId="0" applyFont="1" applyBorder="1" applyAlignment="1">
      <alignment vertical="center"/>
    </xf>
    <xf numFmtId="268" fontId="181" fillId="0" borderId="0" xfId="0" applyNumberFormat="1" applyFont="1" applyAlignment="1">
      <alignment horizontal="center" vertical="center" wrapText="1"/>
    </xf>
    <xf numFmtId="14" fontId="181" fillId="0" borderId="0" xfId="0" applyNumberFormat="1" applyFont="1" applyAlignment="1">
      <alignment horizontal="center" vertical="center"/>
    </xf>
    <xf numFmtId="14" fontId="181" fillId="0" borderId="0" xfId="0" applyNumberFormat="1" applyFont="1" applyAlignment="1">
      <alignment horizontal="center" vertical="center" wrapText="1"/>
    </xf>
    <xf numFmtId="0" fontId="181" fillId="0" borderId="116" xfId="0" applyFont="1" applyBorder="1"/>
    <xf numFmtId="0" fontId="181" fillId="0" borderId="75" xfId="0" applyFont="1" applyBorder="1"/>
    <xf numFmtId="0" fontId="181" fillId="0" borderId="75" xfId="0" applyFont="1" applyBorder="1" applyAlignment="1">
      <alignment vertical="center"/>
    </xf>
    <xf numFmtId="0" fontId="181" fillId="0" borderId="113" xfId="0" applyFont="1" applyBorder="1"/>
    <xf numFmtId="172" fontId="198" fillId="0" borderId="93" xfId="0" applyNumberFormat="1" applyFont="1" applyBorder="1" applyAlignment="1">
      <alignment horizontal="center" vertical="center"/>
    </xf>
    <xf numFmtId="172" fontId="198" fillId="0" borderId="86" xfId="0" applyNumberFormat="1" applyFont="1" applyBorder="1" applyAlignment="1">
      <alignment horizontal="center" vertical="center"/>
    </xf>
    <xf numFmtId="0" fontId="185" fillId="0" borderId="14" xfId="0" applyFont="1" applyBorder="1" applyAlignment="1">
      <alignment vertical="center"/>
    </xf>
    <xf numFmtId="0" fontId="185" fillId="0" borderId="0" xfId="0" applyFont="1" applyAlignment="1">
      <alignment horizontal="center" vertical="center"/>
    </xf>
    <xf numFmtId="0" fontId="182" fillId="0" borderId="0" xfId="0" applyFont="1" applyAlignment="1">
      <alignment vertical="center"/>
    </xf>
    <xf numFmtId="0" fontId="177" fillId="0" borderId="0" xfId="0" applyFont="1" applyAlignment="1">
      <alignment vertical="center"/>
    </xf>
    <xf numFmtId="3" fontId="177" fillId="0" borderId="0" xfId="0" applyNumberFormat="1" applyFont="1" applyAlignment="1">
      <alignment vertical="center"/>
    </xf>
    <xf numFmtId="0" fontId="198" fillId="0" borderId="86" xfId="0" applyFont="1" applyBorder="1" applyAlignment="1">
      <alignment horizontal="center" vertical="center"/>
    </xf>
    <xf numFmtId="0" fontId="167" fillId="32" borderId="0" xfId="0" applyFont="1" applyFill="1"/>
    <xf numFmtId="5" fontId="209" fillId="32" borderId="0" xfId="0" applyNumberFormat="1" applyFont="1" applyFill="1"/>
    <xf numFmtId="0" fontId="209" fillId="32" borderId="0" xfId="0" applyFont="1" applyFill="1"/>
    <xf numFmtId="6" fontId="209" fillId="32" borderId="0" xfId="0" applyNumberFormat="1" applyFont="1" applyFill="1"/>
    <xf numFmtId="5" fontId="167" fillId="32" borderId="0" xfId="0" applyNumberFormat="1" applyFont="1" applyFill="1"/>
    <xf numFmtId="0" fontId="167" fillId="32" borderId="0" xfId="0" applyFont="1" applyFill="1" applyAlignment="1">
      <alignment horizontal="left"/>
    </xf>
    <xf numFmtId="297" fontId="209" fillId="32" borderId="0" xfId="0" applyNumberFormat="1" applyFont="1" applyFill="1"/>
    <xf numFmtId="0" fontId="167" fillId="32" borderId="129" xfId="0" applyFont="1" applyFill="1" applyBorder="1"/>
    <xf numFmtId="0" fontId="167" fillId="32" borderId="14" xfId="0" applyFont="1" applyFill="1" applyBorder="1"/>
    <xf numFmtId="0" fontId="167" fillId="32" borderId="5" xfId="0" applyFont="1" applyFill="1" applyBorder="1"/>
    <xf numFmtId="0" fontId="198" fillId="32" borderId="14" xfId="1347" applyFont="1" applyFill="1" applyBorder="1"/>
    <xf numFmtId="10" fontId="167" fillId="32" borderId="5" xfId="0" applyNumberFormat="1" applyFont="1" applyFill="1" applyBorder="1"/>
    <xf numFmtId="6" fontId="167" fillId="32" borderId="0" xfId="0" applyNumberFormat="1" applyFont="1" applyFill="1"/>
    <xf numFmtId="0" fontId="198" fillId="32" borderId="14" xfId="0" applyFont="1" applyFill="1" applyBorder="1"/>
    <xf numFmtId="0" fontId="167" fillId="32" borderId="115" xfId="0" applyFont="1" applyFill="1" applyBorder="1"/>
    <xf numFmtId="0" fontId="167" fillId="32" borderId="75" xfId="0" applyFont="1" applyFill="1" applyBorder="1" applyAlignment="1">
      <alignment horizontal="left"/>
    </xf>
    <xf numFmtId="0" fontId="167" fillId="32" borderId="75" xfId="0" applyFont="1" applyFill="1" applyBorder="1"/>
    <xf numFmtId="10" fontId="167" fillId="32" borderId="113" xfId="0" applyNumberFormat="1" applyFont="1" applyFill="1" applyBorder="1"/>
    <xf numFmtId="0" fontId="167" fillId="32" borderId="126" xfId="0" applyFont="1" applyFill="1" applyBorder="1"/>
    <xf numFmtId="0" fontId="167" fillId="32" borderId="61" xfId="0" applyFont="1" applyFill="1" applyBorder="1"/>
    <xf numFmtId="0" fontId="167" fillId="32" borderId="62" xfId="0" applyFont="1" applyFill="1" applyBorder="1"/>
    <xf numFmtId="0" fontId="210" fillId="32" borderId="126" xfId="0" applyFont="1" applyFill="1" applyBorder="1"/>
    <xf numFmtId="5" fontId="167" fillId="32" borderId="62" xfId="0" applyNumberFormat="1" applyFont="1" applyFill="1" applyBorder="1"/>
    <xf numFmtId="0" fontId="167" fillId="32" borderId="118" xfId="0" applyFont="1" applyFill="1" applyBorder="1"/>
    <xf numFmtId="5" fontId="167" fillId="32" borderId="32" xfId="0" applyNumberFormat="1" applyFont="1" applyFill="1" applyBorder="1"/>
    <xf numFmtId="0" fontId="167" fillId="32" borderId="119" xfId="0" applyFont="1" applyFill="1" applyBorder="1"/>
    <xf numFmtId="0" fontId="167" fillId="32" borderId="120" xfId="0" applyFont="1" applyFill="1" applyBorder="1"/>
    <xf numFmtId="0" fontId="167" fillId="32" borderId="126" xfId="0" applyFont="1" applyFill="1" applyBorder="1" applyAlignment="1">
      <alignment horizontal="left"/>
    </xf>
    <xf numFmtId="0" fontId="167" fillId="32" borderId="61" xfId="0" applyFont="1" applyFill="1" applyBorder="1" applyAlignment="1">
      <alignment horizontal="left"/>
    </xf>
    <xf numFmtId="0" fontId="167" fillId="32" borderId="127" xfId="0" applyFont="1" applyFill="1" applyBorder="1"/>
    <xf numFmtId="10" fontId="167" fillId="32" borderId="9" xfId="0" applyNumberFormat="1" applyFont="1" applyFill="1" applyBorder="1"/>
    <xf numFmtId="5" fontId="211" fillId="32" borderId="127" xfId="0" applyNumberFormat="1" applyFont="1" applyFill="1" applyBorder="1"/>
    <xf numFmtId="5" fontId="211" fillId="32" borderId="5" xfId="0" applyNumberFormat="1" applyFont="1" applyFill="1" applyBorder="1"/>
    <xf numFmtId="266" fontId="211" fillId="32" borderId="5" xfId="1360" applyNumberFormat="1" applyFont="1" applyFill="1" applyBorder="1"/>
    <xf numFmtId="297" fontId="211" fillId="32" borderId="5" xfId="0" applyNumberFormat="1" applyFont="1" applyFill="1" applyBorder="1" applyAlignment="1">
      <alignment horizontal="right" vertical="center"/>
    </xf>
    <xf numFmtId="9" fontId="211" fillId="32" borderId="9" xfId="1" applyFont="1" applyFill="1" applyBorder="1"/>
    <xf numFmtId="10" fontId="211" fillId="32" borderId="117" xfId="1" applyNumberFormat="1" applyFont="1" applyFill="1" applyBorder="1"/>
    <xf numFmtId="10" fontId="211" fillId="32" borderId="5" xfId="1" applyNumberFormat="1" applyFont="1" applyFill="1" applyBorder="1"/>
    <xf numFmtId="10" fontId="211" fillId="32" borderId="121" xfId="0" applyNumberFormat="1" applyFont="1" applyFill="1" applyBorder="1"/>
    <xf numFmtId="2" fontId="211" fillId="32" borderId="127" xfId="0" applyNumberFormat="1" applyFont="1" applyFill="1" applyBorder="1"/>
    <xf numFmtId="10" fontId="211" fillId="32" borderId="5" xfId="0" applyNumberFormat="1" applyFont="1" applyFill="1" applyBorder="1"/>
    <xf numFmtId="10" fontId="211" fillId="32" borderId="9" xfId="0" applyNumberFormat="1" applyFont="1" applyFill="1" applyBorder="1"/>
    <xf numFmtId="9" fontId="177" fillId="0" borderId="0" xfId="1" applyFont="1" applyAlignment="1">
      <alignment horizontal="center"/>
    </xf>
    <xf numFmtId="0" fontId="183" fillId="38" borderId="140" xfId="0" applyFont="1" applyFill="1" applyBorder="1" applyAlignment="1">
      <alignment vertical="center"/>
    </xf>
    <xf numFmtId="0" fontId="183" fillId="38" borderId="141" xfId="0" applyFont="1" applyFill="1" applyBorder="1" applyAlignment="1">
      <alignment vertical="center"/>
    </xf>
    <xf numFmtId="0" fontId="183" fillId="38" borderId="142" xfId="0" applyFont="1" applyFill="1" applyBorder="1" applyAlignment="1">
      <alignment vertical="center"/>
    </xf>
    <xf numFmtId="0" fontId="212" fillId="38" borderId="129" xfId="0" applyFont="1" applyFill="1" applyBorder="1" applyAlignment="1">
      <alignment vertical="center"/>
    </xf>
    <xf numFmtId="0" fontId="212" fillId="38" borderId="130" xfId="0" applyFont="1" applyFill="1" applyBorder="1" applyAlignment="1">
      <alignment vertical="center"/>
    </xf>
    <xf numFmtId="0" fontId="212" fillId="38" borderId="131" xfId="0" applyFont="1" applyFill="1" applyBorder="1" applyAlignment="1">
      <alignment vertical="center"/>
    </xf>
    <xf numFmtId="0" fontId="212" fillId="0" borderId="129" xfId="0" applyFont="1" applyBorder="1" applyAlignment="1">
      <alignment vertical="center"/>
    </xf>
    <xf numFmtId="0" fontId="214" fillId="0" borderId="131" xfId="0" applyFont="1" applyBorder="1" applyAlignment="1">
      <alignment horizontal="center" vertical="center"/>
    </xf>
    <xf numFmtId="0" fontId="213" fillId="0" borderId="132" xfId="0" applyFont="1" applyBorder="1" applyAlignment="1">
      <alignment horizontal="center" vertical="center" wrapText="1"/>
    </xf>
    <xf numFmtId="0" fontId="213" fillId="0" borderId="133" xfId="0" applyFont="1" applyBorder="1" applyAlignment="1">
      <alignment horizontal="center" vertical="center" wrapText="1"/>
    </xf>
    <xf numFmtId="0" fontId="213" fillId="0" borderId="134" xfId="0" applyFont="1" applyBorder="1" applyAlignment="1">
      <alignment horizontal="center" vertical="center" wrapText="1"/>
    </xf>
    <xf numFmtId="0" fontId="213" fillId="0" borderId="135" xfId="0" applyFont="1" applyBorder="1" applyAlignment="1">
      <alignment horizontal="center" vertical="center" wrapText="1"/>
    </xf>
    <xf numFmtId="3" fontId="215" fillId="0" borderId="137" xfId="0" applyNumberFormat="1" applyFont="1" applyBorder="1" applyAlignment="1">
      <alignment horizontal="center" vertical="center"/>
    </xf>
    <xf numFmtId="0" fontId="215" fillId="0" borderId="105" xfId="0" applyFont="1" applyBorder="1" applyAlignment="1">
      <alignment horizontal="center" vertical="center"/>
    </xf>
    <xf numFmtId="172" fontId="216" fillId="0" borderId="98" xfId="0" applyNumberFormat="1" applyFont="1" applyBorder="1" applyAlignment="1">
      <alignment horizontal="center" vertical="center"/>
    </xf>
    <xf numFmtId="271" fontId="217" fillId="0" borderId="98" xfId="1360" applyNumberFormat="1" applyFont="1" applyFill="1" applyBorder="1" applyAlignment="1">
      <alignment horizontal="center" vertical="center" wrapText="1"/>
    </xf>
    <xf numFmtId="271" fontId="218" fillId="0" borderId="92" xfId="1360" applyNumberFormat="1" applyFont="1" applyFill="1" applyBorder="1" applyAlignment="1">
      <alignment horizontal="center" vertical="center" wrapText="1"/>
    </xf>
    <xf numFmtId="3" fontId="215" fillId="0" borderId="100" xfId="0" applyNumberFormat="1" applyFont="1" applyBorder="1" applyAlignment="1">
      <alignment horizontal="center" vertical="center"/>
    </xf>
    <xf numFmtId="172" fontId="216" fillId="0" borderId="93" xfId="0" applyNumberFormat="1" applyFont="1" applyBorder="1" applyAlignment="1">
      <alignment horizontal="center" vertical="center"/>
    </xf>
    <xf numFmtId="271" fontId="217" fillId="0" borderId="93" xfId="1360" applyNumberFormat="1" applyFont="1" applyFill="1" applyBorder="1" applyAlignment="1">
      <alignment horizontal="center" vertical="center" wrapText="1"/>
    </xf>
    <xf numFmtId="271" fontId="218" fillId="0" borderId="86" xfId="1360" applyNumberFormat="1" applyFont="1" applyFill="1" applyBorder="1" applyAlignment="1">
      <alignment horizontal="center" vertical="center" wrapText="1"/>
    </xf>
    <xf numFmtId="3" fontId="215" fillId="0" borderId="105" xfId="0" applyNumberFormat="1" applyFont="1" applyBorder="1" applyAlignment="1">
      <alignment horizontal="center" vertical="center"/>
    </xf>
    <xf numFmtId="3" fontId="215" fillId="0" borderId="61" xfId="0" applyNumberFormat="1" applyFont="1" applyBorder="1" applyAlignment="1">
      <alignment horizontal="center" vertical="center"/>
    </xf>
    <xf numFmtId="172" fontId="216" fillId="0" borderId="63" xfId="0" applyNumberFormat="1" applyFont="1" applyBorder="1" applyAlignment="1">
      <alignment horizontal="center" vertical="center"/>
    </xf>
    <xf numFmtId="271" fontId="217" fillId="0" borderId="63" xfId="1360" applyNumberFormat="1" applyFont="1" applyFill="1" applyBorder="1" applyAlignment="1">
      <alignment horizontal="center" vertical="center" wrapText="1"/>
    </xf>
    <xf numFmtId="271" fontId="218" fillId="0" borderId="2" xfId="1360" applyNumberFormat="1" applyFont="1" applyFill="1" applyBorder="1" applyAlignment="1">
      <alignment horizontal="center" vertical="center" wrapText="1"/>
    </xf>
    <xf numFmtId="1" fontId="167" fillId="0" borderId="0" xfId="0" applyNumberFormat="1" applyFont="1" applyAlignment="1">
      <alignment horizontal="right"/>
    </xf>
    <xf numFmtId="1" fontId="168" fillId="0" borderId="0" xfId="0" applyNumberFormat="1" applyFont="1" applyAlignment="1">
      <alignment horizontal="right"/>
    </xf>
    <xf numFmtId="0" fontId="15" fillId="0" borderId="93" xfId="0" applyFont="1" applyBorder="1"/>
    <xf numFmtId="5" fontId="169" fillId="0" borderId="93" xfId="22" applyNumberFormat="1" applyFont="1" applyFill="1" applyBorder="1" applyAlignment="1">
      <alignment horizontal="center"/>
    </xf>
    <xf numFmtId="295" fontId="169" fillId="0" borderId="93" xfId="0" applyNumberFormat="1" applyFont="1" applyBorder="1" applyAlignment="1">
      <alignment horizontal="center"/>
    </xf>
    <xf numFmtId="5" fontId="15" fillId="32" borderId="93" xfId="22" applyNumberFormat="1" applyFont="1" applyFill="1" applyBorder="1" applyAlignment="1">
      <alignment horizontal="center"/>
    </xf>
    <xf numFmtId="0" fontId="170" fillId="30" borderId="93" xfId="0" applyFont="1" applyFill="1" applyBorder="1"/>
    <xf numFmtId="0" fontId="170" fillId="34" borderId="93" xfId="0" applyFont="1" applyFill="1" applyBorder="1"/>
    <xf numFmtId="0" fontId="23" fillId="34" borderId="93" xfId="0" applyFont="1" applyFill="1" applyBorder="1" applyAlignment="1">
      <alignment horizontal="center" wrapText="1"/>
    </xf>
    <xf numFmtId="0" fontId="15" fillId="0" borderId="93" xfId="0" applyFont="1" applyBorder="1" applyAlignment="1">
      <alignment wrapText="1"/>
    </xf>
    <xf numFmtId="280" fontId="15" fillId="9" borderId="93" xfId="0" applyNumberFormat="1" applyFont="1" applyFill="1" applyBorder="1" applyAlignment="1">
      <alignment horizontal="center"/>
    </xf>
    <xf numFmtId="5" fontId="15" fillId="0" borderId="93" xfId="22" applyNumberFormat="1" applyFont="1" applyFill="1" applyBorder="1" applyAlignment="1">
      <alignment horizontal="center"/>
    </xf>
    <xf numFmtId="5" fontId="15" fillId="0" borderId="93" xfId="22" applyNumberFormat="1" applyFont="1" applyFill="1" applyBorder="1" applyAlignment="1">
      <alignment horizontal="center" vertical="center"/>
    </xf>
    <xf numFmtId="5" fontId="180" fillId="0" borderId="93" xfId="22" applyNumberFormat="1" applyFont="1" applyFill="1" applyBorder="1" applyAlignment="1">
      <alignment horizontal="center"/>
    </xf>
    <xf numFmtId="272" fontId="169" fillId="0" borderId="93" xfId="0" applyNumberFormat="1" applyFont="1" applyBorder="1" applyAlignment="1">
      <alignment horizontal="center"/>
    </xf>
    <xf numFmtId="0" fontId="23" fillId="3" borderId="93" xfId="0" applyFont="1" applyFill="1" applyBorder="1"/>
    <xf numFmtId="0" fontId="169" fillId="3" borderId="93" xfId="0" applyFont="1" applyFill="1" applyBorder="1"/>
    <xf numFmtId="5" fontId="23" fillId="3" borderId="93" xfId="22" applyNumberFormat="1" applyFont="1" applyFill="1" applyBorder="1" applyAlignment="1">
      <alignment horizontal="center"/>
    </xf>
    <xf numFmtId="10" fontId="169" fillId="0" borderId="0" xfId="1" applyNumberFormat="1" applyFont="1" applyFill="1"/>
    <xf numFmtId="5" fontId="15" fillId="32" borderId="93" xfId="22" applyNumberFormat="1" applyFont="1" applyFill="1" applyBorder="1" applyAlignment="1">
      <alignment horizontal="right"/>
    </xf>
    <xf numFmtId="0" fontId="169" fillId="0" borderId="93" xfId="0" applyFont="1" applyBorder="1" applyAlignment="1">
      <alignment horizontal="center" wrapText="1"/>
    </xf>
    <xf numFmtId="0" fontId="170" fillId="5" borderId="143" xfId="0" applyFont="1" applyFill="1" applyBorder="1" applyAlignment="1">
      <alignment horizontal="center"/>
    </xf>
    <xf numFmtId="0" fontId="170" fillId="31" borderId="144" xfId="0" applyFont="1" applyFill="1" applyBorder="1" applyAlignment="1">
      <alignment horizontal="center"/>
    </xf>
    <xf numFmtId="0" fontId="170" fillId="31" borderId="145" xfId="0" applyFont="1" applyFill="1" applyBorder="1" applyAlignment="1">
      <alignment horizontal="center"/>
    </xf>
    <xf numFmtId="0" fontId="170" fillId="6" borderId="144" xfId="0" applyFont="1" applyFill="1" applyBorder="1"/>
    <xf numFmtId="0" fontId="170" fillId="6" borderId="146" xfId="0" applyFont="1" applyFill="1" applyBorder="1"/>
    <xf numFmtId="0" fontId="15" fillId="0" borderId="147" xfId="0" applyFont="1" applyBorder="1" applyAlignment="1">
      <alignment wrapText="1"/>
    </xf>
    <xf numFmtId="5" fontId="15" fillId="0" borderId="148" xfId="22" applyNumberFormat="1" applyFont="1" applyFill="1" applyBorder="1" applyAlignment="1">
      <alignment horizontal="center"/>
    </xf>
    <xf numFmtId="5" fontId="169" fillId="0" borderId="86" xfId="0" applyNumberFormat="1" applyFont="1" applyBorder="1" applyAlignment="1">
      <alignment horizontal="center"/>
    </xf>
    <xf numFmtId="0" fontId="170" fillId="5" borderId="149" xfId="0" applyFont="1" applyFill="1" applyBorder="1" applyAlignment="1">
      <alignment horizontal="center"/>
    </xf>
    <xf numFmtId="0" fontId="170" fillId="5" borderId="148" xfId="0" applyFont="1" applyFill="1" applyBorder="1" applyAlignment="1">
      <alignment horizontal="center"/>
    </xf>
    <xf numFmtId="10" fontId="171" fillId="0" borderId="86" xfId="1" applyNumberFormat="1" applyFont="1" applyBorder="1" applyAlignment="1">
      <alignment horizontal="center"/>
    </xf>
    <xf numFmtId="0" fontId="23" fillId="3" borderId="60" xfId="0" applyFont="1" applyFill="1" applyBorder="1"/>
    <xf numFmtId="5" fontId="23" fillId="3" borderId="2" xfId="22" applyNumberFormat="1" applyFont="1" applyFill="1" applyBorder="1" applyAlignment="1">
      <alignment horizontal="center"/>
    </xf>
    <xf numFmtId="0" fontId="169" fillId="0" borderId="94" xfId="0" applyFont="1" applyBorder="1"/>
    <xf numFmtId="5" fontId="169" fillId="0" borderId="89" xfId="0" applyNumberFormat="1" applyFont="1" applyBorder="1" applyAlignment="1">
      <alignment horizontal="center"/>
    </xf>
    <xf numFmtId="5" fontId="195" fillId="0" borderId="138" xfId="0" applyNumberFormat="1" applyFont="1" applyBorder="1"/>
    <xf numFmtId="0" fontId="194" fillId="9" borderId="126" xfId="1347" applyFont="1" applyFill="1" applyBorder="1" applyAlignment="1">
      <alignment horizontal="center"/>
    </xf>
    <xf numFmtId="0" fontId="194" fillId="9" borderId="138" xfId="1347" applyFont="1" applyFill="1" applyBorder="1" applyAlignment="1">
      <alignment horizontal="center"/>
    </xf>
    <xf numFmtId="0" fontId="194" fillId="9" borderId="0" xfId="1347" applyFont="1" applyFill="1" applyAlignment="1">
      <alignment horizontal="center"/>
    </xf>
    <xf numFmtId="0" fontId="195" fillId="0" borderId="62" xfId="0" applyFont="1" applyBorder="1" applyAlignment="1">
      <alignment vertical="center"/>
    </xf>
    <xf numFmtId="14" fontId="194" fillId="0" borderId="62" xfId="0" applyNumberFormat="1" applyFont="1" applyBorder="1" applyAlignment="1">
      <alignment horizontal="center" vertical="center"/>
    </xf>
    <xf numFmtId="172" fontId="195" fillId="0" borderId="62" xfId="0" applyNumberFormat="1" applyFont="1" applyBorder="1" applyAlignment="1">
      <alignment vertical="center"/>
    </xf>
    <xf numFmtId="0" fontId="195" fillId="0" borderId="7" xfId="0" applyFont="1" applyBorder="1" applyAlignment="1">
      <alignment vertical="center"/>
    </xf>
    <xf numFmtId="0" fontId="197" fillId="0" borderId="62" xfId="0" applyFont="1" applyBorder="1" applyAlignment="1">
      <alignment vertical="center"/>
    </xf>
    <xf numFmtId="0" fontId="194" fillId="0" borderId="62" xfId="0" applyFont="1" applyBorder="1" applyAlignment="1">
      <alignment horizontal="center" vertical="center"/>
    </xf>
    <xf numFmtId="0" fontId="196" fillId="0" borderId="62" xfId="0" applyFont="1" applyBorder="1" applyAlignment="1">
      <alignment vertical="center"/>
    </xf>
    <xf numFmtId="0" fontId="195" fillId="0" borderId="138" xfId="0" applyFont="1" applyBorder="1"/>
    <xf numFmtId="14" fontId="194" fillId="9" borderId="7" xfId="0" applyNumberFormat="1" applyFont="1" applyFill="1" applyBorder="1" applyAlignment="1">
      <alignment horizontal="center" vertical="center"/>
    </xf>
    <xf numFmtId="10" fontId="221" fillId="0" borderId="80" xfId="0" applyNumberFormat="1" applyFont="1" applyBorder="1"/>
    <xf numFmtId="0" fontId="219" fillId="44" borderId="126" xfId="0" applyFont="1" applyFill="1" applyBorder="1"/>
    <xf numFmtId="0" fontId="220" fillId="44" borderId="138" xfId="0" applyFont="1" applyFill="1" applyBorder="1"/>
    <xf numFmtId="8" fontId="222" fillId="0" borderId="138" xfId="0" applyNumberFormat="1" applyFont="1" applyBorder="1"/>
    <xf numFmtId="0" fontId="220" fillId="44" borderId="0" xfId="0" applyFont="1" applyFill="1"/>
    <xf numFmtId="0" fontId="220" fillId="44" borderId="80" xfId="0" applyFont="1" applyFill="1" applyBorder="1"/>
    <xf numFmtId="14" fontId="222" fillId="0" borderId="80" xfId="0" applyNumberFormat="1" applyFont="1" applyBorder="1"/>
    <xf numFmtId="37" fontId="222" fillId="0" borderId="80" xfId="0" applyNumberFormat="1" applyFont="1" applyBorder="1"/>
    <xf numFmtId="14" fontId="223" fillId="0" borderId="0" xfId="0" applyNumberFormat="1" applyFont="1" applyAlignment="1">
      <alignment horizontal="left" indent="1"/>
    </xf>
    <xf numFmtId="14" fontId="223" fillId="0" borderId="138" xfId="0" applyNumberFormat="1" applyFont="1" applyBorder="1" applyAlignment="1">
      <alignment horizontal="center"/>
    </xf>
    <xf numFmtId="14" fontId="223" fillId="0" borderId="151" xfId="0" applyNumberFormat="1" applyFont="1" applyBorder="1" applyAlignment="1">
      <alignment horizontal="center"/>
    </xf>
    <xf numFmtId="10" fontId="222" fillId="0" borderId="80" xfId="0" applyNumberFormat="1" applyFont="1" applyBorder="1"/>
    <xf numFmtId="8" fontId="223" fillId="0" borderId="84" xfId="0" applyNumberFormat="1" applyFont="1" applyBorder="1" applyAlignment="1">
      <alignment horizontal="center"/>
    </xf>
    <xf numFmtId="37" fontId="222" fillId="0" borderId="93" xfId="0" applyNumberFormat="1" applyFont="1" applyBorder="1"/>
    <xf numFmtId="8" fontId="0" fillId="0" borderId="80" xfId="0" applyNumberFormat="1" applyBorder="1"/>
    <xf numFmtId="0" fontId="219" fillId="44" borderId="61" xfId="0" applyFont="1" applyFill="1" applyBorder="1"/>
    <xf numFmtId="0" fontId="220" fillId="44" borderId="62" xfId="0" applyFont="1" applyFill="1" applyBorder="1"/>
    <xf numFmtId="0" fontId="220" fillId="44" borderId="7" xfId="0" applyFont="1" applyFill="1" applyBorder="1"/>
    <xf numFmtId="298" fontId="223" fillId="0" borderId="93" xfId="0" applyNumberFormat="1" applyFont="1" applyBorder="1" applyAlignment="1">
      <alignment horizontal="center"/>
    </xf>
    <xf numFmtId="0" fontId="0" fillId="0" borderId="152" xfId="0" applyBorder="1" applyAlignment="1">
      <alignment horizontal="center"/>
    </xf>
    <xf numFmtId="14" fontId="0" fillId="0" borderId="129" xfId="0" applyNumberFormat="1" applyBorder="1" applyAlignment="1">
      <alignment horizontal="center"/>
    </xf>
    <xf numFmtId="0" fontId="0" fillId="0" borderId="153" xfId="0" applyBorder="1" applyAlignment="1">
      <alignment horizontal="center"/>
    </xf>
    <xf numFmtId="0" fontId="0" fillId="0" borderId="130" xfId="0" applyBorder="1" applyAlignment="1">
      <alignment horizontal="center"/>
    </xf>
    <xf numFmtId="0" fontId="0" fillId="0" borderId="80" xfId="0" applyBorder="1" applyAlignment="1">
      <alignment horizontal="center"/>
    </xf>
    <xf numFmtId="37" fontId="224" fillId="0" borderId="104" xfId="0" applyNumberFormat="1" applyFont="1" applyBorder="1"/>
    <xf numFmtId="37" fontId="224" fillId="0" borderId="150" xfId="0" applyNumberFormat="1" applyFont="1" applyBorder="1"/>
    <xf numFmtId="37" fontId="224" fillId="0" borderId="80" xfId="0" applyNumberFormat="1" applyFont="1" applyBorder="1"/>
    <xf numFmtId="0" fontId="219" fillId="44" borderId="100" xfId="0" applyFont="1" applyFill="1" applyBorder="1"/>
    <xf numFmtId="0" fontId="0" fillId="44" borderId="84" xfId="0" applyFill="1" applyBorder="1"/>
    <xf numFmtId="298" fontId="0" fillId="0" borderId="154" xfId="0" applyNumberFormat="1" applyBorder="1"/>
    <xf numFmtId="298" fontId="0" fillId="0" borderId="155" xfId="0" applyNumberFormat="1" applyBorder="1"/>
    <xf numFmtId="8" fontId="0" fillId="0" borderId="7" xfId="0" applyNumberFormat="1" applyBorder="1"/>
    <xf numFmtId="8" fontId="0" fillId="0" borderId="0" xfId="0" applyNumberFormat="1"/>
    <xf numFmtId="8" fontId="0" fillId="0" borderId="62" xfId="0" applyNumberFormat="1" applyBorder="1"/>
    <xf numFmtId="0" fontId="190" fillId="0" borderId="105" xfId="0" applyFont="1" applyBorder="1" applyAlignment="1">
      <alignment horizontal="center"/>
    </xf>
    <xf numFmtId="0" fontId="190" fillId="0" borderId="139" xfId="0" applyFont="1" applyBorder="1" applyAlignment="1">
      <alignment horizontal="center"/>
    </xf>
    <xf numFmtId="0" fontId="190" fillId="0" borderId="123" xfId="0" applyFont="1" applyBorder="1" applyAlignment="1">
      <alignment horizontal="center"/>
    </xf>
    <xf numFmtId="0" fontId="0" fillId="0" borderId="156" xfId="0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157" xfId="0" applyBorder="1" applyAlignment="1">
      <alignment horizontal="center"/>
    </xf>
    <xf numFmtId="8" fontId="0" fillId="0" borderId="0" xfId="0" applyNumberFormat="1" applyAlignment="1">
      <alignment wrapText="1"/>
    </xf>
    <xf numFmtId="0" fontId="0" fillId="0" borderId="61" xfId="0" applyBorder="1" applyAlignment="1">
      <alignment horizontal="center"/>
    </xf>
    <xf numFmtId="14" fontId="0" fillId="0" borderId="62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3" xfId="0" applyBorder="1" applyAlignment="1">
      <alignment horizontal="center"/>
    </xf>
    <xf numFmtId="8" fontId="0" fillId="0" borderId="62" xfId="0" applyNumberFormat="1" applyBorder="1" applyAlignment="1">
      <alignment wrapText="1"/>
    </xf>
    <xf numFmtId="8" fontId="222" fillId="0" borderId="0" xfId="0" applyNumberFormat="1" applyFont="1"/>
    <xf numFmtId="14" fontId="222" fillId="0" borderId="0" xfId="0" applyNumberFormat="1" applyFont="1"/>
    <xf numFmtId="37" fontId="222" fillId="0" borderId="0" xfId="0" applyNumberFormat="1" applyFont="1"/>
    <xf numFmtId="37" fontId="224" fillId="0" borderId="0" xfId="0" applyNumberFormat="1" applyFont="1"/>
    <xf numFmtId="0" fontId="0" fillId="44" borderId="138" xfId="0" applyFill="1" applyBorder="1"/>
    <xf numFmtId="299" fontId="225" fillId="0" borderId="0" xfId="0" applyNumberFormat="1" applyFont="1" applyAlignment="1">
      <alignment horizontal="centerContinuous" vertical="center"/>
    </xf>
    <xf numFmtId="299" fontId="197" fillId="0" borderId="0" xfId="0" applyNumberFormat="1" applyFont="1" applyAlignment="1">
      <alignment horizontal="center" vertical="center"/>
    </xf>
    <xf numFmtId="299" fontId="197" fillId="0" borderId="80" xfId="0" applyNumberFormat="1" applyFont="1" applyBorder="1" applyAlignment="1">
      <alignment horizontal="center" vertical="center"/>
    </xf>
    <xf numFmtId="300" fontId="0" fillId="0" borderId="0" xfId="0" applyNumberFormat="1"/>
    <xf numFmtId="298" fontId="0" fillId="0" borderId="156" xfId="0" applyNumberFormat="1" applyBorder="1"/>
    <xf numFmtId="298" fontId="0" fillId="0" borderId="61" xfId="0" applyNumberFormat="1" applyBorder="1"/>
    <xf numFmtId="300" fontId="0" fillId="0" borderId="62" xfId="0" applyNumberFormat="1" applyBorder="1"/>
    <xf numFmtId="166" fontId="169" fillId="0" borderId="0" xfId="0" applyNumberFormat="1" applyFont="1"/>
    <xf numFmtId="165" fontId="169" fillId="0" borderId="0" xfId="0" applyNumberFormat="1" applyFont="1"/>
    <xf numFmtId="43" fontId="0" fillId="0" borderId="0" xfId="1360" applyFont="1"/>
    <xf numFmtId="6" fontId="195" fillId="0" borderId="138" xfId="0" applyNumberFormat="1" applyFont="1" applyBorder="1"/>
    <xf numFmtId="43" fontId="0" fillId="0" borderId="80" xfId="1360" applyFont="1" applyBorder="1"/>
    <xf numFmtId="301" fontId="15" fillId="0" borderId="93" xfId="0" applyNumberFormat="1" applyFont="1" applyBorder="1" applyAlignment="1">
      <alignment horizontal="left"/>
    </xf>
    <xf numFmtId="302" fontId="15" fillId="0" borderId="93" xfId="0" applyNumberFormat="1" applyFont="1" applyBorder="1" applyAlignment="1">
      <alignment horizontal="left"/>
    </xf>
    <xf numFmtId="0" fontId="0" fillId="44" borderId="0" xfId="0" applyFill="1"/>
    <xf numFmtId="167" fontId="23" fillId="0" borderId="0" xfId="1" applyNumberFormat="1" applyFont="1" applyFill="1" applyBorder="1" applyAlignment="1">
      <alignment horizontal="center"/>
    </xf>
    <xf numFmtId="0" fontId="171" fillId="0" borderId="84" xfId="0" applyFont="1" applyBorder="1" applyAlignment="1">
      <alignment horizontal="left"/>
    </xf>
    <xf numFmtId="292" fontId="15" fillId="0" borderId="84" xfId="0" applyNumberFormat="1" applyFont="1" applyBorder="1" applyAlignment="1">
      <alignment horizontal="left"/>
    </xf>
    <xf numFmtId="293" fontId="15" fillId="0" borderId="84" xfId="0" applyNumberFormat="1" applyFont="1" applyBorder="1" applyAlignment="1">
      <alignment horizontal="left"/>
    </xf>
    <xf numFmtId="0" fontId="169" fillId="0" borderId="84" xfId="0" applyFont="1" applyBorder="1" applyAlignment="1">
      <alignment horizontal="left"/>
    </xf>
    <xf numFmtId="0" fontId="23" fillId="0" borderId="158" xfId="0" applyFont="1" applyBorder="1" applyAlignment="1">
      <alignment horizontal="left"/>
    </xf>
    <xf numFmtId="0" fontId="169" fillId="0" borderId="159" xfId="0" applyFont="1" applyBorder="1" applyAlignment="1">
      <alignment horizontal="left"/>
    </xf>
    <xf numFmtId="0" fontId="23" fillId="3" borderId="91" xfId="0" applyFont="1" applyFill="1" applyBorder="1"/>
    <xf numFmtId="10" fontId="23" fillId="0" borderId="0" xfId="0" applyNumberFormat="1" applyFont="1" applyAlignment="1">
      <alignment horizontal="right"/>
    </xf>
    <xf numFmtId="9" fontId="15" fillId="0" borderId="0" xfId="0" applyNumberFormat="1" applyFont="1" applyAlignment="1">
      <alignment horizontal="right"/>
    </xf>
    <xf numFmtId="0" fontId="170" fillId="5" borderId="131" xfId="0" applyFont="1" applyFill="1" applyBorder="1" applyAlignment="1">
      <alignment horizontal="right"/>
    </xf>
    <xf numFmtId="0" fontId="170" fillId="5" borderId="136" xfId="0" applyFont="1" applyFill="1" applyBorder="1" applyAlignment="1">
      <alignment horizontal="center"/>
    </xf>
    <xf numFmtId="5" fontId="195" fillId="39" borderId="0" xfId="0" applyNumberFormat="1" applyFont="1" applyFill="1"/>
    <xf numFmtId="5" fontId="169" fillId="34" borderId="93" xfId="0" quotePrefix="1" applyNumberFormat="1" applyFont="1" applyFill="1" applyBorder="1"/>
    <xf numFmtId="168" fontId="177" fillId="0" borderId="86" xfId="1360" applyNumberFormat="1" applyFont="1" applyBorder="1" applyAlignment="1">
      <alignment horizontal="center" vertical="center"/>
    </xf>
    <xf numFmtId="0" fontId="177" fillId="0" borderId="91" xfId="0" applyFont="1" applyBorder="1" applyAlignment="1">
      <alignment horizontal="center" vertical="center"/>
    </xf>
    <xf numFmtId="168" fontId="177" fillId="0" borderId="92" xfId="1360" applyNumberFormat="1" applyFont="1" applyBorder="1" applyAlignment="1">
      <alignment horizontal="center" vertical="center"/>
    </xf>
    <xf numFmtId="0" fontId="23" fillId="0" borderId="87" xfId="0" applyFont="1" applyBorder="1"/>
    <xf numFmtId="10" fontId="23" fillId="0" borderId="86" xfId="0" applyNumberFormat="1" applyFont="1" applyBorder="1" applyAlignment="1">
      <alignment horizontal="right"/>
    </xf>
    <xf numFmtId="5" fontId="23" fillId="3" borderId="92" xfId="22" applyNumberFormat="1" applyFont="1" applyFill="1" applyBorder="1" applyAlignment="1">
      <alignment horizontal="center"/>
    </xf>
    <xf numFmtId="0" fontId="15" fillId="0" borderId="91" xfId="0" applyFont="1" applyBorder="1"/>
    <xf numFmtId="9" fontId="15" fillId="0" borderId="92" xfId="0" applyNumberFormat="1" applyFont="1" applyBorder="1" applyAlignment="1">
      <alignment horizontal="right"/>
    </xf>
    <xf numFmtId="167" fontId="23" fillId="0" borderId="86" xfId="1" applyNumberFormat="1" applyFont="1" applyFill="1" applyBorder="1" applyAlignment="1">
      <alignment horizontal="right"/>
    </xf>
    <xf numFmtId="0" fontId="24" fillId="0" borderId="95" xfId="14" applyFont="1" applyBorder="1"/>
    <xf numFmtId="38" fontId="180" fillId="0" borderId="90" xfId="22" applyNumberFormat="1" applyFont="1" applyBorder="1" applyAlignment="1">
      <alignment horizontal="center"/>
    </xf>
    <xf numFmtId="3" fontId="180" fillId="0" borderId="90" xfId="14" applyNumberFormat="1" applyFont="1" applyBorder="1" applyAlignment="1">
      <alignment horizontal="center"/>
    </xf>
    <xf numFmtId="8" fontId="15" fillId="0" borderId="90" xfId="0" applyNumberFormat="1" applyFont="1" applyBorder="1"/>
    <xf numFmtId="6" fontId="15" fillId="0" borderId="160" xfId="0" applyNumberFormat="1" applyFont="1" applyBorder="1"/>
    <xf numFmtId="9" fontId="23" fillId="0" borderId="0" xfId="1" applyFont="1" applyFill="1" applyBorder="1" applyAlignment="1">
      <alignment horizontal="center"/>
    </xf>
    <xf numFmtId="10" fontId="171" fillId="0" borderId="86" xfId="2" applyNumberFormat="1" applyFont="1" applyBorder="1" applyAlignment="1">
      <alignment horizontal="right" vertical="center"/>
    </xf>
    <xf numFmtId="38" fontId="23" fillId="0" borderId="63" xfId="22" applyNumberFormat="1" applyFont="1" applyBorder="1" applyAlignment="1">
      <alignment horizontal="center"/>
    </xf>
    <xf numFmtId="38" fontId="23" fillId="0" borderId="95" xfId="22" applyNumberFormat="1" applyFont="1" applyBorder="1" applyAlignment="1">
      <alignment horizontal="center"/>
    </xf>
    <xf numFmtId="3" fontId="23" fillId="0" borderId="96" xfId="14" applyNumberFormat="1" applyFont="1" applyBorder="1" applyAlignment="1">
      <alignment horizontal="center"/>
    </xf>
    <xf numFmtId="38" fontId="23" fillId="0" borderId="96" xfId="22" applyNumberFormat="1" applyFont="1" applyBorder="1" applyAlignment="1">
      <alignment horizontal="center"/>
    </xf>
    <xf numFmtId="10" fontId="198" fillId="39" borderId="93" xfId="1" applyNumberFormat="1" applyFont="1" applyFill="1" applyBorder="1" applyAlignment="1">
      <alignment horizontal="center" vertical="center"/>
    </xf>
    <xf numFmtId="10" fontId="198" fillId="39" borderId="96" xfId="1" applyNumberFormat="1" applyFont="1" applyFill="1" applyBorder="1" applyAlignment="1">
      <alignment horizontal="center" vertical="center"/>
    </xf>
    <xf numFmtId="2" fontId="182" fillId="39" borderId="86" xfId="0" applyNumberFormat="1" applyFont="1" applyFill="1" applyBorder="1" applyAlignment="1">
      <alignment horizontal="center" vertical="center"/>
    </xf>
    <xf numFmtId="2" fontId="181" fillId="0" borderId="86" xfId="0" applyNumberFormat="1" applyFont="1" applyBorder="1" applyAlignment="1">
      <alignment horizontal="center" vertical="center"/>
    </xf>
    <xf numFmtId="2" fontId="182" fillId="39" borderId="89" xfId="0" applyNumberFormat="1" applyFont="1" applyFill="1" applyBorder="1" applyAlignment="1">
      <alignment horizontal="center" vertical="center"/>
    </xf>
    <xf numFmtId="10" fontId="178" fillId="0" borderId="0" xfId="1" applyNumberFormat="1" applyFont="1" applyAlignment="1">
      <alignment horizontal="center" vertical="center"/>
    </xf>
    <xf numFmtId="9" fontId="0" fillId="0" borderId="0" xfId="1" applyFont="1"/>
    <xf numFmtId="9" fontId="189" fillId="32" borderId="0" xfId="0" applyNumberFormat="1" applyFont="1" applyFill="1"/>
    <xf numFmtId="0" fontId="169" fillId="32" borderId="0" xfId="0" applyFont="1" applyFill="1" applyAlignment="1">
      <alignment horizontal="center"/>
    </xf>
    <xf numFmtId="10" fontId="189" fillId="32" borderId="0" xfId="1347" applyNumberFormat="1" applyFont="1" applyFill="1" applyAlignment="1">
      <alignment horizontal="right" vertical="center"/>
    </xf>
    <xf numFmtId="9" fontId="189" fillId="32" borderId="0" xfId="0" applyNumberFormat="1" applyFont="1" applyFill="1" applyAlignment="1">
      <alignment horizontal="right"/>
    </xf>
    <xf numFmtId="167" fontId="189" fillId="32" borderId="0" xfId="0" applyNumberFormat="1" applyFont="1" applyFill="1"/>
    <xf numFmtId="0" fontId="169" fillId="32" borderId="108" xfId="0" applyFont="1" applyFill="1" applyBorder="1"/>
    <xf numFmtId="0" fontId="169" fillId="32" borderId="161" xfId="1347" applyFont="1" applyFill="1" applyBorder="1"/>
    <xf numFmtId="0" fontId="208" fillId="32" borderId="107" xfId="0" applyFont="1" applyFill="1" applyBorder="1" applyAlignment="1">
      <alignment horizontal="left"/>
    </xf>
    <xf numFmtId="0" fontId="208" fillId="32" borderId="109" xfId="0" applyFont="1" applyFill="1" applyBorder="1" applyAlignment="1">
      <alignment horizontal="right"/>
    </xf>
    <xf numFmtId="9" fontId="189" fillId="32" borderId="30" xfId="0" applyNumberFormat="1" applyFont="1" applyFill="1" applyBorder="1"/>
    <xf numFmtId="167" fontId="189" fillId="32" borderId="30" xfId="0" applyNumberFormat="1" applyFont="1" applyFill="1" applyBorder="1"/>
    <xf numFmtId="10" fontId="189" fillId="32" borderId="30" xfId="1347" applyNumberFormat="1" applyFont="1" applyFill="1" applyBorder="1" applyAlignment="1">
      <alignment horizontal="right" vertical="center"/>
    </xf>
    <xf numFmtId="0" fontId="169" fillId="32" borderId="156" xfId="0" applyFont="1" applyFill="1" applyBorder="1"/>
    <xf numFmtId="0" fontId="171" fillId="32" borderId="156" xfId="0" applyFont="1" applyFill="1" applyBorder="1"/>
    <xf numFmtId="0" fontId="171" fillId="32" borderId="156" xfId="1347" applyFont="1" applyFill="1" applyBorder="1"/>
    <xf numFmtId="0" fontId="171" fillId="32" borderId="144" xfId="0" applyFont="1" applyFill="1" applyBorder="1"/>
    <xf numFmtId="0" fontId="169" fillId="32" borderId="145" xfId="0" applyFont="1" applyFill="1" applyBorder="1"/>
    <xf numFmtId="0" fontId="169" fillId="32" borderId="111" xfId="0" applyFont="1" applyFill="1" applyBorder="1" applyAlignment="1">
      <alignment horizontal="right"/>
    </xf>
    <xf numFmtId="0" fontId="169" fillId="32" borderId="5" xfId="0" applyFont="1" applyFill="1" applyBorder="1" applyAlignment="1">
      <alignment horizontal="right"/>
    </xf>
    <xf numFmtId="10" fontId="189" fillId="32" borderId="112" xfId="1347" applyNumberFormat="1" applyFont="1" applyFill="1" applyBorder="1" applyAlignment="1">
      <alignment horizontal="right" vertical="center"/>
    </xf>
    <xf numFmtId="10" fontId="189" fillId="32" borderId="111" xfId="1347" applyNumberFormat="1" applyFont="1" applyFill="1" applyBorder="1" applyAlignment="1">
      <alignment horizontal="right" vertical="center"/>
    </xf>
    <xf numFmtId="287" fontId="189" fillId="32" borderId="5" xfId="1360" applyNumberFormat="1" applyFont="1" applyFill="1" applyBorder="1" applyAlignment="1">
      <alignment horizontal="right" vertical="center" indent="1"/>
    </xf>
    <xf numFmtId="0" fontId="169" fillId="32" borderId="5" xfId="0" applyFont="1" applyFill="1" applyBorder="1" applyAlignment="1">
      <alignment horizontal="center" vertical="center" wrapText="1"/>
    </xf>
    <xf numFmtId="0" fontId="169" fillId="32" borderId="112" xfId="0" applyFont="1" applyFill="1" applyBorder="1" applyAlignment="1">
      <alignment horizontal="center" vertical="center" wrapText="1"/>
    </xf>
    <xf numFmtId="10" fontId="189" fillId="32" borderId="109" xfId="1347" applyNumberFormat="1" applyFont="1" applyFill="1" applyBorder="1" applyAlignment="1">
      <alignment horizontal="right" vertical="center"/>
    </xf>
    <xf numFmtId="10" fontId="189" fillId="32" borderId="0" xfId="1" applyNumberFormat="1" applyFont="1" applyFill="1" applyBorder="1" applyAlignment="1">
      <alignment horizontal="right" vertical="center"/>
    </xf>
    <xf numFmtId="10" fontId="189" fillId="32" borderId="30" xfId="1" applyNumberFormat="1" applyFont="1" applyFill="1" applyBorder="1" applyAlignment="1">
      <alignment horizontal="right" vertical="center"/>
    </xf>
    <xf numFmtId="9" fontId="189" fillId="32" borderId="0" xfId="0" applyNumberFormat="1" applyFont="1" applyFill="1" applyAlignment="1">
      <alignment vertical="center"/>
    </xf>
    <xf numFmtId="9" fontId="189" fillId="32" borderId="30" xfId="0" applyNumberFormat="1" applyFont="1" applyFill="1" applyBorder="1" applyAlignment="1">
      <alignment vertical="center"/>
    </xf>
    <xf numFmtId="9" fontId="0" fillId="0" borderId="93" xfId="0" applyNumberFormat="1" applyBorder="1"/>
    <xf numFmtId="9" fontId="222" fillId="0" borderId="93" xfId="0" applyNumberFormat="1" applyFont="1" applyBorder="1"/>
    <xf numFmtId="1" fontId="189" fillId="32" borderId="109" xfId="1360" applyNumberFormat="1" applyFont="1" applyFill="1" applyBorder="1" applyAlignment="1">
      <alignment horizontal="right" vertical="center" indent="1"/>
    </xf>
    <xf numFmtId="0" fontId="169" fillId="32" borderId="161" xfId="0" applyFont="1" applyFill="1" applyBorder="1"/>
    <xf numFmtId="289" fontId="189" fillId="32" borderId="30" xfId="1" applyNumberFormat="1" applyFont="1" applyFill="1" applyBorder="1" applyAlignment="1">
      <alignment horizontal="right" vertical="center"/>
    </xf>
    <xf numFmtId="8" fontId="189" fillId="32" borderId="0" xfId="1347" applyNumberFormat="1" applyFont="1" applyFill="1" applyAlignment="1">
      <alignment horizontal="right"/>
    </xf>
    <xf numFmtId="0" fontId="15" fillId="32" borderId="0" xfId="1347" applyFont="1" applyFill="1" applyAlignment="1">
      <alignment horizontal="center" vertical="center"/>
    </xf>
    <xf numFmtId="37" fontId="189" fillId="32" borderId="0" xfId="1347" applyNumberFormat="1" applyFont="1" applyFill="1" applyAlignment="1">
      <alignment horizontal="center" vertical="center"/>
    </xf>
    <xf numFmtId="165" fontId="189" fillId="32" borderId="0" xfId="1358" applyNumberFormat="1" applyFont="1" applyFill="1" applyBorder="1" applyAlignment="1">
      <alignment horizontal="center" vertical="center"/>
    </xf>
    <xf numFmtId="37" fontId="169" fillId="32" borderId="0" xfId="1347" applyNumberFormat="1" applyFont="1" applyFill="1" applyAlignment="1">
      <alignment horizontal="center" vertical="center"/>
    </xf>
    <xf numFmtId="0" fontId="102" fillId="32" borderId="107" xfId="1347" applyFont="1" applyFill="1" applyBorder="1" applyAlignment="1">
      <alignment vertical="center"/>
    </xf>
    <xf numFmtId="0" fontId="102" fillId="32" borderId="109" xfId="1347" applyFont="1" applyFill="1" applyBorder="1" applyAlignment="1">
      <alignment horizontal="left" vertical="center"/>
    </xf>
    <xf numFmtId="0" fontId="15" fillId="32" borderId="108" xfId="1347" applyFont="1" applyFill="1" applyBorder="1" applyAlignment="1">
      <alignment vertical="center"/>
    </xf>
    <xf numFmtId="0" fontId="208" fillId="32" borderId="107" xfId="0" applyFont="1" applyFill="1" applyBorder="1"/>
    <xf numFmtId="0" fontId="102" fillId="32" borderId="109" xfId="1347" applyFont="1" applyFill="1" applyBorder="1" applyAlignment="1">
      <alignment vertical="center"/>
    </xf>
    <xf numFmtId="0" fontId="174" fillId="32" borderId="108" xfId="1347" applyFont="1" applyFill="1" applyBorder="1" applyAlignment="1">
      <alignment horizontal="left" vertical="center"/>
    </xf>
    <xf numFmtId="0" fontId="15" fillId="32" borderId="108" xfId="1347" applyFont="1" applyFill="1" applyBorder="1" applyAlignment="1">
      <alignment horizontal="left" vertical="center" indent="1"/>
    </xf>
    <xf numFmtId="0" fontId="15" fillId="32" borderId="108" xfId="1347" applyFont="1" applyFill="1" applyBorder="1" applyAlignment="1">
      <alignment horizontal="left" vertical="center"/>
    </xf>
    <xf numFmtId="0" fontId="15" fillId="32" borderId="161" xfId="1347" applyFont="1" applyFill="1" applyBorder="1" applyAlignment="1">
      <alignment horizontal="left" vertical="center" indent="1"/>
    </xf>
    <xf numFmtId="165" fontId="189" fillId="32" borderId="30" xfId="1358" applyNumberFormat="1" applyFont="1" applyFill="1" applyBorder="1" applyAlignment="1">
      <alignment horizontal="center" vertical="center"/>
    </xf>
    <xf numFmtId="0" fontId="208" fillId="32" borderId="111" xfId="0" applyFont="1" applyFill="1" applyBorder="1"/>
    <xf numFmtId="166" fontId="189" fillId="32" borderId="112" xfId="1347" applyNumberFormat="1" applyFont="1" applyFill="1" applyBorder="1" applyAlignment="1">
      <alignment horizontal="center"/>
    </xf>
    <xf numFmtId="0" fontId="102" fillId="32" borderId="111" xfId="1347" applyFont="1" applyFill="1" applyBorder="1" applyAlignment="1">
      <alignment horizontal="center" vertical="center"/>
    </xf>
    <xf numFmtId="37" fontId="15" fillId="32" borderId="5" xfId="1347" applyNumberFormat="1" applyFont="1" applyFill="1" applyBorder="1" applyAlignment="1">
      <alignment horizontal="center" vertical="center"/>
    </xf>
    <xf numFmtId="37" fontId="189" fillId="32" borderId="5" xfId="1347" applyNumberFormat="1" applyFont="1" applyFill="1" applyBorder="1" applyAlignment="1">
      <alignment horizontal="center" vertical="center"/>
    </xf>
    <xf numFmtId="6" fontId="189" fillId="32" borderId="5" xfId="1347" applyNumberFormat="1" applyFont="1" applyFill="1" applyBorder="1" applyAlignment="1">
      <alignment horizontal="center"/>
    </xf>
    <xf numFmtId="0" fontId="189" fillId="32" borderId="5" xfId="1347" applyFont="1" applyFill="1" applyBorder="1"/>
    <xf numFmtId="0" fontId="189" fillId="32" borderId="5" xfId="1347" applyFont="1" applyFill="1" applyBorder="1" applyAlignment="1">
      <alignment horizontal="center"/>
    </xf>
    <xf numFmtId="0" fontId="173" fillId="32" borderId="5" xfId="1347" applyFont="1" applyFill="1" applyBorder="1" applyAlignment="1">
      <alignment horizontal="center" vertical="center"/>
    </xf>
    <xf numFmtId="6" fontId="173" fillId="32" borderId="5" xfId="1347" applyNumberFormat="1" applyFont="1" applyFill="1" applyBorder="1" applyAlignment="1">
      <alignment horizontal="center"/>
    </xf>
    <xf numFmtId="0" fontId="169" fillId="32" borderId="5" xfId="1347" applyFont="1" applyFill="1" applyBorder="1"/>
    <xf numFmtId="0" fontId="169" fillId="32" borderId="5" xfId="1347" applyFont="1" applyFill="1" applyBorder="1" applyAlignment="1">
      <alignment horizontal="center"/>
    </xf>
    <xf numFmtId="6" fontId="173" fillId="32" borderId="112" xfId="1347" applyNumberFormat="1" applyFont="1" applyFill="1" applyBorder="1" applyAlignment="1">
      <alignment horizontal="center"/>
    </xf>
    <xf numFmtId="0" fontId="15" fillId="32" borderId="107" xfId="1347" applyFont="1" applyFill="1" applyBorder="1" applyAlignment="1">
      <alignment horizontal="left" vertical="center"/>
    </xf>
    <xf numFmtId="0" fontId="15" fillId="32" borderId="109" xfId="1347" applyFont="1" applyFill="1" applyBorder="1" applyAlignment="1">
      <alignment horizontal="center" vertical="center"/>
    </xf>
    <xf numFmtId="0" fontId="15" fillId="32" borderId="30" xfId="1347" applyFont="1" applyFill="1" applyBorder="1" applyAlignment="1">
      <alignment horizontal="center" vertical="center"/>
    </xf>
    <xf numFmtId="0" fontId="15" fillId="32" borderId="107" xfId="1347" applyFont="1" applyFill="1" applyBorder="1" applyAlignment="1">
      <alignment vertical="center"/>
    </xf>
    <xf numFmtId="0" fontId="15" fillId="32" borderId="109" xfId="1347" applyFont="1" applyFill="1" applyBorder="1" applyAlignment="1">
      <alignment vertical="center"/>
    </xf>
    <xf numFmtId="0" fontId="15" fillId="32" borderId="161" xfId="1347" applyFont="1" applyFill="1" applyBorder="1" applyAlignment="1">
      <alignment vertical="center"/>
    </xf>
    <xf numFmtId="0" fontId="23" fillId="32" borderId="30" xfId="1347" applyFont="1" applyFill="1" applyBorder="1" applyAlignment="1">
      <alignment horizontal="center" vertical="center"/>
    </xf>
    <xf numFmtId="0" fontId="15" fillId="32" borderId="111" xfId="1347" applyFont="1" applyFill="1" applyBorder="1" applyAlignment="1">
      <alignment horizontal="center" vertical="center"/>
    </xf>
    <xf numFmtId="9" fontId="189" fillId="32" borderId="5" xfId="1" applyFont="1" applyFill="1" applyBorder="1" applyAlignment="1">
      <alignment horizontal="center"/>
    </xf>
    <xf numFmtId="9" fontId="189" fillId="32" borderId="5" xfId="1" applyFont="1" applyFill="1" applyBorder="1" applyAlignment="1">
      <alignment horizontal="center" vertical="center"/>
    </xf>
    <xf numFmtId="0" fontId="15" fillId="32" borderId="5" xfId="1347" applyFont="1" applyFill="1" applyBorder="1" applyAlignment="1">
      <alignment horizontal="center" vertical="center"/>
    </xf>
    <xf numFmtId="9" fontId="189" fillId="32" borderId="112" xfId="1" applyFont="1" applyFill="1" applyBorder="1" applyAlignment="1">
      <alignment horizontal="center" vertical="center"/>
    </xf>
    <xf numFmtId="0" fontId="23" fillId="32" borderId="156" xfId="1347" applyFont="1" applyFill="1" applyBorder="1" applyAlignment="1">
      <alignment horizontal="left" vertical="center"/>
    </xf>
    <xf numFmtId="9" fontId="189" fillId="32" borderId="111" xfId="1347" applyNumberFormat="1" applyFont="1" applyFill="1" applyBorder="1" applyAlignment="1">
      <alignment horizontal="center" vertical="center"/>
    </xf>
    <xf numFmtId="9" fontId="189" fillId="32" borderId="5" xfId="1347" applyNumberFormat="1" applyFont="1" applyFill="1" applyBorder="1" applyAlignment="1">
      <alignment horizontal="center" vertical="center"/>
    </xf>
    <xf numFmtId="9" fontId="189" fillId="32" borderId="5" xfId="1347" applyNumberFormat="1" applyFont="1" applyFill="1" applyBorder="1" applyAlignment="1">
      <alignment horizontal="center"/>
    </xf>
    <xf numFmtId="9" fontId="189" fillId="32" borderId="112" xfId="1347" applyNumberFormat="1" applyFont="1" applyFill="1" applyBorder="1" applyAlignment="1">
      <alignment horizontal="center"/>
    </xf>
    <xf numFmtId="0" fontId="23" fillId="32" borderId="156" xfId="1347" applyFont="1" applyFill="1" applyBorder="1" applyAlignment="1">
      <alignment horizontal="center" vertical="center"/>
    </xf>
    <xf numFmtId="38" fontId="189" fillId="32" borderId="111" xfId="1347" applyNumberFormat="1" applyFont="1" applyFill="1" applyBorder="1" applyAlignment="1">
      <alignment horizontal="center" vertical="center"/>
    </xf>
    <xf numFmtId="0" fontId="169" fillId="32" borderId="0" xfId="0" applyFont="1" applyFill="1" applyAlignment="1">
      <alignment horizontal="center" vertical="center" wrapText="1"/>
    </xf>
    <xf numFmtId="287" fontId="189" fillId="32" borderId="0" xfId="1360" applyNumberFormat="1" applyFont="1" applyFill="1" applyBorder="1" applyAlignment="1">
      <alignment horizontal="right" vertical="center" indent="1"/>
    </xf>
    <xf numFmtId="0" fontId="169" fillId="32" borderId="14" xfId="0" applyFont="1" applyFill="1" applyBorder="1" applyAlignment="1">
      <alignment horizontal="right"/>
    </xf>
    <xf numFmtId="0" fontId="169" fillId="32" borderId="14" xfId="0" applyFont="1" applyFill="1" applyBorder="1" applyAlignment="1">
      <alignment horizontal="center" vertical="center" wrapText="1"/>
    </xf>
    <xf numFmtId="0" fontId="169" fillId="32" borderId="115" xfId="0" applyFont="1" applyFill="1" applyBorder="1" applyAlignment="1">
      <alignment horizontal="center" vertical="center" wrapText="1"/>
    </xf>
    <xf numFmtId="0" fontId="198" fillId="32" borderId="144" xfId="0" applyFont="1" applyFill="1" applyBorder="1"/>
    <xf numFmtId="0" fontId="167" fillId="32" borderId="145" xfId="0" applyFont="1" applyFill="1" applyBorder="1"/>
    <xf numFmtId="0" fontId="167" fillId="32" borderId="156" xfId="0" applyFont="1" applyFill="1" applyBorder="1"/>
    <xf numFmtId="5" fontId="167" fillId="32" borderId="26" xfId="0" applyNumberFormat="1" applyFont="1" applyFill="1" applyBorder="1"/>
    <xf numFmtId="0" fontId="210" fillId="32" borderId="156" xfId="0" applyFont="1" applyFill="1" applyBorder="1"/>
    <xf numFmtId="0" fontId="168" fillId="32" borderId="156" xfId="0" applyFont="1" applyFill="1" applyBorder="1"/>
    <xf numFmtId="0" fontId="167" fillId="32" borderId="156" xfId="0" applyFont="1" applyFill="1" applyBorder="1" applyAlignment="1">
      <alignment horizontal="left"/>
    </xf>
    <xf numFmtId="0" fontId="171" fillId="32" borderId="144" xfId="1347" applyFont="1" applyFill="1" applyBorder="1"/>
    <xf numFmtId="0" fontId="169" fillId="32" borderId="141" xfId="0" applyFont="1" applyFill="1" applyBorder="1"/>
    <xf numFmtId="0" fontId="169" fillId="32" borderId="142" xfId="0" applyFont="1" applyFill="1" applyBorder="1"/>
    <xf numFmtId="10" fontId="189" fillId="32" borderId="26" xfId="1" applyNumberFormat="1" applyFont="1" applyFill="1" applyBorder="1" applyAlignment="1">
      <alignment horizontal="right"/>
    </xf>
    <xf numFmtId="0" fontId="185" fillId="4" borderId="114" xfId="0" applyFont="1" applyFill="1" applyBorder="1" applyAlignment="1">
      <alignment vertical="center"/>
    </xf>
    <xf numFmtId="0" fontId="183" fillId="38" borderId="144" xfId="0" applyFont="1" applyFill="1" applyBorder="1" applyAlignment="1">
      <alignment vertical="center"/>
    </xf>
    <xf numFmtId="0" fontId="183" fillId="38" borderId="145" xfId="0" applyFont="1" applyFill="1" applyBorder="1" applyAlignment="1">
      <alignment vertical="center"/>
    </xf>
    <xf numFmtId="168" fontId="203" fillId="39" borderId="93" xfId="1360" applyNumberFormat="1" applyFont="1" applyFill="1" applyBorder="1" applyAlignment="1">
      <alignment vertical="center"/>
    </xf>
    <xf numFmtId="168" fontId="203" fillId="0" borderId="93" xfId="1360" applyNumberFormat="1" applyFont="1" applyBorder="1"/>
    <xf numFmtId="168" fontId="203" fillId="39" borderId="96" xfId="1360" applyNumberFormat="1" applyFont="1" applyFill="1" applyBorder="1"/>
    <xf numFmtId="3" fontId="177" fillId="4" borderId="58" xfId="0" applyNumberFormat="1" applyFont="1" applyFill="1" applyBorder="1" applyAlignment="1">
      <alignment horizontal="center" vertical="center"/>
    </xf>
    <xf numFmtId="44" fontId="177" fillId="4" borderId="58" xfId="18" applyFont="1" applyFill="1" applyBorder="1" applyAlignment="1">
      <alignment horizontal="center" vertical="center"/>
    </xf>
    <xf numFmtId="297" fontId="177" fillId="4" borderId="58" xfId="0" applyNumberFormat="1" applyFont="1" applyFill="1" applyBorder="1" applyAlignment="1">
      <alignment horizontal="center" vertical="center"/>
    </xf>
    <xf numFmtId="0" fontId="212" fillId="38" borderId="144" xfId="0" applyFont="1" applyFill="1" applyBorder="1" applyAlignment="1">
      <alignment vertical="center"/>
    </xf>
    <xf numFmtId="0" fontId="212" fillId="0" borderId="144" xfId="0" applyFont="1" applyBorder="1" applyAlignment="1">
      <alignment vertical="center"/>
    </xf>
    <xf numFmtId="172" fontId="216" fillId="0" borderId="149" xfId="0" applyNumberFormat="1" applyFont="1" applyBorder="1" applyAlignment="1">
      <alignment horizontal="center" vertical="center"/>
    </xf>
    <xf numFmtId="271" fontId="217" fillId="0" borderId="149" xfId="1360" applyNumberFormat="1" applyFont="1" applyFill="1" applyBorder="1" applyAlignment="1">
      <alignment horizontal="center" vertical="center" wrapText="1"/>
    </xf>
    <xf numFmtId="271" fontId="218" fillId="0" borderId="148" xfId="1360" applyNumberFormat="1" applyFont="1" applyFill="1" applyBorder="1" applyAlignment="1">
      <alignment horizontal="center" vertical="center" wrapText="1"/>
    </xf>
    <xf numFmtId="0" fontId="183" fillId="38" borderId="144" xfId="0" applyFont="1" applyFill="1" applyBorder="1" applyAlignment="1">
      <alignment horizontal="left" vertical="center"/>
    </xf>
    <xf numFmtId="0" fontId="176" fillId="38" borderId="144" xfId="0" applyFont="1" applyFill="1" applyBorder="1" applyAlignment="1">
      <alignment horizontal="center" vertical="center"/>
    </xf>
    <xf numFmtId="0" fontId="167" fillId="38" borderId="145" xfId="0" applyFont="1" applyFill="1" applyBorder="1"/>
    <xf numFmtId="0" fontId="181" fillId="0" borderId="156" xfId="0" applyFont="1" applyBorder="1" applyAlignment="1">
      <alignment vertical="center"/>
    </xf>
    <xf numFmtId="0" fontId="181" fillId="0" borderId="156" xfId="0" applyFont="1" applyBorder="1"/>
    <xf numFmtId="175" fontId="188" fillId="34" borderId="124" xfId="0" applyNumberFormat="1" applyFont="1" applyFill="1" applyBorder="1"/>
    <xf numFmtId="0" fontId="187" fillId="6" borderId="144" xfId="0" applyFont="1" applyFill="1" applyBorder="1" applyAlignment="1">
      <alignment horizontal="left"/>
    </xf>
    <xf numFmtId="0" fontId="176" fillId="35" borderId="129" xfId="0" applyFont="1" applyFill="1" applyBorder="1" applyAlignment="1">
      <alignment horizontal="left"/>
    </xf>
    <xf numFmtId="0" fontId="169" fillId="0" borderId="129" xfId="0" applyFont="1" applyBorder="1"/>
    <xf numFmtId="168" fontId="169" fillId="0" borderId="129" xfId="1360" applyNumberFormat="1" applyFont="1" applyBorder="1"/>
    <xf numFmtId="0" fontId="170" fillId="6" borderId="145" xfId="0" applyFont="1" applyFill="1" applyBorder="1" applyAlignment="1">
      <alignment horizontal="left"/>
    </xf>
    <xf numFmtId="0" fontId="15" fillId="0" borderId="114" xfId="0" applyFont="1" applyBorder="1"/>
    <xf numFmtId="0" fontId="170" fillId="33" borderId="140" xfId="0" applyFont="1" applyFill="1" applyBorder="1" applyAlignment="1">
      <alignment horizontal="left"/>
    </xf>
    <xf numFmtId="0" fontId="170" fillId="33" borderId="141" xfId="0" applyFont="1" applyFill="1" applyBorder="1" applyAlignment="1">
      <alignment horizontal="center"/>
    </xf>
    <xf numFmtId="0" fontId="170" fillId="33" borderId="141" xfId="0" applyFont="1" applyFill="1" applyBorder="1" applyAlignment="1">
      <alignment horizontal="center" wrapText="1"/>
    </xf>
    <xf numFmtId="0" fontId="170" fillId="33" borderId="142" xfId="0" applyFont="1" applyFill="1" applyBorder="1" applyAlignment="1">
      <alignment horizontal="center"/>
    </xf>
    <xf numFmtId="0" fontId="170" fillId="30" borderId="124" xfId="0" applyFont="1" applyFill="1" applyBorder="1"/>
    <xf numFmtId="0" fontId="170" fillId="30" borderId="125" xfId="0" applyFont="1" applyFill="1" applyBorder="1"/>
    <xf numFmtId="0" fontId="170" fillId="6" borderId="124" xfId="0" applyFont="1" applyFill="1" applyBorder="1" applyAlignment="1">
      <alignment horizontal="left"/>
    </xf>
    <xf numFmtId="0" fontId="170" fillId="6" borderId="125" xfId="0" applyFont="1" applyFill="1" applyBorder="1" applyAlignment="1">
      <alignment horizontal="center"/>
    </xf>
    <xf numFmtId="5" fontId="15" fillId="0" borderId="127" xfId="22" applyNumberFormat="1" applyFont="1" applyBorder="1" applyAlignment="1">
      <alignment horizontal="center"/>
    </xf>
    <xf numFmtId="5" fontId="23" fillId="3" borderId="114" xfId="22" applyNumberFormat="1" applyFont="1" applyFill="1" applyBorder="1" applyAlignment="1">
      <alignment horizontal="left"/>
    </xf>
    <xf numFmtId="165" fontId="23" fillId="3" borderId="116" xfId="22" applyNumberFormat="1" applyFont="1" applyFill="1" applyBorder="1" applyAlignment="1">
      <alignment horizontal="center"/>
    </xf>
    <xf numFmtId="5" fontId="23" fillId="3" borderId="113" xfId="22" applyNumberFormat="1" applyFont="1" applyFill="1" applyBorder="1" applyAlignment="1">
      <alignment horizontal="center"/>
    </xf>
    <xf numFmtId="0" fontId="171" fillId="28" borderId="124" xfId="0" applyFont="1" applyFill="1" applyBorder="1"/>
    <xf numFmtId="166" fontId="171" fillId="28" borderId="125" xfId="0" applyNumberFormat="1" applyFont="1" applyFill="1" applyBorder="1" applyAlignment="1">
      <alignment horizontal="center"/>
    </xf>
    <xf numFmtId="0" fontId="170" fillId="30" borderId="144" xfId="0" applyFont="1" applyFill="1" applyBorder="1"/>
    <xf numFmtId="0" fontId="170" fillId="30" borderId="145" xfId="0" applyFont="1" applyFill="1" applyBorder="1"/>
    <xf numFmtId="0" fontId="23" fillId="34" borderId="132" xfId="2" applyFont="1" applyFill="1" applyBorder="1" applyAlignment="1">
      <alignment vertical="center"/>
    </xf>
    <xf numFmtId="0" fontId="23" fillId="34" borderId="135" xfId="0" applyFont="1" applyFill="1" applyBorder="1" applyAlignment="1">
      <alignment horizontal="center"/>
    </xf>
    <xf numFmtId="0" fontId="194" fillId="9" borderId="156" xfId="1347" applyFont="1" applyFill="1" applyBorder="1" applyAlignment="1">
      <alignment horizontal="center"/>
    </xf>
    <xf numFmtId="0" fontId="219" fillId="44" borderId="156" xfId="0" applyFont="1" applyFill="1" applyBorder="1"/>
    <xf numFmtId="0" fontId="224" fillId="0" borderId="157" xfId="0" applyFont="1" applyBorder="1" applyAlignment="1">
      <alignment horizontal="right"/>
    </xf>
    <xf numFmtId="0" fontId="181" fillId="7" borderId="105" xfId="0" applyFont="1" applyFill="1" applyBorder="1" applyAlignment="1">
      <alignment horizontal="center" vertical="center"/>
    </xf>
    <xf numFmtId="0" fontId="181" fillId="7" borderId="139" xfId="0" applyFont="1" applyFill="1" applyBorder="1" applyAlignment="1">
      <alignment horizontal="center" vertical="center"/>
    </xf>
    <xf numFmtId="0" fontId="181" fillId="7" borderId="123" xfId="0" applyFont="1" applyFill="1" applyBorder="1" applyAlignment="1">
      <alignment horizontal="center" vertical="center"/>
    </xf>
    <xf numFmtId="0" fontId="181" fillId="37" borderId="105" xfId="0" applyFont="1" applyFill="1" applyBorder="1" applyAlignment="1">
      <alignment horizontal="center" vertical="center"/>
    </xf>
    <xf numFmtId="0" fontId="181" fillId="37" borderId="123" xfId="0" applyFont="1" applyFill="1" applyBorder="1" applyAlignment="1">
      <alignment horizontal="center" vertical="center"/>
    </xf>
    <xf numFmtId="0" fontId="181" fillId="37" borderId="100" xfId="0" applyFont="1" applyFill="1" applyBorder="1" applyAlignment="1">
      <alignment horizontal="center" vertical="center"/>
    </xf>
    <xf numFmtId="0" fontId="181" fillId="37" borderId="84" xfId="0" applyFont="1" applyFill="1" applyBorder="1" applyAlignment="1">
      <alignment horizontal="center" vertical="center"/>
    </xf>
    <xf numFmtId="0" fontId="181" fillId="37" borderId="61" xfId="0" applyFont="1" applyFill="1" applyBorder="1" applyAlignment="1">
      <alignment horizontal="center" vertical="center"/>
    </xf>
    <xf numFmtId="0" fontId="181" fillId="37" borderId="7" xfId="0" applyFont="1" applyFill="1" applyBorder="1" applyAlignment="1">
      <alignment horizontal="center" vertical="center"/>
    </xf>
    <xf numFmtId="0" fontId="181" fillId="7" borderId="126" xfId="0" applyFont="1" applyFill="1" applyBorder="1" applyAlignment="1">
      <alignment horizontal="center" vertical="center"/>
    </xf>
    <xf numFmtId="0" fontId="181" fillId="7" borderId="138" xfId="0" applyFont="1" applyFill="1" applyBorder="1" applyAlignment="1">
      <alignment horizontal="center" vertical="center"/>
    </xf>
    <xf numFmtId="0" fontId="181" fillId="36" borderId="93" xfId="0" applyFont="1" applyFill="1" applyBorder="1" applyAlignment="1">
      <alignment horizontal="center" vertical="center"/>
    </xf>
    <xf numFmtId="0" fontId="181" fillId="37" borderId="126" xfId="0" applyFont="1" applyFill="1" applyBorder="1" applyAlignment="1">
      <alignment horizontal="center" vertical="center"/>
    </xf>
    <xf numFmtId="0" fontId="181" fillId="37" borderId="138" xfId="0" applyFont="1" applyFill="1" applyBorder="1" applyAlignment="1">
      <alignment horizontal="center" vertical="center"/>
    </xf>
    <xf numFmtId="0" fontId="181" fillId="7" borderId="61" xfId="0" applyFont="1" applyFill="1" applyBorder="1" applyAlignment="1">
      <alignment horizontal="center" vertical="center"/>
    </xf>
    <xf numFmtId="0" fontId="181" fillId="7" borderId="62" xfId="0" applyFont="1" applyFill="1" applyBorder="1" applyAlignment="1">
      <alignment horizontal="center" vertical="center"/>
    </xf>
    <xf numFmtId="0" fontId="181" fillId="7" borderId="7" xfId="0" applyFont="1" applyFill="1" applyBorder="1" applyAlignment="1">
      <alignment horizontal="center" vertical="center"/>
    </xf>
    <xf numFmtId="0" fontId="181" fillId="7" borderId="100" xfId="0" applyFont="1" applyFill="1" applyBorder="1" applyAlignment="1">
      <alignment horizontal="center" vertical="center"/>
    </xf>
    <xf numFmtId="0" fontId="181" fillId="7" borderId="83" xfId="0" applyFont="1" applyFill="1" applyBorder="1" applyAlignment="1">
      <alignment horizontal="center" vertical="center"/>
    </xf>
    <xf numFmtId="0" fontId="181" fillId="7" borderId="84" xfId="0" applyFont="1" applyFill="1" applyBorder="1" applyAlignment="1">
      <alignment horizontal="center" vertical="center"/>
    </xf>
    <xf numFmtId="0" fontId="203" fillId="0" borderId="99" xfId="0" applyFont="1" applyBorder="1" applyAlignment="1">
      <alignment horizontal="center" vertical="center"/>
    </xf>
    <xf numFmtId="0" fontId="203" fillId="0" borderId="73" xfId="0" applyFont="1" applyBorder="1" applyAlignment="1">
      <alignment horizontal="center" vertical="center"/>
    </xf>
    <xf numFmtId="0" fontId="203" fillId="0" borderId="114" xfId="0" applyFont="1" applyBorder="1" applyAlignment="1">
      <alignment horizontal="center" vertical="center"/>
    </xf>
    <xf numFmtId="0" fontId="203" fillId="0" borderId="60" xfId="0" applyFont="1" applyBorder="1" applyAlignment="1">
      <alignment horizontal="center" vertical="center"/>
    </xf>
    <xf numFmtId="0" fontId="181" fillId="36" borderId="98" xfId="0" applyFont="1" applyFill="1" applyBorder="1" applyAlignment="1">
      <alignment horizontal="center" vertical="center"/>
    </xf>
    <xf numFmtId="0" fontId="213" fillId="0" borderId="130" xfId="0" applyFont="1" applyBorder="1" applyAlignment="1">
      <alignment horizontal="center" vertical="center"/>
    </xf>
    <xf numFmtId="0" fontId="215" fillId="0" borderId="136" xfId="0" applyFont="1" applyBorder="1" applyAlignment="1">
      <alignment horizontal="center" vertical="distributed"/>
    </xf>
    <xf numFmtId="0" fontId="215" fillId="0" borderId="114" xfId="0" applyFont="1" applyBorder="1" applyAlignment="1">
      <alignment horizontal="center" vertical="distributed"/>
    </xf>
    <xf numFmtId="0" fontId="215" fillId="0" borderId="136" xfId="0" applyFont="1" applyBorder="1" applyAlignment="1">
      <alignment horizontal="center" vertical="center"/>
    </xf>
    <xf numFmtId="0" fontId="215" fillId="0" borderId="73" xfId="0" applyFont="1" applyBorder="1" applyAlignment="1">
      <alignment horizontal="center" vertical="center"/>
    </xf>
    <xf numFmtId="0" fontId="215" fillId="0" borderId="114" xfId="0" applyFont="1" applyBorder="1" applyAlignment="1">
      <alignment horizontal="center" vertical="center"/>
    </xf>
    <xf numFmtId="0" fontId="203" fillId="0" borderId="99" xfId="0" applyFont="1" applyBorder="1" applyAlignment="1">
      <alignment horizontal="center" vertical="distributed"/>
    </xf>
    <xf numFmtId="0" fontId="203" fillId="0" borderId="60" xfId="0" applyFont="1" applyBorder="1" applyAlignment="1">
      <alignment horizontal="center" vertical="distributed"/>
    </xf>
    <xf numFmtId="0" fontId="183" fillId="38" borderId="144" xfId="0" applyFont="1" applyFill="1" applyBorder="1" applyAlignment="1">
      <alignment horizontal="left"/>
    </xf>
    <xf numFmtId="0" fontId="181" fillId="0" borderId="63" xfId="0" applyFont="1" applyBorder="1" applyAlignment="1">
      <alignment horizontal="left" vertical="center" wrapText="1"/>
    </xf>
    <xf numFmtId="0" fontId="181" fillId="0" borderId="93" xfId="0" applyFont="1" applyBorder="1" applyAlignment="1">
      <alignment horizontal="left" vertical="center" wrapText="1"/>
    </xf>
    <xf numFmtId="0" fontId="181" fillId="0" borderId="96" xfId="0" applyFont="1" applyBorder="1" applyAlignment="1">
      <alignment horizontal="left" vertical="center" wrapText="1"/>
    </xf>
    <xf numFmtId="0" fontId="177" fillId="0" borderId="95" xfId="0" applyFont="1" applyBorder="1" applyAlignment="1">
      <alignment horizontal="center" vertical="center"/>
    </xf>
    <xf numFmtId="0" fontId="203" fillId="0" borderId="87" xfId="0" applyFont="1" applyBorder="1" applyAlignment="1">
      <alignment horizontal="center" vertical="center"/>
    </xf>
    <xf numFmtId="0" fontId="203" fillId="0" borderId="87" xfId="0" applyFont="1" applyBorder="1" applyAlignment="1">
      <alignment horizontal="center" vertical="distributed"/>
    </xf>
    <xf numFmtId="0" fontId="185" fillId="4" borderId="116" xfId="0" applyFont="1" applyFill="1" applyBorder="1" applyAlignment="1">
      <alignment horizontal="center" vertical="center"/>
    </xf>
    <xf numFmtId="0" fontId="171" fillId="0" borderId="0" xfId="0" applyFont="1" applyAlignment="1">
      <alignment horizontal="center" vertical="center"/>
    </xf>
    <xf numFmtId="0" fontId="171" fillId="0" borderId="75" xfId="0" applyFont="1" applyBorder="1" applyAlignment="1">
      <alignment horizontal="center" vertical="center"/>
    </xf>
    <xf numFmtId="260" fontId="23" fillId="4" borderId="102" xfId="0" applyNumberFormat="1" applyFont="1" applyFill="1" applyBorder="1" applyAlignment="1">
      <alignment horizontal="center"/>
    </xf>
    <xf numFmtId="260" fontId="23" fillId="4" borderId="83" xfId="0" applyNumberFormat="1" applyFont="1" applyFill="1" applyBorder="1" applyAlignment="1">
      <alignment horizontal="center"/>
    </xf>
    <xf numFmtId="260" fontId="23" fillId="4" borderId="103" xfId="0" applyNumberFormat="1" applyFont="1" applyFill="1" applyBorder="1" applyAlignment="1">
      <alignment horizontal="center"/>
    </xf>
    <xf numFmtId="260" fontId="23" fillId="0" borderId="0" xfId="0" applyNumberFormat="1" applyFont="1" applyAlignment="1">
      <alignment horizontal="center"/>
    </xf>
    <xf numFmtId="175" fontId="184" fillId="35" borderId="76" xfId="0" applyNumberFormat="1" applyFont="1" applyFill="1" applyBorder="1" applyAlignment="1">
      <alignment horizontal="center"/>
    </xf>
    <xf numFmtId="175" fontId="184" fillId="35" borderId="125" xfId="0" applyNumberFormat="1" applyFont="1" applyFill="1" applyBorder="1" applyAlignment="1">
      <alignment horizontal="center"/>
    </xf>
    <xf numFmtId="5" fontId="15" fillId="0" borderId="100" xfId="22" applyNumberFormat="1" applyFont="1" applyBorder="1" applyAlignment="1">
      <alignment horizontal="center"/>
    </xf>
    <xf numFmtId="5" fontId="15" fillId="0" borderId="84" xfId="22" applyNumberFormat="1" applyFont="1" applyBorder="1" applyAlignment="1">
      <alignment horizontal="center"/>
    </xf>
    <xf numFmtId="5" fontId="15" fillId="0" borderId="0" xfId="22" applyNumberFormat="1" applyFont="1" applyFill="1" applyBorder="1" applyAlignment="1">
      <alignment horizontal="center"/>
    </xf>
    <xf numFmtId="0" fontId="194" fillId="0" borderId="62" xfId="0" applyFont="1" applyBorder="1" applyAlignment="1">
      <alignment horizontal="left" vertical="center"/>
    </xf>
    <xf numFmtId="3" fontId="199" fillId="0" borderId="93" xfId="0" applyNumberFormat="1" applyFont="1" applyBorder="1" applyAlignment="1">
      <alignment horizontal="center" vertical="center"/>
    </xf>
    <xf numFmtId="0" fontId="194" fillId="9" borderId="100" xfId="1347" applyFont="1" applyFill="1" applyBorder="1" applyAlignment="1">
      <alignment horizontal="center"/>
    </xf>
    <xf numFmtId="0" fontId="194" fillId="9" borderId="83" xfId="1347" applyFont="1" applyFill="1" applyBorder="1" applyAlignment="1">
      <alignment horizontal="center"/>
    </xf>
    <xf numFmtId="0" fontId="194" fillId="9" borderId="84" xfId="1347" applyFont="1" applyFill="1" applyBorder="1" applyAlignment="1">
      <alignment horizontal="center"/>
    </xf>
    <xf numFmtId="0" fontId="194" fillId="0" borderId="62" xfId="0" applyFont="1" applyBorder="1" applyAlignment="1">
      <alignment horizontal="center" vertical="center"/>
    </xf>
    <xf numFmtId="0" fontId="167" fillId="32" borderId="8" xfId="0" applyFont="1" applyFill="1" applyBorder="1"/>
    <xf numFmtId="0" fontId="169" fillId="32" borderId="8" xfId="0" applyFont="1" applyFill="1" applyBorder="1"/>
    <xf numFmtId="43" fontId="167" fillId="32" borderId="8" xfId="1360" applyFont="1" applyFill="1" applyBorder="1"/>
    <xf numFmtId="0" fontId="181" fillId="7" borderId="8" xfId="0" applyFont="1" applyFill="1" applyBorder="1" applyAlignment="1">
      <alignment horizontal="center" vertical="center"/>
    </xf>
    <xf numFmtId="172" fontId="182" fillId="0" borderId="8" xfId="0" applyNumberFormat="1" applyFont="1" applyBorder="1" applyAlignment="1">
      <alignment vertical="center"/>
    </xf>
    <xf numFmtId="0" fontId="181" fillId="0" borderId="8" xfId="0" applyFont="1" applyBorder="1" applyAlignment="1">
      <alignment vertical="center"/>
    </xf>
    <xf numFmtId="0" fontId="195" fillId="0" borderId="8" xfId="0" applyFont="1" applyBorder="1"/>
    <xf numFmtId="0" fontId="196" fillId="0" borderId="8" xfId="0" applyFont="1" applyBorder="1"/>
    <xf numFmtId="0" fontId="194" fillId="9" borderId="8" xfId="1347" applyFont="1" applyFill="1" applyBorder="1" applyAlignment="1">
      <alignment horizontal="center"/>
    </xf>
    <xf numFmtId="5" fontId="195" fillId="0" borderId="8" xfId="0" applyNumberFormat="1" applyFont="1" applyBorder="1"/>
    <xf numFmtId="5" fontId="195" fillId="40" borderId="8" xfId="0" applyNumberFormat="1" applyFont="1" applyFill="1" applyBorder="1"/>
    <xf numFmtId="5" fontId="195" fillId="39" borderId="8" xfId="0" applyNumberFormat="1" applyFont="1" applyFill="1" applyBorder="1"/>
    <xf numFmtId="0" fontId="0" fillId="44" borderId="8" xfId="0" applyFill="1" applyBorder="1"/>
    <xf numFmtId="0" fontId="220" fillId="44" borderId="8" xfId="0" applyFont="1" applyFill="1" applyBorder="1"/>
    <xf numFmtId="0" fontId="190" fillId="0" borderId="8" xfId="0" applyFont="1" applyBorder="1" applyAlignment="1">
      <alignment horizontal="center"/>
    </xf>
  </cellXfs>
  <cellStyles count="1362">
    <cellStyle name="$ 0 decimal" xfId="131" xr:uid="{00000000-0005-0000-0000-00009F020000}"/>
    <cellStyle name="$ 1 decimal" xfId="132" xr:uid="{00000000-0005-0000-0000-0000A0020000}"/>
    <cellStyle name="$ 2 decimals" xfId="133" xr:uid="{00000000-0005-0000-0000-0000A1020000}"/>
    <cellStyle name="_%(SignOnly)" xfId="134" xr:uid="{00000000-0005-0000-0000-000000000000}"/>
    <cellStyle name="_%(SignSpaceOnly)" xfId="135" xr:uid="{00000000-0005-0000-0000-000001000000}"/>
    <cellStyle name="_%(SignSpaceOnly)_ControlTables" xfId="136" xr:uid="{00000000-0005-0000-0000-000002000000}"/>
    <cellStyle name="_%(SignSpaceOnly)_ControlTablesI" xfId="137" xr:uid="{00000000-0005-0000-0000-000003000000}"/>
    <cellStyle name="_%(SignSpaceOnly)_Database - Comparables" xfId="138" xr:uid="{00000000-0005-0000-0000-000004000000}"/>
    <cellStyle name="_%(SignSpaceOnly)_DB_Eye" xfId="139" xr:uid="{00000000-0005-0000-0000-000005000000}"/>
    <cellStyle name="_%(SignSpaceOnly)_Exec Summary" xfId="140" xr:uid="{00000000-0005-0000-0000-000006000000}"/>
    <cellStyle name="_%(SignSpaceOnly)_Exec Summary_1" xfId="141" xr:uid="{00000000-0005-0000-0000-000007000000}"/>
    <cellStyle name="_%(SignSpaceOnly)_Sheet1" xfId="142" xr:uid="{00000000-0005-0000-0000-000008000000}"/>
    <cellStyle name="_ARI Base Case July 25 TPS1" xfId="143" xr:uid="{00000000-0005-0000-0000-000009000000}"/>
    <cellStyle name="_Comma" xfId="144" xr:uid="{00000000-0005-0000-0000-00000A000000}"/>
    <cellStyle name="_Comma_3-Yr Eyechart" xfId="145" xr:uid="{00000000-0005-0000-0000-00000B000000}"/>
    <cellStyle name="_Comma_Asset Comparisons" xfId="146" xr:uid="{00000000-0005-0000-0000-00000C000000}"/>
    <cellStyle name="_Comma_Balance Sheet" xfId="147" xr:uid="{00000000-0005-0000-0000-00000D000000}"/>
    <cellStyle name="_Comma_Balance Sheet_ControlTables" xfId="148" xr:uid="{00000000-0005-0000-0000-00000E000000}"/>
    <cellStyle name="_Comma_Balance Sheet_ControlTablesI" xfId="149" xr:uid="{00000000-0005-0000-0000-00000F000000}"/>
    <cellStyle name="_Comma_Balance Sheet_Database - Comparables" xfId="150" xr:uid="{00000000-0005-0000-0000-000010000000}"/>
    <cellStyle name="_Comma_Balance Sheet_DB_Eye" xfId="151" xr:uid="{00000000-0005-0000-0000-000011000000}"/>
    <cellStyle name="_Comma_Balance Sheet_Exec Summary" xfId="152" xr:uid="{00000000-0005-0000-0000-000012000000}"/>
    <cellStyle name="_Comma_Balance Sheet_Existing Debt" xfId="153" xr:uid="{00000000-0005-0000-0000-000013000000}"/>
    <cellStyle name="_Comma_Balance Sheet_Kor-Port_LEQ_6-10-04_CR_Final-Struct_FINAL" xfId="154" xr:uid="{00000000-0005-0000-0000-000014000000}"/>
    <cellStyle name="_Comma_Balance Sheet_Mallard's_Landing_LEQ_8-17-04" xfId="155" xr:uid="{00000000-0005-0000-0000-000015000000}"/>
    <cellStyle name="_Comma_Balance Sheet_Quick Property Input" xfId="156" xr:uid="{00000000-0005-0000-0000-000016000000}"/>
    <cellStyle name="_Comma_Balance Sheet_Sheet1" xfId="157" xr:uid="{00000000-0005-0000-0000-000017000000}"/>
    <cellStyle name="_Comma_Balance Sheet_Sheet1_Data Tape" xfId="158" xr:uid="{00000000-0005-0000-0000-000018000000}"/>
    <cellStyle name="_Comma_Balance Sheet_Sheet1_Deal Assumptions" xfId="159" xr:uid="{00000000-0005-0000-0000-000019000000}"/>
    <cellStyle name="_Comma_Balance Sheet_Sheet1_RE Valuation 2" xfId="160" xr:uid="{00000000-0005-0000-0000-00001A000000}"/>
    <cellStyle name="_Comma_Balance Sheet_Sheet2" xfId="161" xr:uid="{00000000-0005-0000-0000-00001B000000}"/>
    <cellStyle name="_Comma_ControlTables" xfId="162" xr:uid="{00000000-0005-0000-0000-00001C000000}"/>
    <cellStyle name="_Comma_ControlTablesI" xfId="163" xr:uid="{00000000-0005-0000-0000-00001D000000}"/>
    <cellStyle name="_Comma_Cost Of Funds" xfId="164" xr:uid="{00000000-0005-0000-0000-00001E000000}"/>
    <cellStyle name="_Comma_Criteria" xfId="165" xr:uid="{00000000-0005-0000-0000-00001F000000}"/>
    <cellStyle name="_Comma_Criteria Test Export" xfId="166" xr:uid="{00000000-0005-0000-0000-000020000000}"/>
    <cellStyle name="_Comma_Criteria_ControlTables" xfId="167" xr:uid="{00000000-0005-0000-0000-000021000000}"/>
    <cellStyle name="_Comma_Criteria_ControlTablesI" xfId="168" xr:uid="{00000000-0005-0000-0000-000022000000}"/>
    <cellStyle name="_Comma_Criteria_Database - Comparables" xfId="169" xr:uid="{00000000-0005-0000-0000-000023000000}"/>
    <cellStyle name="_Comma_Criteria_DB_Eye" xfId="170" xr:uid="{00000000-0005-0000-0000-000024000000}"/>
    <cellStyle name="_Comma_Criteria_Exec Summary" xfId="171" xr:uid="{00000000-0005-0000-0000-000025000000}"/>
    <cellStyle name="_Comma_Criteria_Existing Debt" xfId="172" xr:uid="{00000000-0005-0000-0000-000026000000}"/>
    <cellStyle name="_Comma_Criteria_Kor-Port_LEQ_6-10-04_CR_Final-Struct_FINAL" xfId="173" xr:uid="{00000000-0005-0000-0000-000027000000}"/>
    <cellStyle name="_Comma_Criteria_Mallard's_Landing_LEQ_8-17-04" xfId="174" xr:uid="{00000000-0005-0000-0000-000028000000}"/>
    <cellStyle name="_Comma_Criteria_Quick Property Input" xfId="175" xr:uid="{00000000-0005-0000-0000-000029000000}"/>
    <cellStyle name="_Comma_Criteria_Sheet1" xfId="176" xr:uid="{00000000-0005-0000-0000-00002A000000}"/>
    <cellStyle name="_Comma_Criteria_Sheet1_Data Tape" xfId="177" xr:uid="{00000000-0005-0000-0000-00002B000000}"/>
    <cellStyle name="_Comma_Criteria_Sheet1_Deal Assumptions" xfId="178" xr:uid="{00000000-0005-0000-0000-00002C000000}"/>
    <cellStyle name="_Comma_Criteria_Sheet1_RE Valuation 2" xfId="179" xr:uid="{00000000-0005-0000-0000-00002D000000}"/>
    <cellStyle name="_Comma_Criteria_Sheet2" xfId="180" xr:uid="{00000000-0005-0000-0000-00002E000000}"/>
    <cellStyle name="_Comma_Data Tape" xfId="181" xr:uid="{00000000-0005-0000-0000-00002F000000}"/>
    <cellStyle name="_Comma_Data Tape_1" xfId="182" xr:uid="{00000000-0005-0000-0000-000030000000}"/>
    <cellStyle name="_Comma_Data Tape_ControlTables" xfId="183" xr:uid="{00000000-0005-0000-0000-000031000000}"/>
    <cellStyle name="_Comma_Data Tape_ControlTablesI" xfId="184" xr:uid="{00000000-0005-0000-0000-000032000000}"/>
    <cellStyle name="_Comma_Data Tape_Database - Comparables" xfId="185" xr:uid="{00000000-0005-0000-0000-000033000000}"/>
    <cellStyle name="_Comma_Data Tape_DB_Eye" xfId="186" xr:uid="{00000000-0005-0000-0000-000034000000}"/>
    <cellStyle name="_Comma_Data Tape_Exec Summary" xfId="187" xr:uid="{00000000-0005-0000-0000-000035000000}"/>
    <cellStyle name="_Comma_Data Tape_Existing Debt" xfId="188" xr:uid="{00000000-0005-0000-0000-000036000000}"/>
    <cellStyle name="_Comma_Data Tape_Kor-Port_LEQ_6-10-04_CR_Final-Struct_FINAL" xfId="189" xr:uid="{00000000-0005-0000-0000-000037000000}"/>
    <cellStyle name="_Comma_Data Tape_Mallard's_Landing_LEQ_8-17-04" xfId="190" xr:uid="{00000000-0005-0000-0000-000038000000}"/>
    <cellStyle name="_Comma_Data Tape_Quick Property Input" xfId="191" xr:uid="{00000000-0005-0000-0000-000039000000}"/>
    <cellStyle name="_Comma_Data Tape_Sheet1" xfId="192" xr:uid="{00000000-0005-0000-0000-00003A000000}"/>
    <cellStyle name="_Comma_Data Tape_Sheet1_Data Tape" xfId="193" xr:uid="{00000000-0005-0000-0000-00003B000000}"/>
    <cellStyle name="_Comma_Data Tape_Sheet1_Deal Assumptions" xfId="194" xr:uid="{00000000-0005-0000-0000-00003C000000}"/>
    <cellStyle name="_Comma_Data Tape_Sheet1_RE Valuation 2" xfId="195" xr:uid="{00000000-0005-0000-0000-00003D000000}"/>
    <cellStyle name="_Comma_Data Tape_Sheet2" xfId="196" xr:uid="{00000000-0005-0000-0000-00003E000000}"/>
    <cellStyle name="_Comma_Data_Tape" xfId="197" xr:uid="{00000000-0005-0000-0000-00003F000000}"/>
    <cellStyle name="_Comma_Database - Comparables" xfId="198" xr:uid="{00000000-0005-0000-0000-000040000000}"/>
    <cellStyle name="_Comma_Database - Economics" xfId="199" xr:uid="{00000000-0005-0000-0000-000041000000}"/>
    <cellStyle name="_Comma_DB Eye" xfId="200" xr:uid="{00000000-0005-0000-0000-000042000000}"/>
    <cellStyle name="_Comma_DB_Eye" xfId="201" xr:uid="{00000000-0005-0000-0000-000043000000}"/>
    <cellStyle name="_Comma_Deal Input" xfId="202" xr:uid="{00000000-0005-0000-0000-000044000000}"/>
    <cellStyle name="_Comma_Direct Cap Eye" xfId="203" xr:uid="{00000000-0005-0000-0000-000045000000}"/>
    <cellStyle name="_Comma_DPEM2005_vBetatest6" xfId="204" xr:uid="{00000000-0005-0000-0000-000046000000}"/>
    <cellStyle name="_Comma_ETR" xfId="205" xr:uid="{00000000-0005-0000-0000-000047000000}"/>
    <cellStyle name="_Comma_Exec Summary" xfId="206" xr:uid="{00000000-0005-0000-0000-000048000000}"/>
    <cellStyle name="_Comma_Existing Debt" xfId="207" xr:uid="{00000000-0005-0000-0000-000049000000}"/>
    <cellStyle name="_Comma_EyeChart" xfId="208" xr:uid="{00000000-0005-0000-0000-00004A000000}"/>
    <cellStyle name="_Comma_EyeChart 090503" xfId="209" xr:uid="{00000000-0005-0000-0000-00004B000000}"/>
    <cellStyle name="_Comma_Input" xfId="210" xr:uid="{00000000-0005-0000-0000-00004C000000}"/>
    <cellStyle name="_Comma_Input_1" xfId="211" xr:uid="{00000000-0005-0000-0000-00004D000000}"/>
    <cellStyle name="_Comma_Input_ControlTables" xfId="212" xr:uid="{00000000-0005-0000-0000-00004E000000}"/>
    <cellStyle name="_Comma_Input_ControlTablesI" xfId="213" xr:uid="{00000000-0005-0000-0000-00004F000000}"/>
    <cellStyle name="_Comma_Input_Data Tape" xfId="214" xr:uid="{00000000-0005-0000-0000-000050000000}"/>
    <cellStyle name="_Comma_Input_Database - Comparables" xfId="215" xr:uid="{00000000-0005-0000-0000-000051000000}"/>
    <cellStyle name="_Comma_Input_Database - Economics" xfId="216" xr:uid="{00000000-0005-0000-0000-000052000000}"/>
    <cellStyle name="_Comma_Input_DB_Eye" xfId="217" xr:uid="{00000000-0005-0000-0000-000053000000}"/>
    <cellStyle name="_Comma_Input_Exec Summary" xfId="218" xr:uid="{00000000-0005-0000-0000-000054000000}"/>
    <cellStyle name="_Comma_Input_Existing Debt" xfId="219" xr:uid="{00000000-0005-0000-0000-000055000000}"/>
    <cellStyle name="_Comma_Input_Kor-Port_LEQ_6-10-04_CR_Final-Struct_FINAL" xfId="220" xr:uid="{00000000-0005-0000-0000-000056000000}"/>
    <cellStyle name="_Comma_Input_Mallard's_Landing_LEQ_8-17-04" xfId="221" xr:uid="{00000000-0005-0000-0000-000057000000}"/>
    <cellStyle name="_Comma_Input_Quick Property Input" xfId="222" xr:uid="{00000000-0005-0000-0000-000058000000}"/>
    <cellStyle name="_Comma_Input_Sheet1" xfId="223" xr:uid="{00000000-0005-0000-0000-000059000000}"/>
    <cellStyle name="_Comma_Input_Sheet1_Data Tape" xfId="224" xr:uid="{00000000-0005-0000-0000-00005A000000}"/>
    <cellStyle name="_Comma_Input_Sheet1_Deal Assumptions" xfId="225" xr:uid="{00000000-0005-0000-0000-00005B000000}"/>
    <cellStyle name="_Comma_Input_Sheet1_RE Valuation 2" xfId="226" xr:uid="{00000000-0005-0000-0000-00005C000000}"/>
    <cellStyle name="_Comma_Input_Sheet2" xfId="227" xr:uid="{00000000-0005-0000-0000-00005D000000}"/>
    <cellStyle name="_Comma_JV Economics" xfId="228" xr:uid="{00000000-0005-0000-0000-00005E000000}"/>
    <cellStyle name="_Comma_M&amp;A Feed" xfId="229" xr:uid="{00000000-0005-0000-0000-00005F000000}"/>
    <cellStyle name="_Comma_NPV Case Eyechart" xfId="230" xr:uid="{00000000-0005-0000-0000-000060000000}"/>
    <cellStyle name="_Comma_Pools" xfId="231" xr:uid="{00000000-0005-0000-0000-000061000000}"/>
    <cellStyle name="_Comma_Pools_1" xfId="232" xr:uid="{00000000-0005-0000-0000-000062000000}"/>
    <cellStyle name="_Comma_Portfolio Valuation" xfId="233" xr:uid="{00000000-0005-0000-0000-000063000000}"/>
    <cellStyle name="_Comma_Pricing" xfId="234" xr:uid="{00000000-0005-0000-0000-000064000000}"/>
    <cellStyle name="_Comma_Prop 13" xfId="235" xr:uid="{00000000-0005-0000-0000-000065000000}"/>
    <cellStyle name="_Comma_Prop 13 Data" xfId="236" xr:uid="{00000000-0005-0000-0000-000066000000}"/>
    <cellStyle name="_Comma_Prop 13 Summary-11-10" xfId="237" xr:uid="{00000000-0005-0000-0000-000067000000}"/>
    <cellStyle name="_Comma_Property Assumptions" xfId="238" xr:uid="{00000000-0005-0000-0000-000068000000}"/>
    <cellStyle name="_Comma_Property Assumptions_1" xfId="239" xr:uid="{00000000-0005-0000-0000-000069000000}"/>
    <cellStyle name="_Comma_Quick Property Input" xfId="240" xr:uid="{00000000-0005-0000-0000-00006A000000}"/>
    <cellStyle name="_Comma_Senario Input Assumptions" xfId="241" xr:uid="{00000000-0005-0000-0000-00006B000000}"/>
    <cellStyle name="_Comma_Senario Input Assumptions_ControlTables" xfId="242" xr:uid="{00000000-0005-0000-0000-00006C000000}"/>
    <cellStyle name="_Comma_Senario Input Assumptions_ControlTablesI" xfId="243" xr:uid="{00000000-0005-0000-0000-00006D000000}"/>
    <cellStyle name="_Comma_Senario Input Assumptions_Database - Comparables" xfId="244" xr:uid="{00000000-0005-0000-0000-00006E000000}"/>
    <cellStyle name="_Comma_Senario Input Assumptions_DB_Eye" xfId="245" xr:uid="{00000000-0005-0000-0000-00006F000000}"/>
    <cellStyle name="_Comma_Senario Input Assumptions_Exec Summary" xfId="246" xr:uid="{00000000-0005-0000-0000-000070000000}"/>
    <cellStyle name="_Comma_Senario Input Assumptions_Existing Debt" xfId="247" xr:uid="{00000000-0005-0000-0000-000071000000}"/>
    <cellStyle name="_Comma_Senario Input Assumptions_Kor-Port_LEQ_6-10-04_CR_Final-Struct_FINAL" xfId="248" xr:uid="{00000000-0005-0000-0000-000072000000}"/>
    <cellStyle name="_Comma_Senario Input Assumptions_Mallard's_Landing_LEQ_8-17-04" xfId="249" xr:uid="{00000000-0005-0000-0000-000073000000}"/>
    <cellStyle name="_Comma_Senario Input Assumptions_Quick Property Input" xfId="250" xr:uid="{00000000-0005-0000-0000-000074000000}"/>
    <cellStyle name="_Comma_Senario Input Assumptions_Sheet1" xfId="251" xr:uid="{00000000-0005-0000-0000-000075000000}"/>
    <cellStyle name="_Comma_Senario Input Assumptions_Sheet1_Data Tape" xfId="252" xr:uid="{00000000-0005-0000-0000-000076000000}"/>
    <cellStyle name="_Comma_Senario Input Assumptions_Sheet1_Deal Assumptions" xfId="253" xr:uid="{00000000-0005-0000-0000-000077000000}"/>
    <cellStyle name="_Comma_Senario Input Assumptions_Sheet1_RE Valuation 2" xfId="254" xr:uid="{00000000-0005-0000-0000-000078000000}"/>
    <cellStyle name="_Comma_Senario Input Assumptions_Sheet2" xfId="255" xr:uid="{00000000-0005-0000-0000-000079000000}"/>
    <cellStyle name="_Comma_Sheet1" xfId="256" xr:uid="{00000000-0005-0000-0000-00007A000000}"/>
    <cellStyle name="_Comma_Sheet1_1" xfId="257" xr:uid="{00000000-0005-0000-0000-00007B000000}"/>
    <cellStyle name="_Comma_Sheet1_3-Yr Eyechart" xfId="258" xr:uid="{00000000-0005-0000-0000-00007C000000}"/>
    <cellStyle name="_Comma_Sheet1_Balance Sheet" xfId="259" xr:uid="{00000000-0005-0000-0000-00007D000000}"/>
    <cellStyle name="_Comma_Sheet1_Cost Of Funds" xfId="260" xr:uid="{00000000-0005-0000-0000-00007E000000}"/>
    <cellStyle name="_Comma_Sheet1_Criteria" xfId="261" xr:uid="{00000000-0005-0000-0000-00007F000000}"/>
    <cellStyle name="_Comma_Sheet1_Criteria Test Export" xfId="262" xr:uid="{00000000-0005-0000-0000-000080000000}"/>
    <cellStyle name="_Comma_Sheet1_Data Tape" xfId="263" xr:uid="{00000000-0005-0000-0000-000081000000}"/>
    <cellStyle name="_Comma_Sheet1_Data Tape_1" xfId="264" xr:uid="{00000000-0005-0000-0000-000082000000}"/>
    <cellStyle name="_Comma_Sheet1_Data_Tape" xfId="265" xr:uid="{00000000-0005-0000-0000-000083000000}"/>
    <cellStyle name="_Comma_Sheet1_Data_Tape_ControlTables" xfId="266" xr:uid="{00000000-0005-0000-0000-000084000000}"/>
    <cellStyle name="_Comma_Sheet1_Data_Tape_ControlTablesI" xfId="267" xr:uid="{00000000-0005-0000-0000-000085000000}"/>
    <cellStyle name="_Comma_Sheet1_Data_Tape_Database - Comparables" xfId="268" xr:uid="{00000000-0005-0000-0000-000086000000}"/>
    <cellStyle name="_Comma_Sheet1_Data_Tape_DB_Eye" xfId="269" xr:uid="{00000000-0005-0000-0000-000087000000}"/>
    <cellStyle name="_Comma_Sheet1_Data_Tape_Exec Summary" xfId="270" xr:uid="{00000000-0005-0000-0000-000088000000}"/>
    <cellStyle name="_Comma_Sheet1_Data_Tape_Existing Debt" xfId="271" xr:uid="{00000000-0005-0000-0000-000089000000}"/>
    <cellStyle name="_Comma_Sheet1_Data_Tape_Kor-Port_LEQ_6-10-04_CR_Final-Struct_FINAL" xfId="272" xr:uid="{00000000-0005-0000-0000-00008A000000}"/>
    <cellStyle name="_Comma_Sheet1_Data_Tape_Mallard's_Landing_LEQ_8-17-04" xfId="273" xr:uid="{00000000-0005-0000-0000-00008B000000}"/>
    <cellStyle name="_Comma_Sheet1_Data_Tape_Quick Property Input" xfId="274" xr:uid="{00000000-0005-0000-0000-00008C000000}"/>
    <cellStyle name="_Comma_Sheet1_Data_Tape_Sheet1" xfId="275" xr:uid="{00000000-0005-0000-0000-00008D000000}"/>
    <cellStyle name="_Comma_Sheet1_Data_Tape_Sheet1_Data Tape" xfId="276" xr:uid="{00000000-0005-0000-0000-00008E000000}"/>
    <cellStyle name="_Comma_Sheet1_Data_Tape_Sheet1_Deal Assumptions" xfId="277" xr:uid="{00000000-0005-0000-0000-00008F000000}"/>
    <cellStyle name="_Comma_Sheet1_Data_Tape_Sheet1_RE Valuation 2" xfId="278" xr:uid="{00000000-0005-0000-0000-000090000000}"/>
    <cellStyle name="_Comma_Sheet1_Data_Tape_Sheet2" xfId="279" xr:uid="{00000000-0005-0000-0000-000091000000}"/>
    <cellStyle name="_Comma_Sheet1_Database - Economics" xfId="280" xr:uid="{00000000-0005-0000-0000-000092000000}"/>
    <cellStyle name="_Comma_Sheet1_Deal Input" xfId="281" xr:uid="{00000000-0005-0000-0000-000093000000}"/>
    <cellStyle name="_Comma_Sheet1_Direct Cap Eye" xfId="282" xr:uid="{00000000-0005-0000-0000-000094000000}"/>
    <cellStyle name="_Comma_Sheet1_DPEM2005_vBetatest6" xfId="283" xr:uid="{00000000-0005-0000-0000-000095000000}"/>
    <cellStyle name="_Comma_Sheet1_ETR" xfId="284" xr:uid="{00000000-0005-0000-0000-000096000000}"/>
    <cellStyle name="_Comma_Sheet1_Existing Debt" xfId="285" xr:uid="{00000000-0005-0000-0000-000097000000}"/>
    <cellStyle name="_Comma_Sheet1_Input" xfId="286" xr:uid="{00000000-0005-0000-0000-000098000000}"/>
    <cellStyle name="_Comma_Sheet1_Input_1" xfId="287" xr:uid="{00000000-0005-0000-0000-000099000000}"/>
    <cellStyle name="_Comma_Sheet1_Input_Data Tape" xfId="288" xr:uid="{00000000-0005-0000-0000-00009A000000}"/>
    <cellStyle name="_Comma_Sheet1_Input_Database - Economics" xfId="289" xr:uid="{00000000-0005-0000-0000-00009B000000}"/>
    <cellStyle name="_Comma_Sheet1_M&amp;A Feed" xfId="290" xr:uid="{00000000-0005-0000-0000-00009C000000}"/>
    <cellStyle name="_Comma_Sheet1_NPV Case Eyechart" xfId="291" xr:uid="{00000000-0005-0000-0000-00009D000000}"/>
    <cellStyle name="_Comma_Sheet1_Pools" xfId="292" xr:uid="{00000000-0005-0000-0000-00009E000000}"/>
    <cellStyle name="_Comma_Sheet1_Pools_1" xfId="293" xr:uid="{00000000-0005-0000-0000-00009F000000}"/>
    <cellStyle name="_Comma_Sheet1_Pools_ControlTables" xfId="294" xr:uid="{00000000-0005-0000-0000-0000A0000000}"/>
    <cellStyle name="_Comma_Sheet1_Pools_ControlTablesI" xfId="295" xr:uid="{00000000-0005-0000-0000-0000A1000000}"/>
    <cellStyle name="_Comma_Sheet1_Pools_Database - Comparables" xfId="296" xr:uid="{00000000-0005-0000-0000-0000A2000000}"/>
    <cellStyle name="_Comma_Sheet1_Pools_DB_Eye" xfId="297" xr:uid="{00000000-0005-0000-0000-0000A3000000}"/>
    <cellStyle name="_Comma_Sheet1_Pools_Exec Summary" xfId="298" xr:uid="{00000000-0005-0000-0000-0000A4000000}"/>
    <cellStyle name="_Comma_Sheet1_Pools_Existing Debt" xfId="299" xr:uid="{00000000-0005-0000-0000-0000A5000000}"/>
    <cellStyle name="_Comma_Sheet1_Pools_Kor-Port_LEQ_6-10-04_CR_Final-Struct_FINAL" xfId="300" xr:uid="{00000000-0005-0000-0000-0000A6000000}"/>
    <cellStyle name="_Comma_Sheet1_Pools_Mallard's_Landing_LEQ_8-17-04" xfId="301" xr:uid="{00000000-0005-0000-0000-0000A7000000}"/>
    <cellStyle name="_Comma_Sheet1_Pools_Quick Property Input" xfId="302" xr:uid="{00000000-0005-0000-0000-0000A8000000}"/>
    <cellStyle name="_Comma_Sheet1_Pools_Sheet1" xfId="303" xr:uid="{00000000-0005-0000-0000-0000A9000000}"/>
    <cellStyle name="_Comma_Sheet1_Pools_Sheet1_Data Tape" xfId="304" xr:uid="{00000000-0005-0000-0000-0000AA000000}"/>
    <cellStyle name="_Comma_Sheet1_Pools_Sheet1_Deal Assumptions" xfId="305" xr:uid="{00000000-0005-0000-0000-0000AB000000}"/>
    <cellStyle name="_Comma_Sheet1_Pools_Sheet1_RE Valuation 2" xfId="306" xr:uid="{00000000-0005-0000-0000-0000AC000000}"/>
    <cellStyle name="_Comma_Sheet1_Pools_Sheet2" xfId="307" xr:uid="{00000000-0005-0000-0000-0000AD000000}"/>
    <cellStyle name="_Comma_Sheet1_Portfolio Valuation" xfId="308" xr:uid="{00000000-0005-0000-0000-0000AE000000}"/>
    <cellStyle name="_Comma_Sheet1_Prop 13" xfId="309" xr:uid="{00000000-0005-0000-0000-0000AF000000}"/>
    <cellStyle name="_Comma_Sheet1_Prop 13 Data" xfId="310" xr:uid="{00000000-0005-0000-0000-0000B0000000}"/>
    <cellStyle name="_Comma_Sheet1_Prop 13 Summary-11-10" xfId="311" xr:uid="{00000000-0005-0000-0000-0000B1000000}"/>
    <cellStyle name="_Comma_Sheet1_Property Assumptions" xfId="312" xr:uid="{00000000-0005-0000-0000-0000B2000000}"/>
    <cellStyle name="_Comma_Sheet1_Property Assumptions_1" xfId="313" xr:uid="{00000000-0005-0000-0000-0000B3000000}"/>
    <cellStyle name="_Comma_Sheet1_Quick Property Input" xfId="314" xr:uid="{00000000-0005-0000-0000-0000B4000000}"/>
    <cellStyle name="_Comma_Sheet1_Senario Input Assumptions" xfId="315" xr:uid="{00000000-0005-0000-0000-0000B5000000}"/>
    <cellStyle name="_Comma_Sheet1_Sheet1" xfId="316" xr:uid="{00000000-0005-0000-0000-0000B6000000}"/>
    <cellStyle name="_Comma_Sheet1_Sheet2" xfId="317" xr:uid="{00000000-0005-0000-0000-0000B7000000}"/>
    <cellStyle name="_Comma_Sheet1_Sheet2_1" xfId="318" xr:uid="{00000000-0005-0000-0000-0000B8000000}"/>
    <cellStyle name="_Comma_Sheet1_Sheet3" xfId="319" xr:uid="{00000000-0005-0000-0000-0000B9000000}"/>
    <cellStyle name="_Comma_Sheet1_Sheet5" xfId="320" xr:uid="{00000000-0005-0000-0000-0000BA000000}"/>
    <cellStyle name="_Comma_Sheet1_Structure Model_2003_test2" xfId="321" xr:uid="{00000000-0005-0000-0000-0000BB000000}"/>
    <cellStyle name="_Comma_Sheet2" xfId="322" xr:uid="{00000000-0005-0000-0000-0000BC000000}"/>
    <cellStyle name="_Comma_Sheet2_1" xfId="323" xr:uid="{00000000-0005-0000-0000-0000BD000000}"/>
    <cellStyle name="_Comma_Sheet3" xfId="324" xr:uid="{00000000-0005-0000-0000-0000BE000000}"/>
    <cellStyle name="_Comma_Sheet3_1" xfId="325" xr:uid="{00000000-0005-0000-0000-0000BF000000}"/>
    <cellStyle name="_Comma_Sheet4" xfId="326" xr:uid="{00000000-0005-0000-0000-0000C0000000}"/>
    <cellStyle name="_Comma_Sheet5" xfId="327" xr:uid="{00000000-0005-0000-0000-0000C1000000}"/>
    <cellStyle name="_Comma_Structure Model_2003_test2" xfId="328" xr:uid="{00000000-0005-0000-0000-0000C2000000}"/>
    <cellStyle name="_Comma_Structure Model_2003_test2_ControlTables" xfId="329" xr:uid="{00000000-0005-0000-0000-0000C3000000}"/>
    <cellStyle name="_Comma_Structure Model_2003_test2_ControlTablesI" xfId="330" xr:uid="{00000000-0005-0000-0000-0000C4000000}"/>
    <cellStyle name="_Comma_Structure Model_2003_test2_Database - Comparables" xfId="331" xr:uid="{00000000-0005-0000-0000-0000C5000000}"/>
    <cellStyle name="_Comma_Structure Model_2003_test2_DB_Eye" xfId="332" xr:uid="{00000000-0005-0000-0000-0000C6000000}"/>
    <cellStyle name="_Comma_Structure Model_2003_test2_Exec Summary" xfId="333" xr:uid="{00000000-0005-0000-0000-0000C7000000}"/>
    <cellStyle name="_Comma_Structure Model_2003_test2_Existing Debt" xfId="334" xr:uid="{00000000-0005-0000-0000-0000C8000000}"/>
    <cellStyle name="_Comma_Structure Model_2003_test2_Kor-Port_LEQ_6-10-04_CR_Final-Struct_FINAL" xfId="335" xr:uid="{00000000-0005-0000-0000-0000C9000000}"/>
    <cellStyle name="_Comma_Structure Model_2003_test2_Mallard's_Landing_LEQ_8-17-04" xfId="336" xr:uid="{00000000-0005-0000-0000-0000CA000000}"/>
    <cellStyle name="_Comma_Structure Model_2003_test2_Quick Property Input" xfId="337" xr:uid="{00000000-0005-0000-0000-0000CB000000}"/>
    <cellStyle name="_Comma_Structure Model_2003_test2_Sheet1" xfId="338" xr:uid="{00000000-0005-0000-0000-0000CC000000}"/>
    <cellStyle name="_Comma_Structure Model_2003_test2_Sheet1_Data Tape" xfId="339" xr:uid="{00000000-0005-0000-0000-0000CD000000}"/>
    <cellStyle name="_Comma_Structure Model_2003_test2_Sheet1_Deal Assumptions" xfId="340" xr:uid="{00000000-0005-0000-0000-0000CE000000}"/>
    <cellStyle name="_Comma_Structure Model_2003_test2_Sheet1_RE Valuation 2" xfId="341" xr:uid="{00000000-0005-0000-0000-0000CF000000}"/>
    <cellStyle name="_Comma_Structure Model_2003_test2_Sheet2" xfId="342" xr:uid="{00000000-0005-0000-0000-0000D0000000}"/>
    <cellStyle name="_Currency" xfId="343" xr:uid="{00000000-0005-0000-0000-0000D1000000}"/>
    <cellStyle name="_Currency_03-05-31 Final OBS Reports" xfId="344" xr:uid="{00000000-0005-0000-0000-0000D2000000}"/>
    <cellStyle name="_Currency_3-Yr Eyechart" xfId="345" xr:uid="{00000000-0005-0000-0000-0000D3000000}"/>
    <cellStyle name="_Currency_Alamosa Standalone6" xfId="346" xr:uid="{00000000-0005-0000-0000-0000D4000000}"/>
    <cellStyle name="_Currency_ARI Base Case July 25 TPS1" xfId="347" xr:uid="{00000000-0005-0000-0000-0000D5000000}"/>
    <cellStyle name="_Currency_Balance Sheet" xfId="348" xr:uid="{00000000-0005-0000-0000-0000D6000000}"/>
    <cellStyle name="_Currency_Balance Sheet_ControlTables" xfId="349" xr:uid="{00000000-0005-0000-0000-0000D7000000}"/>
    <cellStyle name="_Currency_Balance Sheet_ControlTablesI" xfId="350" xr:uid="{00000000-0005-0000-0000-0000D8000000}"/>
    <cellStyle name="_Currency_Balance Sheet_Database - Comparables" xfId="351" xr:uid="{00000000-0005-0000-0000-0000D9000000}"/>
    <cellStyle name="_Currency_Balance Sheet_DB_Eye" xfId="352" xr:uid="{00000000-0005-0000-0000-0000DA000000}"/>
    <cellStyle name="_Currency_Balance Sheet_Exec Summary" xfId="353" xr:uid="{00000000-0005-0000-0000-0000DB000000}"/>
    <cellStyle name="_Currency_Balance Sheet_Exec Summary_1" xfId="354" xr:uid="{00000000-0005-0000-0000-0000DC000000}"/>
    <cellStyle name="_Currency_Balance Sheet_Sheet1" xfId="355" xr:uid="{00000000-0005-0000-0000-0000DD000000}"/>
    <cellStyle name="_Currency_ControlTables" xfId="356" xr:uid="{00000000-0005-0000-0000-0000DE000000}"/>
    <cellStyle name="_Currency_ControlTablesI" xfId="357" xr:uid="{00000000-0005-0000-0000-0000DF000000}"/>
    <cellStyle name="_Currency_Cost Of Funds" xfId="358" xr:uid="{00000000-0005-0000-0000-0000E0000000}"/>
    <cellStyle name="_Currency_Criteria" xfId="359" xr:uid="{00000000-0005-0000-0000-0000E1000000}"/>
    <cellStyle name="_Currency_Criteria Test Export" xfId="360" xr:uid="{00000000-0005-0000-0000-0000E2000000}"/>
    <cellStyle name="_Currency_Criteria_ControlTables" xfId="361" xr:uid="{00000000-0005-0000-0000-0000E3000000}"/>
    <cellStyle name="_Currency_Criteria_ControlTablesI" xfId="362" xr:uid="{00000000-0005-0000-0000-0000E4000000}"/>
    <cellStyle name="_Currency_Criteria_Database - Comparables" xfId="363" xr:uid="{00000000-0005-0000-0000-0000E5000000}"/>
    <cellStyle name="_Currency_Criteria_DB_Eye" xfId="364" xr:uid="{00000000-0005-0000-0000-0000E6000000}"/>
    <cellStyle name="_Currency_Criteria_Exec Summary" xfId="365" xr:uid="{00000000-0005-0000-0000-0000E7000000}"/>
    <cellStyle name="_Currency_Criteria_Exec Summary_1" xfId="366" xr:uid="{00000000-0005-0000-0000-0000E8000000}"/>
    <cellStyle name="_Currency_Criteria_Sheet1" xfId="367" xr:uid="{00000000-0005-0000-0000-0000E9000000}"/>
    <cellStyle name="_Currency_Data Tape" xfId="368" xr:uid="{00000000-0005-0000-0000-0000EA000000}"/>
    <cellStyle name="_Currency_Data Tape_1" xfId="369" xr:uid="{00000000-0005-0000-0000-0000EB000000}"/>
    <cellStyle name="_Currency_Data Tape_ControlTables" xfId="370" xr:uid="{00000000-0005-0000-0000-0000EC000000}"/>
    <cellStyle name="_Currency_Data Tape_ControlTablesI" xfId="371" xr:uid="{00000000-0005-0000-0000-0000ED000000}"/>
    <cellStyle name="_Currency_Data Tape_Database - Comparables" xfId="372" xr:uid="{00000000-0005-0000-0000-0000EE000000}"/>
    <cellStyle name="_Currency_Data Tape_DB_Eye" xfId="373" xr:uid="{00000000-0005-0000-0000-0000EF000000}"/>
    <cellStyle name="_Currency_Data Tape_Exec Summary" xfId="374" xr:uid="{00000000-0005-0000-0000-0000F0000000}"/>
    <cellStyle name="_Currency_Data Tape_Exec Summary_1" xfId="375" xr:uid="{00000000-0005-0000-0000-0000F1000000}"/>
    <cellStyle name="_Currency_Data Tape_Sheet1" xfId="376" xr:uid="{00000000-0005-0000-0000-0000F2000000}"/>
    <cellStyle name="_Currency_Data_Tape" xfId="377" xr:uid="{00000000-0005-0000-0000-0000F3000000}"/>
    <cellStyle name="_Currency_Data_Tape_ControlTables" xfId="378" xr:uid="{00000000-0005-0000-0000-0000F4000000}"/>
    <cellStyle name="_Currency_Data_Tape_ControlTablesI" xfId="379" xr:uid="{00000000-0005-0000-0000-0000F5000000}"/>
    <cellStyle name="_Currency_Data_Tape_Database - Comparables" xfId="380" xr:uid="{00000000-0005-0000-0000-0000F6000000}"/>
    <cellStyle name="_Currency_Data_Tape_DB_Eye" xfId="381" xr:uid="{00000000-0005-0000-0000-0000F7000000}"/>
    <cellStyle name="_Currency_Data_Tape_Exec Summary" xfId="382" xr:uid="{00000000-0005-0000-0000-0000F8000000}"/>
    <cellStyle name="_Currency_Data_Tape_Exec Summary_1" xfId="383" xr:uid="{00000000-0005-0000-0000-0000F9000000}"/>
    <cellStyle name="_Currency_Data_Tape_Sheet1" xfId="384" xr:uid="{00000000-0005-0000-0000-0000FA000000}"/>
    <cellStyle name="_Currency_Database - Comparables" xfId="385" xr:uid="{00000000-0005-0000-0000-0000FB000000}"/>
    <cellStyle name="_Currency_Database - Economics" xfId="386" xr:uid="{00000000-0005-0000-0000-0000FC000000}"/>
    <cellStyle name="_Currency_DB_Eye" xfId="387" xr:uid="{00000000-0005-0000-0000-0000FD000000}"/>
    <cellStyle name="_Currency_Deal Input" xfId="388" xr:uid="{00000000-0005-0000-0000-0000FE000000}"/>
    <cellStyle name="_Currency_Direct Cap Eye" xfId="389" xr:uid="{00000000-0005-0000-0000-0000FF000000}"/>
    <cellStyle name="_Currency_DPEM2005_vBetatest6" xfId="390" xr:uid="{00000000-0005-0000-0000-000000010000}"/>
    <cellStyle name="_Currency_ETR" xfId="391" xr:uid="{00000000-0005-0000-0000-000001010000}"/>
    <cellStyle name="_Currency_Exec Summary" xfId="392" xr:uid="{00000000-0005-0000-0000-000002010000}"/>
    <cellStyle name="_Currency_Exec Summary_1" xfId="393" xr:uid="{00000000-0005-0000-0000-000003010000}"/>
    <cellStyle name="_Currency_Existing Debt" xfId="394" xr:uid="{00000000-0005-0000-0000-000004010000}"/>
    <cellStyle name="_Currency_Existing Debt_1" xfId="395" xr:uid="{00000000-0005-0000-0000-000005010000}"/>
    <cellStyle name="_Currency_EyeChart" xfId="396" xr:uid="{00000000-0005-0000-0000-000006010000}"/>
    <cellStyle name="_Currency_EyeChart 090503" xfId="397" xr:uid="{00000000-0005-0000-0000-000007010000}"/>
    <cellStyle name="_Currency_GMACCH_Loans_OBS_033103_Final_v2" xfId="398" xr:uid="{00000000-0005-0000-0000-000008010000}"/>
    <cellStyle name="_Currency_Input" xfId="399" xr:uid="{00000000-0005-0000-0000-000009010000}"/>
    <cellStyle name="_Currency_Input_1" xfId="400" xr:uid="{00000000-0005-0000-0000-00000A010000}"/>
    <cellStyle name="_Currency_Input_2" xfId="401" xr:uid="{00000000-0005-0000-0000-00000B010000}"/>
    <cellStyle name="_Currency_Input_ControlTables" xfId="402" xr:uid="{00000000-0005-0000-0000-00000C010000}"/>
    <cellStyle name="_Currency_Input_ControlTablesI" xfId="403" xr:uid="{00000000-0005-0000-0000-00000D010000}"/>
    <cellStyle name="_Currency_Input_Data Tape" xfId="404" xr:uid="{00000000-0005-0000-0000-00000E010000}"/>
    <cellStyle name="_Currency_Input_Database - Comparables" xfId="405" xr:uid="{00000000-0005-0000-0000-00000F010000}"/>
    <cellStyle name="_Currency_Input_Database - Economics" xfId="406" xr:uid="{00000000-0005-0000-0000-000010010000}"/>
    <cellStyle name="_Currency_Input_DB_Eye" xfId="407" xr:uid="{00000000-0005-0000-0000-000011010000}"/>
    <cellStyle name="_Currency_Input_Exec Summary" xfId="408" xr:uid="{00000000-0005-0000-0000-000012010000}"/>
    <cellStyle name="_Currency_Input_Exec Summary_1" xfId="409" xr:uid="{00000000-0005-0000-0000-000013010000}"/>
    <cellStyle name="_Currency_Input_Sheet1" xfId="410" xr:uid="{00000000-0005-0000-0000-000014010000}"/>
    <cellStyle name="_Currency_JV Economics" xfId="411" xr:uid="{00000000-0005-0000-0000-000015010000}"/>
    <cellStyle name="_Currency_M&amp;A Feed" xfId="412" xr:uid="{00000000-0005-0000-0000-000016010000}"/>
    <cellStyle name="_Currency_NPV Case Eyechart" xfId="413" xr:uid="{00000000-0005-0000-0000-000017010000}"/>
    <cellStyle name="_Currency_Pools" xfId="414" xr:uid="{00000000-0005-0000-0000-000018010000}"/>
    <cellStyle name="_Currency_Pools_1" xfId="415" xr:uid="{00000000-0005-0000-0000-000019010000}"/>
    <cellStyle name="_Currency_Pools_ControlTables" xfId="416" xr:uid="{00000000-0005-0000-0000-00001A010000}"/>
    <cellStyle name="_Currency_Pools_ControlTablesI" xfId="417" xr:uid="{00000000-0005-0000-0000-00001B010000}"/>
    <cellStyle name="_Currency_Pools_Database - Comparables" xfId="418" xr:uid="{00000000-0005-0000-0000-00001C010000}"/>
    <cellStyle name="_Currency_Pools_DB_Eye" xfId="419" xr:uid="{00000000-0005-0000-0000-00001D010000}"/>
    <cellStyle name="_Currency_Pools_Exec Summary" xfId="420" xr:uid="{00000000-0005-0000-0000-00001E010000}"/>
    <cellStyle name="_Currency_Pools_Exec Summary_1" xfId="421" xr:uid="{00000000-0005-0000-0000-00001F010000}"/>
    <cellStyle name="_Currency_Pools_Sheet1" xfId="422" xr:uid="{00000000-0005-0000-0000-000020010000}"/>
    <cellStyle name="_Currency_Portfolio Valuation" xfId="423" xr:uid="{00000000-0005-0000-0000-000021010000}"/>
    <cellStyle name="_Currency_Pricing" xfId="424" xr:uid="{00000000-0005-0000-0000-000022010000}"/>
    <cellStyle name="_Currency_Prop 13" xfId="425" xr:uid="{00000000-0005-0000-0000-000023010000}"/>
    <cellStyle name="_Currency_Prop 13 Data" xfId="426" xr:uid="{00000000-0005-0000-0000-000024010000}"/>
    <cellStyle name="_Currency_Prop 13 Summary-11-10" xfId="427" xr:uid="{00000000-0005-0000-0000-000025010000}"/>
    <cellStyle name="_Currency_Property Assumptions" xfId="428" xr:uid="{00000000-0005-0000-0000-000026010000}"/>
    <cellStyle name="_Currency_Property Assumptions_1" xfId="429" xr:uid="{00000000-0005-0000-0000-000027010000}"/>
    <cellStyle name="_Currency_Quick Property Input" xfId="430" xr:uid="{00000000-0005-0000-0000-000028010000}"/>
    <cellStyle name="_Currency_Roberts Standalone14 Quarterly 2" xfId="431" xr:uid="{00000000-0005-0000-0000-000029010000}"/>
    <cellStyle name="_Currency_Senario Input Assumptions" xfId="432" xr:uid="{00000000-0005-0000-0000-00002A010000}"/>
    <cellStyle name="_Currency_Senario Input Assumptions_ControlTables" xfId="433" xr:uid="{00000000-0005-0000-0000-00002B010000}"/>
    <cellStyle name="_Currency_Senario Input Assumptions_ControlTablesI" xfId="434" xr:uid="{00000000-0005-0000-0000-00002C010000}"/>
    <cellStyle name="_Currency_Senario Input Assumptions_Database - Comparables" xfId="435" xr:uid="{00000000-0005-0000-0000-00002D010000}"/>
    <cellStyle name="_Currency_Senario Input Assumptions_DB_Eye" xfId="436" xr:uid="{00000000-0005-0000-0000-00002E010000}"/>
    <cellStyle name="_Currency_Senario Input Assumptions_Exec Summary" xfId="437" xr:uid="{00000000-0005-0000-0000-00002F010000}"/>
    <cellStyle name="_Currency_Senario Input Assumptions_Exec Summary_1" xfId="438" xr:uid="{00000000-0005-0000-0000-000030010000}"/>
    <cellStyle name="_Currency_Senario Input Assumptions_Sheet1" xfId="439" xr:uid="{00000000-0005-0000-0000-000031010000}"/>
    <cellStyle name="_Currency_Sheet1" xfId="440" xr:uid="{00000000-0005-0000-0000-000032010000}"/>
    <cellStyle name="_Currency_Sheet1_1" xfId="441" xr:uid="{00000000-0005-0000-0000-000033010000}"/>
    <cellStyle name="_Currency_Sheet1_3-Yr Eyechart" xfId="442" xr:uid="{00000000-0005-0000-0000-000034010000}"/>
    <cellStyle name="_Currency_Sheet1_Balance Sheet" xfId="443" xr:uid="{00000000-0005-0000-0000-000035010000}"/>
    <cellStyle name="_Currency_Sheet1_Balance Sheet_ControlTables" xfId="444" xr:uid="{00000000-0005-0000-0000-000036010000}"/>
    <cellStyle name="_Currency_Sheet1_Balance Sheet_ControlTablesI" xfId="445" xr:uid="{00000000-0005-0000-0000-000037010000}"/>
    <cellStyle name="_Currency_Sheet1_Balance Sheet_Database - Comparables" xfId="446" xr:uid="{00000000-0005-0000-0000-000038010000}"/>
    <cellStyle name="_Currency_Sheet1_Balance Sheet_DB_Eye" xfId="447" xr:uid="{00000000-0005-0000-0000-000039010000}"/>
    <cellStyle name="_Currency_Sheet1_Balance Sheet_Exec Summary" xfId="448" xr:uid="{00000000-0005-0000-0000-00003A010000}"/>
    <cellStyle name="_Currency_Sheet1_Balance Sheet_Exec Summary_1" xfId="449" xr:uid="{00000000-0005-0000-0000-00003B010000}"/>
    <cellStyle name="_Currency_Sheet1_Balance Sheet_Sheet1" xfId="450" xr:uid="{00000000-0005-0000-0000-00003C010000}"/>
    <cellStyle name="_Currency_Sheet1_ControlTables" xfId="451" xr:uid="{00000000-0005-0000-0000-00003D010000}"/>
    <cellStyle name="_Currency_Sheet1_ControlTablesI" xfId="452" xr:uid="{00000000-0005-0000-0000-00003E010000}"/>
    <cellStyle name="_Currency_Sheet1_Cost Of Funds" xfId="453" xr:uid="{00000000-0005-0000-0000-00003F010000}"/>
    <cellStyle name="_Currency_Sheet1_Criteria" xfId="454" xr:uid="{00000000-0005-0000-0000-000040010000}"/>
    <cellStyle name="_Currency_Sheet1_Criteria Test Export" xfId="455" xr:uid="{00000000-0005-0000-0000-000041010000}"/>
    <cellStyle name="_Currency_Sheet1_Criteria_ControlTables" xfId="456" xr:uid="{00000000-0005-0000-0000-000042010000}"/>
    <cellStyle name="_Currency_Sheet1_Criteria_ControlTablesI" xfId="457" xr:uid="{00000000-0005-0000-0000-000043010000}"/>
    <cellStyle name="_Currency_Sheet1_Criteria_Database - Comparables" xfId="458" xr:uid="{00000000-0005-0000-0000-000044010000}"/>
    <cellStyle name="_Currency_Sheet1_Criteria_DB_Eye" xfId="459" xr:uid="{00000000-0005-0000-0000-000045010000}"/>
    <cellStyle name="_Currency_Sheet1_Criteria_Exec Summary" xfId="460" xr:uid="{00000000-0005-0000-0000-000046010000}"/>
    <cellStyle name="_Currency_Sheet1_Criteria_Exec Summary_1" xfId="461" xr:uid="{00000000-0005-0000-0000-000047010000}"/>
    <cellStyle name="_Currency_Sheet1_Criteria_Sheet1" xfId="462" xr:uid="{00000000-0005-0000-0000-000048010000}"/>
    <cellStyle name="_Currency_Sheet1_Data Tape" xfId="463" xr:uid="{00000000-0005-0000-0000-000049010000}"/>
    <cellStyle name="_Currency_Sheet1_Data Tape_1" xfId="464" xr:uid="{00000000-0005-0000-0000-00004A010000}"/>
    <cellStyle name="_Currency_Sheet1_Data Tape_ControlTables" xfId="465" xr:uid="{00000000-0005-0000-0000-00004B010000}"/>
    <cellStyle name="_Currency_Sheet1_Data Tape_ControlTablesI" xfId="466" xr:uid="{00000000-0005-0000-0000-00004C010000}"/>
    <cellStyle name="_Currency_Sheet1_Data Tape_Database - Comparables" xfId="467" xr:uid="{00000000-0005-0000-0000-00004D010000}"/>
    <cellStyle name="_Currency_Sheet1_Data Tape_DB_Eye" xfId="468" xr:uid="{00000000-0005-0000-0000-00004E010000}"/>
    <cellStyle name="_Currency_Sheet1_Data Tape_Exec Summary" xfId="469" xr:uid="{00000000-0005-0000-0000-00004F010000}"/>
    <cellStyle name="_Currency_Sheet1_Data Tape_Exec Summary_1" xfId="470" xr:uid="{00000000-0005-0000-0000-000050010000}"/>
    <cellStyle name="_Currency_Sheet1_Data Tape_Sheet1" xfId="471" xr:uid="{00000000-0005-0000-0000-000051010000}"/>
    <cellStyle name="_Currency_Sheet1_Data_Tape" xfId="472" xr:uid="{00000000-0005-0000-0000-000052010000}"/>
    <cellStyle name="_Currency_Sheet1_Data_Tape_ControlTables" xfId="473" xr:uid="{00000000-0005-0000-0000-000053010000}"/>
    <cellStyle name="_Currency_Sheet1_Data_Tape_ControlTablesI" xfId="474" xr:uid="{00000000-0005-0000-0000-000054010000}"/>
    <cellStyle name="_Currency_Sheet1_Data_Tape_DB_Eye" xfId="475" xr:uid="{00000000-0005-0000-0000-000055010000}"/>
    <cellStyle name="_Currency_Sheet1_Data_Tape_Exec Summary" xfId="476" xr:uid="{00000000-0005-0000-0000-000056010000}"/>
    <cellStyle name="_Currency_Sheet1_Data_Tape_Exec Summary_1" xfId="477" xr:uid="{00000000-0005-0000-0000-000057010000}"/>
    <cellStyle name="_Currency_Sheet1_Data_Tape_Sheet1" xfId="478" xr:uid="{00000000-0005-0000-0000-000058010000}"/>
    <cellStyle name="_Currency_Sheet1_Database - Comparables" xfId="479" xr:uid="{00000000-0005-0000-0000-000059010000}"/>
    <cellStyle name="_Currency_Sheet1_Database - Economics" xfId="480" xr:uid="{00000000-0005-0000-0000-00005A010000}"/>
    <cellStyle name="_Currency_Sheet1_DB_Eye" xfId="481" xr:uid="{00000000-0005-0000-0000-00005B010000}"/>
    <cellStyle name="_Currency_Sheet1_Deal Input" xfId="482" xr:uid="{00000000-0005-0000-0000-00005C010000}"/>
    <cellStyle name="_Currency_Sheet1_Direct Cap Eye" xfId="483" xr:uid="{00000000-0005-0000-0000-00005D010000}"/>
    <cellStyle name="_Currency_Sheet1_DPEM2005_vBetatest6" xfId="484" xr:uid="{00000000-0005-0000-0000-00005E010000}"/>
    <cellStyle name="_Currency_Sheet1_ETR" xfId="485" xr:uid="{00000000-0005-0000-0000-00005F010000}"/>
    <cellStyle name="_Currency_Sheet1_Exec Summary" xfId="486" xr:uid="{00000000-0005-0000-0000-000060010000}"/>
    <cellStyle name="_Currency_Sheet1_Exec Summary_1" xfId="487" xr:uid="{00000000-0005-0000-0000-000061010000}"/>
    <cellStyle name="_Currency_Sheet1_Existing Debt" xfId="488" xr:uid="{00000000-0005-0000-0000-000062010000}"/>
    <cellStyle name="_Currency_Sheet1_Input" xfId="489" xr:uid="{00000000-0005-0000-0000-000063010000}"/>
    <cellStyle name="_Currency_Sheet1_Input_1" xfId="490" xr:uid="{00000000-0005-0000-0000-000064010000}"/>
    <cellStyle name="_Currency_Sheet1_Input_ControlTables" xfId="491" xr:uid="{00000000-0005-0000-0000-000065010000}"/>
    <cellStyle name="_Currency_Sheet1_Input_ControlTablesI" xfId="492" xr:uid="{00000000-0005-0000-0000-000066010000}"/>
    <cellStyle name="_Currency_Sheet1_Input_Data Tape" xfId="493" xr:uid="{00000000-0005-0000-0000-000067010000}"/>
    <cellStyle name="_Currency_Sheet1_Input_Database - Economics" xfId="494" xr:uid="{00000000-0005-0000-0000-000068010000}"/>
    <cellStyle name="_Currency_Sheet1_Input_DB_Eye" xfId="495" xr:uid="{00000000-0005-0000-0000-000069010000}"/>
    <cellStyle name="_Currency_Sheet1_Input_Exec Summary" xfId="496" xr:uid="{00000000-0005-0000-0000-00006A010000}"/>
    <cellStyle name="_Currency_Sheet1_Input_Exec Summary_1" xfId="497" xr:uid="{00000000-0005-0000-0000-00006B010000}"/>
    <cellStyle name="_Currency_Sheet1_Input_Sheet1" xfId="498" xr:uid="{00000000-0005-0000-0000-00006C010000}"/>
    <cellStyle name="_Currency_Sheet1_M&amp;A Feed" xfId="499" xr:uid="{00000000-0005-0000-0000-00006D010000}"/>
    <cellStyle name="_Currency_Sheet1_NPV Case Eyechart" xfId="500" xr:uid="{00000000-0005-0000-0000-00006E010000}"/>
    <cellStyle name="_Currency_Sheet1_Pools" xfId="501" xr:uid="{00000000-0005-0000-0000-00006F010000}"/>
    <cellStyle name="_Currency_Sheet1_Pools_1" xfId="502" xr:uid="{00000000-0005-0000-0000-000070010000}"/>
    <cellStyle name="_Currency_Sheet1_Pools_ControlTables" xfId="503" xr:uid="{00000000-0005-0000-0000-000071010000}"/>
    <cellStyle name="_Currency_Sheet1_Pools_ControlTablesI" xfId="504" xr:uid="{00000000-0005-0000-0000-000072010000}"/>
    <cellStyle name="_Currency_Sheet1_Pools_DB_Eye" xfId="505" xr:uid="{00000000-0005-0000-0000-000073010000}"/>
    <cellStyle name="_Currency_Sheet1_Pools_Exec Summary" xfId="506" xr:uid="{00000000-0005-0000-0000-000074010000}"/>
    <cellStyle name="_Currency_Sheet1_Pools_Exec Summary_1" xfId="507" xr:uid="{00000000-0005-0000-0000-000075010000}"/>
    <cellStyle name="_Currency_Sheet1_Pools_Sheet1" xfId="508" xr:uid="{00000000-0005-0000-0000-000076010000}"/>
    <cellStyle name="_Currency_Sheet1_Portfolio Valuation" xfId="509" xr:uid="{00000000-0005-0000-0000-000077010000}"/>
    <cellStyle name="_Currency_Sheet1_Prop 13" xfId="510" xr:uid="{00000000-0005-0000-0000-000078010000}"/>
    <cellStyle name="_Currency_Sheet1_Prop 13 Data" xfId="511" xr:uid="{00000000-0005-0000-0000-000079010000}"/>
    <cellStyle name="_Currency_Sheet1_Prop 13 Summary-11-10" xfId="512" xr:uid="{00000000-0005-0000-0000-00007A010000}"/>
    <cellStyle name="_Currency_Sheet1_Property Assumptions" xfId="513" xr:uid="{00000000-0005-0000-0000-00007B010000}"/>
    <cellStyle name="_Currency_Sheet1_Property Assumptions_1" xfId="514" xr:uid="{00000000-0005-0000-0000-00007C010000}"/>
    <cellStyle name="_Currency_Sheet1_Quick Property Input" xfId="515" xr:uid="{00000000-0005-0000-0000-00007D010000}"/>
    <cellStyle name="_Currency_Sheet1_Senario Input Assumptions" xfId="516" xr:uid="{00000000-0005-0000-0000-00007E010000}"/>
    <cellStyle name="_Currency_Sheet1_Senario Input Assumptions_ControlTables" xfId="517" xr:uid="{00000000-0005-0000-0000-00007F010000}"/>
    <cellStyle name="_Currency_Sheet1_Senario Input Assumptions_ControlTablesI" xfId="518" xr:uid="{00000000-0005-0000-0000-000080010000}"/>
    <cellStyle name="_Currency_Sheet1_Senario Input Assumptions_DB_Eye" xfId="519" xr:uid="{00000000-0005-0000-0000-000081010000}"/>
    <cellStyle name="_Currency_Sheet1_Senario Input Assumptions_Exec Summary" xfId="520" xr:uid="{00000000-0005-0000-0000-000082010000}"/>
    <cellStyle name="_Currency_Sheet1_Senario Input Assumptions_Exec Summary_1" xfId="521" xr:uid="{00000000-0005-0000-0000-000083010000}"/>
    <cellStyle name="_Currency_Sheet1_Senario Input Assumptions_Sheet1" xfId="522" xr:uid="{00000000-0005-0000-0000-000084010000}"/>
    <cellStyle name="_Currency_Sheet1_Sheet1" xfId="523" xr:uid="{00000000-0005-0000-0000-000085010000}"/>
    <cellStyle name="_Currency_Sheet1_Sheet1_Data Tape" xfId="524" xr:uid="{00000000-0005-0000-0000-000086010000}"/>
    <cellStyle name="_Currency_Sheet1_Sheet1_Database - Eyechart" xfId="525" xr:uid="{00000000-0005-0000-0000-000087010000}"/>
    <cellStyle name="_Currency_Sheet1_Sheet1_Deal Assumptions" xfId="526" xr:uid="{00000000-0005-0000-0000-000088010000}"/>
    <cellStyle name="_Currency_Sheet1_Sheet1_Model" xfId="527" xr:uid="{00000000-0005-0000-0000-000089010000}"/>
    <cellStyle name="_Currency_Sheet1_Sheet1_Monthly CF Input" xfId="528" xr:uid="{00000000-0005-0000-0000-00008A010000}"/>
    <cellStyle name="_Currency_Sheet1_Sheet1_Property Assumptions" xfId="529" xr:uid="{00000000-0005-0000-0000-00008B010000}"/>
    <cellStyle name="_Currency_Sheet1_Sheet1_RE Valuation 2" xfId="530" xr:uid="{00000000-0005-0000-0000-00008C010000}"/>
    <cellStyle name="_Currency_Sheet1_Sheet1_Sensitivities" xfId="531" xr:uid="{00000000-0005-0000-0000-00008D010000}"/>
    <cellStyle name="_Currency_Sheet1_Sheet2" xfId="532" xr:uid="{00000000-0005-0000-0000-00008E010000}"/>
    <cellStyle name="_Currency_Sheet1_Sheet2_1" xfId="533" xr:uid="{00000000-0005-0000-0000-00008F010000}"/>
    <cellStyle name="_Currency_Sheet1_Sheet3" xfId="534" xr:uid="{00000000-0005-0000-0000-000090010000}"/>
    <cellStyle name="_Currency_Sheet1_Sheet5" xfId="535" xr:uid="{00000000-0005-0000-0000-000091010000}"/>
    <cellStyle name="_Currency_Sheet1_Structure Model_2003_test2" xfId="536" xr:uid="{00000000-0005-0000-0000-000092010000}"/>
    <cellStyle name="_Currency_Sheet1_Structure Model_2003_test2_ControlTables" xfId="537" xr:uid="{00000000-0005-0000-0000-000093010000}"/>
    <cellStyle name="_Currency_Sheet1_Structure Model_2003_test2_ControlTablesI" xfId="538" xr:uid="{00000000-0005-0000-0000-000094010000}"/>
    <cellStyle name="_Currency_Sheet1_Structure Model_2003_test2_DB_Eye" xfId="539" xr:uid="{00000000-0005-0000-0000-000095010000}"/>
    <cellStyle name="_Currency_Sheet1_Structure Model_2003_test2_Exec Summary" xfId="540" xr:uid="{00000000-0005-0000-0000-000096010000}"/>
    <cellStyle name="_Currency_Sheet1_Structure Model_2003_test2_Exec Summary_1" xfId="541" xr:uid="{00000000-0005-0000-0000-000097010000}"/>
    <cellStyle name="_Currency_Sheet1_Structure Model_2003_test2_Sheet1" xfId="542" xr:uid="{00000000-0005-0000-0000-000098010000}"/>
    <cellStyle name="_Currency_Sheet2" xfId="543" xr:uid="{00000000-0005-0000-0000-000099010000}"/>
    <cellStyle name="_Currency_Sheet2_1" xfId="544" xr:uid="{00000000-0005-0000-0000-00009A010000}"/>
    <cellStyle name="_Currency_Sheet3" xfId="545" xr:uid="{00000000-0005-0000-0000-00009B010000}"/>
    <cellStyle name="_Currency_Sheet3_1" xfId="546" xr:uid="{00000000-0005-0000-0000-00009C010000}"/>
    <cellStyle name="_Currency_Sheet3_ControlTables" xfId="547" xr:uid="{00000000-0005-0000-0000-00009D010000}"/>
    <cellStyle name="_Currency_Sheet3_ControlTablesI" xfId="548" xr:uid="{00000000-0005-0000-0000-00009E010000}"/>
    <cellStyle name="_Currency_Sheet3_DB_Eye" xfId="549" xr:uid="{00000000-0005-0000-0000-00009F010000}"/>
    <cellStyle name="_Currency_Sheet3_Exec Summary" xfId="550" xr:uid="{00000000-0005-0000-0000-0000A0010000}"/>
    <cellStyle name="_Currency_Sheet3_Exec Summary_1" xfId="551" xr:uid="{00000000-0005-0000-0000-0000A1010000}"/>
    <cellStyle name="_Currency_Sheet3_Sheet1" xfId="552" xr:uid="{00000000-0005-0000-0000-0000A2010000}"/>
    <cellStyle name="_Currency_Sheet4" xfId="553" xr:uid="{00000000-0005-0000-0000-0000A3010000}"/>
    <cellStyle name="_Currency_Sheet5" xfId="554" xr:uid="{00000000-0005-0000-0000-0000A4010000}"/>
    <cellStyle name="_Currency_Structure Model_2003_test2" xfId="555" xr:uid="{00000000-0005-0000-0000-0000A5010000}"/>
    <cellStyle name="_Currency_Structure Model_2003_test2_ControlTables" xfId="556" xr:uid="{00000000-0005-0000-0000-0000A6010000}"/>
    <cellStyle name="_Currency_Structure Model_2003_test2_ControlTablesI" xfId="557" xr:uid="{00000000-0005-0000-0000-0000A7010000}"/>
    <cellStyle name="_Currency_Structure Model_2003_test2_DB_Eye" xfId="558" xr:uid="{00000000-0005-0000-0000-0000A8010000}"/>
    <cellStyle name="_Currency_Structure Model_2003_test2_Exec Summary" xfId="559" xr:uid="{00000000-0005-0000-0000-0000A9010000}"/>
    <cellStyle name="_Currency_Structure Model_2003_test2_Exec Summary_1" xfId="560" xr:uid="{00000000-0005-0000-0000-0000AA010000}"/>
    <cellStyle name="_Currency_Structure Model_2003_test2_Sheet1" xfId="561" xr:uid="{00000000-0005-0000-0000-0000AB010000}"/>
    <cellStyle name="_CurrencySpace" xfId="562" xr:uid="{00000000-0005-0000-0000-0000AC010000}"/>
    <cellStyle name="_CurrencySpace_3-Yr Eyechart" xfId="563" xr:uid="{00000000-0005-0000-0000-0000AD010000}"/>
    <cellStyle name="_CurrencySpace_Balance Sheet" xfId="564" xr:uid="{00000000-0005-0000-0000-0000AE010000}"/>
    <cellStyle name="_CurrencySpace_Balance Sheet_ControlTables" xfId="565" xr:uid="{00000000-0005-0000-0000-0000AF010000}"/>
    <cellStyle name="_CurrencySpace_Balance Sheet_ControlTablesI" xfId="566" xr:uid="{00000000-0005-0000-0000-0000B0010000}"/>
    <cellStyle name="_CurrencySpace_Balance Sheet_DB_Eye" xfId="567" xr:uid="{00000000-0005-0000-0000-0000B1010000}"/>
    <cellStyle name="_CurrencySpace_Balance Sheet_Exec Summary" xfId="568" xr:uid="{00000000-0005-0000-0000-0000B2010000}"/>
    <cellStyle name="_CurrencySpace_Balance Sheet_Exec Summary_1" xfId="569" xr:uid="{00000000-0005-0000-0000-0000B3010000}"/>
    <cellStyle name="_CurrencySpace_Balance Sheet_Sheet1" xfId="570" xr:uid="{00000000-0005-0000-0000-0000B4010000}"/>
    <cellStyle name="_CurrencySpace_ControlTables" xfId="571" xr:uid="{00000000-0005-0000-0000-0000B5010000}"/>
    <cellStyle name="_CurrencySpace_ControlTablesI" xfId="572" xr:uid="{00000000-0005-0000-0000-0000B6010000}"/>
    <cellStyle name="_CurrencySpace_Cost Of Funds" xfId="573" xr:uid="{00000000-0005-0000-0000-0000B7010000}"/>
    <cellStyle name="_CurrencySpace_Criteria" xfId="574" xr:uid="{00000000-0005-0000-0000-0000B8010000}"/>
    <cellStyle name="_CurrencySpace_Criteria Test Export" xfId="575" xr:uid="{00000000-0005-0000-0000-0000B9010000}"/>
    <cellStyle name="_CurrencySpace_Criteria_ControlTables" xfId="576" xr:uid="{00000000-0005-0000-0000-0000BA010000}"/>
    <cellStyle name="_CurrencySpace_Criteria_ControlTablesI" xfId="577" xr:uid="{00000000-0005-0000-0000-0000BB010000}"/>
    <cellStyle name="_CurrencySpace_Criteria_DB_Eye" xfId="578" xr:uid="{00000000-0005-0000-0000-0000BC010000}"/>
    <cellStyle name="_CurrencySpace_Criteria_Exec Summary" xfId="579" xr:uid="{00000000-0005-0000-0000-0000BD010000}"/>
    <cellStyle name="_CurrencySpace_Criteria_Exec Summary_1" xfId="580" xr:uid="{00000000-0005-0000-0000-0000BE010000}"/>
    <cellStyle name="_CurrencySpace_Criteria_Sheet1" xfId="581" xr:uid="{00000000-0005-0000-0000-0000BF010000}"/>
    <cellStyle name="_CurrencySpace_Data Tape" xfId="582" xr:uid="{00000000-0005-0000-0000-0000C0010000}"/>
    <cellStyle name="_CurrencySpace_Data Tape_1" xfId="583" xr:uid="{00000000-0005-0000-0000-0000C1010000}"/>
    <cellStyle name="_CurrencySpace_Data Tape_ControlTables" xfId="584" xr:uid="{00000000-0005-0000-0000-0000C2010000}"/>
    <cellStyle name="_CurrencySpace_Data Tape_ControlTablesI" xfId="585" xr:uid="{00000000-0005-0000-0000-0000C3010000}"/>
    <cellStyle name="_CurrencySpace_Data Tape_DB_Eye" xfId="586" xr:uid="{00000000-0005-0000-0000-0000C4010000}"/>
    <cellStyle name="_CurrencySpace_Data Tape_Exec Summary" xfId="587" xr:uid="{00000000-0005-0000-0000-0000C5010000}"/>
    <cellStyle name="_CurrencySpace_Data Tape_Exec Summary_1" xfId="588" xr:uid="{00000000-0005-0000-0000-0000C6010000}"/>
    <cellStyle name="_CurrencySpace_Data Tape_Sheet1" xfId="589" xr:uid="{00000000-0005-0000-0000-0000C7010000}"/>
    <cellStyle name="_CurrencySpace_Data_Tape" xfId="590" xr:uid="{00000000-0005-0000-0000-0000C8010000}"/>
    <cellStyle name="_CurrencySpace_Database - Economics" xfId="591" xr:uid="{00000000-0005-0000-0000-0000C9010000}"/>
    <cellStyle name="_CurrencySpace_DB_Eye" xfId="592" xr:uid="{00000000-0005-0000-0000-0000CA010000}"/>
    <cellStyle name="_CurrencySpace_Deal Input" xfId="593" xr:uid="{00000000-0005-0000-0000-0000CB010000}"/>
    <cellStyle name="_CurrencySpace_Direct Cap Eye" xfId="594" xr:uid="{00000000-0005-0000-0000-0000CC010000}"/>
    <cellStyle name="_CurrencySpace_DPEM2005_vBetatest6" xfId="595" xr:uid="{00000000-0005-0000-0000-0000CD010000}"/>
    <cellStyle name="_CurrencySpace_ETR" xfId="596" xr:uid="{00000000-0005-0000-0000-0000CE010000}"/>
    <cellStyle name="_CurrencySpace_Exec Summary" xfId="597" xr:uid="{00000000-0005-0000-0000-0000CF010000}"/>
    <cellStyle name="_CurrencySpace_Exec Summary_1" xfId="598" xr:uid="{00000000-0005-0000-0000-0000D0010000}"/>
    <cellStyle name="_CurrencySpace_Existing Debt" xfId="599" xr:uid="{00000000-0005-0000-0000-0000D1010000}"/>
    <cellStyle name="_CurrencySpace_EyeChart" xfId="600" xr:uid="{00000000-0005-0000-0000-0000D2010000}"/>
    <cellStyle name="_CurrencySpace_EyeChart 090503" xfId="601" xr:uid="{00000000-0005-0000-0000-0000D3010000}"/>
    <cellStyle name="_CurrencySpace_Input" xfId="602" xr:uid="{00000000-0005-0000-0000-0000D4010000}"/>
    <cellStyle name="_CurrencySpace_Input_1" xfId="603" xr:uid="{00000000-0005-0000-0000-0000D5010000}"/>
    <cellStyle name="_CurrencySpace_Input_ControlTables" xfId="604" xr:uid="{00000000-0005-0000-0000-0000D6010000}"/>
    <cellStyle name="_CurrencySpace_Input_ControlTablesI" xfId="605" xr:uid="{00000000-0005-0000-0000-0000D7010000}"/>
    <cellStyle name="_CurrencySpace_Input_Data Tape" xfId="606" xr:uid="{00000000-0005-0000-0000-0000D8010000}"/>
    <cellStyle name="_CurrencySpace_Input_Database - Economics" xfId="607" xr:uid="{00000000-0005-0000-0000-0000D9010000}"/>
    <cellStyle name="_CurrencySpace_Input_DB_Eye" xfId="608" xr:uid="{00000000-0005-0000-0000-0000DA010000}"/>
    <cellStyle name="_CurrencySpace_Input_Exec Summary" xfId="609" xr:uid="{00000000-0005-0000-0000-0000DB010000}"/>
    <cellStyle name="_CurrencySpace_Input_Exec Summary_1" xfId="610" xr:uid="{00000000-0005-0000-0000-0000DC010000}"/>
    <cellStyle name="_CurrencySpace_Input_Sheet1" xfId="611" xr:uid="{00000000-0005-0000-0000-0000DD010000}"/>
    <cellStyle name="_CurrencySpace_JV Economics" xfId="612" xr:uid="{00000000-0005-0000-0000-0000DE010000}"/>
    <cellStyle name="_CurrencySpace_M&amp;A Feed" xfId="613" xr:uid="{00000000-0005-0000-0000-0000DF010000}"/>
    <cellStyle name="_CurrencySpace_NPV Case Eyechart" xfId="614" xr:uid="{00000000-0005-0000-0000-0000E0010000}"/>
    <cellStyle name="_CurrencySpace_Pools" xfId="615" xr:uid="{00000000-0005-0000-0000-0000E1010000}"/>
    <cellStyle name="_CurrencySpace_Pools_1" xfId="616" xr:uid="{00000000-0005-0000-0000-0000E2010000}"/>
    <cellStyle name="_CurrencySpace_Portfolio Valuation" xfId="617" xr:uid="{00000000-0005-0000-0000-0000E3010000}"/>
    <cellStyle name="_CurrencySpace_Pricing" xfId="618" xr:uid="{00000000-0005-0000-0000-0000E4010000}"/>
    <cellStyle name="_CurrencySpace_Prop 13" xfId="619" xr:uid="{00000000-0005-0000-0000-0000E5010000}"/>
    <cellStyle name="_CurrencySpace_Prop 13 Data" xfId="620" xr:uid="{00000000-0005-0000-0000-0000E6010000}"/>
    <cellStyle name="_CurrencySpace_Prop 13 Summary-11-10" xfId="621" xr:uid="{00000000-0005-0000-0000-0000E7010000}"/>
    <cellStyle name="_CurrencySpace_Property Assumptions" xfId="622" xr:uid="{00000000-0005-0000-0000-0000E8010000}"/>
    <cellStyle name="_CurrencySpace_Property Assumptions_1" xfId="623" xr:uid="{00000000-0005-0000-0000-0000E9010000}"/>
    <cellStyle name="_CurrencySpace_Quick Property Input" xfId="624" xr:uid="{00000000-0005-0000-0000-0000EA010000}"/>
    <cellStyle name="_CurrencySpace_Senario Input Assumptions" xfId="625" xr:uid="{00000000-0005-0000-0000-0000EB010000}"/>
    <cellStyle name="_CurrencySpace_Senario Input Assumptions_ControlTables" xfId="626" xr:uid="{00000000-0005-0000-0000-0000EC010000}"/>
    <cellStyle name="_CurrencySpace_Senario Input Assumptions_ControlTablesI" xfId="627" xr:uid="{00000000-0005-0000-0000-0000ED010000}"/>
    <cellStyle name="_CurrencySpace_Senario Input Assumptions_DB_Eye" xfId="628" xr:uid="{00000000-0005-0000-0000-0000EE010000}"/>
    <cellStyle name="_CurrencySpace_Senario Input Assumptions_Exec Summary" xfId="629" xr:uid="{00000000-0005-0000-0000-0000EF010000}"/>
    <cellStyle name="_CurrencySpace_Senario Input Assumptions_Exec Summary_1" xfId="630" xr:uid="{00000000-0005-0000-0000-0000F0010000}"/>
    <cellStyle name="_CurrencySpace_Senario Input Assumptions_Sheet1" xfId="631" xr:uid="{00000000-0005-0000-0000-0000F1010000}"/>
    <cellStyle name="_CurrencySpace_Sheet1" xfId="632" xr:uid="{00000000-0005-0000-0000-0000F2010000}"/>
    <cellStyle name="_CurrencySpace_Sheet1_1" xfId="633" xr:uid="{00000000-0005-0000-0000-0000F3010000}"/>
    <cellStyle name="_CurrencySpace_Sheet1_3-Yr Eyechart" xfId="634" xr:uid="{00000000-0005-0000-0000-0000F4010000}"/>
    <cellStyle name="_CurrencySpace_Sheet1_Balance Sheet" xfId="635" xr:uid="{00000000-0005-0000-0000-0000F5010000}"/>
    <cellStyle name="_CurrencySpace_Sheet1_Cost Of Funds" xfId="636" xr:uid="{00000000-0005-0000-0000-0000F6010000}"/>
    <cellStyle name="_CurrencySpace_Sheet1_Criteria" xfId="637" xr:uid="{00000000-0005-0000-0000-0000F7010000}"/>
    <cellStyle name="_CurrencySpace_Sheet1_Criteria Test Export" xfId="638" xr:uid="{00000000-0005-0000-0000-0000F8010000}"/>
    <cellStyle name="_CurrencySpace_Sheet1_Data Tape" xfId="639" xr:uid="{00000000-0005-0000-0000-0000F9010000}"/>
    <cellStyle name="_CurrencySpace_Sheet1_Data Tape_1" xfId="640" xr:uid="{00000000-0005-0000-0000-0000FA010000}"/>
    <cellStyle name="_CurrencySpace_Sheet1_Data_Tape" xfId="641" xr:uid="{00000000-0005-0000-0000-0000FB010000}"/>
    <cellStyle name="_CurrencySpace_Sheet1_Data_Tape_ControlTables" xfId="642" xr:uid="{00000000-0005-0000-0000-0000FC010000}"/>
    <cellStyle name="_CurrencySpace_Sheet1_Data_Tape_ControlTablesI" xfId="643" xr:uid="{00000000-0005-0000-0000-0000FD010000}"/>
    <cellStyle name="_CurrencySpace_Sheet1_Data_Tape_DB_Eye" xfId="644" xr:uid="{00000000-0005-0000-0000-0000FE010000}"/>
    <cellStyle name="_CurrencySpace_Sheet1_Data_Tape_Exec Summary" xfId="645" xr:uid="{00000000-0005-0000-0000-0000FF010000}"/>
    <cellStyle name="_CurrencySpace_Sheet1_Data_Tape_Exec Summary_1" xfId="646" xr:uid="{00000000-0005-0000-0000-000000020000}"/>
    <cellStyle name="_CurrencySpace_Sheet1_Data_Tape_Sheet1" xfId="647" xr:uid="{00000000-0005-0000-0000-000001020000}"/>
    <cellStyle name="_CurrencySpace_Sheet1_Database - Economics" xfId="648" xr:uid="{00000000-0005-0000-0000-000002020000}"/>
    <cellStyle name="_CurrencySpace_Sheet1_Deal Input" xfId="649" xr:uid="{00000000-0005-0000-0000-000003020000}"/>
    <cellStyle name="_CurrencySpace_Sheet1_Direct Cap Eye" xfId="650" xr:uid="{00000000-0005-0000-0000-000004020000}"/>
    <cellStyle name="_CurrencySpace_Sheet1_DPEM2005_vBetatest6" xfId="651" xr:uid="{00000000-0005-0000-0000-000005020000}"/>
    <cellStyle name="_CurrencySpace_Sheet1_ETR" xfId="652" xr:uid="{00000000-0005-0000-0000-000006020000}"/>
    <cellStyle name="_CurrencySpace_Sheet1_Existing Debt" xfId="653" xr:uid="{00000000-0005-0000-0000-000007020000}"/>
    <cellStyle name="_CurrencySpace_Sheet1_Input" xfId="654" xr:uid="{00000000-0005-0000-0000-000008020000}"/>
    <cellStyle name="_CurrencySpace_Sheet1_Input_1" xfId="655" xr:uid="{00000000-0005-0000-0000-000009020000}"/>
    <cellStyle name="_CurrencySpace_Sheet1_Input_Data Tape" xfId="656" xr:uid="{00000000-0005-0000-0000-00000A020000}"/>
    <cellStyle name="_CurrencySpace_Sheet1_Input_Database - Economics" xfId="657" xr:uid="{00000000-0005-0000-0000-00000B020000}"/>
    <cellStyle name="_CurrencySpace_Sheet1_M&amp;A Feed" xfId="658" xr:uid="{00000000-0005-0000-0000-00000C020000}"/>
    <cellStyle name="_CurrencySpace_Sheet1_NPV Case Eyechart" xfId="659" xr:uid="{00000000-0005-0000-0000-00000D020000}"/>
    <cellStyle name="_CurrencySpace_Sheet1_Pools" xfId="660" xr:uid="{00000000-0005-0000-0000-00000E020000}"/>
    <cellStyle name="_CurrencySpace_Sheet1_Pools_1" xfId="661" xr:uid="{00000000-0005-0000-0000-00000F020000}"/>
    <cellStyle name="_CurrencySpace_Sheet1_Pools_ControlTables" xfId="662" xr:uid="{00000000-0005-0000-0000-000010020000}"/>
    <cellStyle name="_CurrencySpace_Sheet1_Pools_ControlTablesI" xfId="663" xr:uid="{00000000-0005-0000-0000-000011020000}"/>
    <cellStyle name="_CurrencySpace_Sheet1_Pools_DB_Eye" xfId="664" xr:uid="{00000000-0005-0000-0000-000012020000}"/>
    <cellStyle name="_CurrencySpace_Sheet1_Pools_Exec Summary" xfId="665" xr:uid="{00000000-0005-0000-0000-000013020000}"/>
    <cellStyle name="_CurrencySpace_Sheet1_Pools_Exec Summary_1" xfId="666" xr:uid="{00000000-0005-0000-0000-000014020000}"/>
    <cellStyle name="_CurrencySpace_Sheet1_Pools_Sheet1" xfId="667" xr:uid="{00000000-0005-0000-0000-000015020000}"/>
    <cellStyle name="_CurrencySpace_Sheet1_Portfolio Valuation" xfId="668" xr:uid="{00000000-0005-0000-0000-000016020000}"/>
    <cellStyle name="_CurrencySpace_Sheet1_Prop 13" xfId="669" xr:uid="{00000000-0005-0000-0000-000017020000}"/>
    <cellStyle name="_CurrencySpace_Sheet1_Prop 13 Data" xfId="670" xr:uid="{00000000-0005-0000-0000-000018020000}"/>
    <cellStyle name="_CurrencySpace_Sheet1_Prop 13 Summary-11-10" xfId="671" xr:uid="{00000000-0005-0000-0000-000019020000}"/>
    <cellStyle name="_CurrencySpace_Sheet1_Property Assumptions" xfId="672" xr:uid="{00000000-0005-0000-0000-00001A020000}"/>
    <cellStyle name="_CurrencySpace_Sheet1_Property Assumptions_1" xfId="673" xr:uid="{00000000-0005-0000-0000-00001B020000}"/>
    <cellStyle name="_CurrencySpace_Sheet1_Quick Property Input" xfId="674" xr:uid="{00000000-0005-0000-0000-00001C020000}"/>
    <cellStyle name="_CurrencySpace_Sheet1_Senario Input Assumptions" xfId="675" xr:uid="{00000000-0005-0000-0000-00001D020000}"/>
    <cellStyle name="_CurrencySpace_Sheet1_Sheet1" xfId="676" xr:uid="{00000000-0005-0000-0000-00001E020000}"/>
    <cellStyle name="_CurrencySpace_Sheet1_Sheet2" xfId="677" xr:uid="{00000000-0005-0000-0000-00001F020000}"/>
    <cellStyle name="_CurrencySpace_Sheet1_Sheet2_1" xfId="678" xr:uid="{00000000-0005-0000-0000-000020020000}"/>
    <cellStyle name="_CurrencySpace_Sheet1_Sheet3" xfId="679" xr:uid="{00000000-0005-0000-0000-000021020000}"/>
    <cellStyle name="_CurrencySpace_Sheet1_Sheet5" xfId="680" xr:uid="{00000000-0005-0000-0000-000022020000}"/>
    <cellStyle name="_CurrencySpace_Sheet1_Structure Model_2003_test2" xfId="681" xr:uid="{00000000-0005-0000-0000-000023020000}"/>
    <cellStyle name="_CurrencySpace_Sheet2" xfId="682" xr:uid="{00000000-0005-0000-0000-000024020000}"/>
    <cellStyle name="_CurrencySpace_Sheet2_1" xfId="683" xr:uid="{00000000-0005-0000-0000-000025020000}"/>
    <cellStyle name="_CurrencySpace_Sheet3" xfId="684" xr:uid="{00000000-0005-0000-0000-000026020000}"/>
    <cellStyle name="_CurrencySpace_Sheet3_1" xfId="685" xr:uid="{00000000-0005-0000-0000-000027020000}"/>
    <cellStyle name="_CurrencySpace_Sheet4" xfId="686" xr:uid="{00000000-0005-0000-0000-000028020000}"/>
    <cellStyle name="_CurrencySpace_Sheet5" xfId="687" xr:uid="{00000000-0005-0000-0000-000029020000}"/>
    <cellStyle name="_CurrencySpace_Structure Model_2003_test2" xfId="688" xr:uid="{00000000-0005-0000-0000-00002A020000}"/>
    <cellStyle name="_CurrencySpace_Structure Model_2003_test2_ControlTables" xfId="689" xr:uid="{00000000-0005-0000-0000-00002B020000}"/>
    <cellStyle name="_CurrencySpace_Structure Model_2003_test2_ControlTablesI" xfId="690" xr:uid="{00000000-0005-0000-0000-00002C020000}"/>
    <cellStyle name="_CurrencySpace_Structure Model_2003_test2_DB_Eye" xfId="691" xr:uid="{00000000-0005-0000-0000-00002D020000}"/>
    <cellStyle name="_CurrencySpace_Structure Model_2003_test2_Exec Summary" xfId="692" xr:uid="{00000000-0005-0000-0000-00002E020000}"/>
    <cellStyle name="_CurrencySpace_Structure Model_2003_test2_Exec Summary_1" xfId="693" xr:uid="{00000000-0005-0000-0000-00002F020000}"/>
    <cellStyle name="_CurrencySpace_Structure Model_2003_test2_Sheet1" xfId="694" xr:uid="{00000000-0005-0000-0000-000030020000}"/>
    <cellStyle name="_Euro" xfId="695" xr:uid="{00000000-0005-0000-0000-000031020000}"/>
    <cellStyle name="_Euro_ControlTables" xfId="696" xr:uid="{00000000-0005-0000-0000-000032020000}"/>
    <cellStyle name="_Euro_ControlTablesI" xfId="697" xr:uid="{00000000-0005-0000-0000-000033020000}"/>
    <cellStyle name="_Euro_DB Eye" xfId="698" xr:uid="{00000000-0005-0000-0000-000034020000}"/>
    <cellStyle name="_Euro_DB_Eye" xfId="699" xr:uid="{00000000-0005-0000-0000-000035020000}"/>
    <cellStyle name="_Euro_Exec Summary" xfId="700" xr:uid="{00000000-0005-0000-0000-000036020000}"/>
    <cellStyle name="_Euro_Sheet1" xfId="701" xr:uid="{00000000-0005-0000-0000-000037020000}"/>
    <cellStyle name="_Existing Debt" xfId="702" xr:uid="{00000000-0005-0000-0000-000038020000}"/>
    <cellStyle name="_Heading" xfId="703" xr:uid="{00000000-0005-0000-0000-000039020000}"/>
    <cellStyle name="_Highlight" xfId="704" xr:uid="{00000000-0005-0000-0000-00003A020000}"/>
    <cellStyle name="_Multiple" xfId="705" xr:uid="{00000000-0005-0000-0000-00003B020000}"/>
    <cellStyle name="_Multiple_3-Yr Eyechart" xfId="706" xr:uid="{00000000-0005-0000-0000-00003C020000}"/>
    <cellStyle name="_Multiple_ARI Base Case July 25 TPS1" xfId="707" xr:uid="{00000000-0005-0000-0000-00003D020000}"/>
    <cellStyle name="_Multiple_Balance Sheet" xfId="708" xr:uid="{00000000-0005-0000-0000-00003E020000}"/>
    <cellStyle name="_Multiple_Cost Of Funds" xfId="709" xr:uid="{00000000-0005-0000-0000-00003F020000}"/>
    <cellStyle name="_Multiple_Criteria" xfId="710" xr:uid="{00000000-0005-0000-0000-000040020000}"/>
    <cellStyle name="_Multiple_Criteria Test Export" xfId="711" xr:uid="{00000000-0005-0000-0000-000041020000}"/>
    <cellStyle name="_Multiple_Data Tape" xfId="712" xr:uid="{00000000-0005-0000-0000-000042020000}"/>
    <cellStyle name="_Multiple_Data Tape_1" xfId="713" xr:uid="{00000000-0005-0000-0000-000043020000}"/>
    <cellStyle name="_Multiple_Data_Tape" xfId="714" xr:uid="{00000000-0005-0000-0000-000044020000}"/>
    <cellStyle name="_Multiple_DB_Eye" xfId="715" xr:uid="{00000000-0005-0000-0000-000045020000}"/>
    <cellStyle name="_Multiple_Deal Input" xfId="716" xr:uid="{00000000-0005-0000-0000-000046020000}"/>
    <cellStyle name="_Multiple_Direct Cap Eye" xfId="717" xr:uid="{00000000-0005-0000-0000-000047020000}"/>
    <cellStyle name="_Multiple_DPEM2005_vBetatest6" xfId="718" xr:uid="{00000000-0005-0000-0000-000048020000}"/>
    <cellStyle name="_Multiple_ETR" xfId="719" xr:uid="{00000000-0005-0000-0000-000049020000}"/>
    <cellStyle name="_Multiple_Existing Debt" xfId="720" xr:uid="{00000000-0005-0000-0000-00004A020000}"/>
    <cellStyle name="_Multiple_Existing Debt_1" xfId="721" xr:uid="{00000000-0005-0000-0000-00004B020000}"/>
    <cellStyle name="_Multiple_EyeChart" xfId="722" xr:uid="{00000000-0005-0000-0000-00004C020000}"/>
    <cellStyle name="_Multiple_EyeChart 090503" xfId="723" xr:uid="{00000000-0005-0000-0000-00004D020000}"/>
    <cellStyle name="_Multiple_Input" xfId="724" xr:uid="{00000000-0005-0000-0000-00004E020000}"/>
    <cellStyle name="_Multiple_Input_1" xfId="725" xr:uid="{00000000-0005-0000-0000-00004F020000}"/>
    <cellStyle name="_Multiple_Input_Data Tape" xfId="726" xr:uid="{00000000-0005-0000-0000-000050020000}"/>
    <cellStyle name="_Multiple_JV Economics" xfId="727" xr:uid="{00000000-0005-0000-0000-000051020000}"/>
    <cellStyle name="_Multiple_M&amp;A Feed" xfId="728" xr:uid="{00000000-0005-0000-0000-000052020000}"/>
    <cellStyle name="_Multiple_NPV Case Eyechart" xfId="729" xr:uid="{00000000-0005-0000-0000-000053020000}"/>
    <cellStyle name="_Multiple_Pools" xfId="730" xr:uid="{00000000-0005-0000-0000-000054020000}"/>
    <cellStyle name="_Multiple_Pools_1" xfId="731" xr:uid="{00000000-0005-0000-0000-000055020000}"/>
    <cellStyle name="_Multiple_Portfolio Valuation" xfId="732" xr:uid="{00000000-0005-0000-0000-000056020000}"/>
    <cellStyle name="_Multiple_Pricing" xfId="733" xr:uid="{00000000-0005-0000-0000-000057020000}"/>
    <cellStyle name="_Multiple_Prop 13" xfId="734" xr:uid="{00000000-0005-0000-0000-000058020000}"/>
    <cellStyle name="_Multiple_Prop 13 Data" xfId="735" xr:uid="{00000000-0005-0000-0000-000059020000}"/>
    <cellStyle name="_Multiple_Prop 13 Summary-11-10" xfId="736" xr:uid="{00000000-0005-0000-0000-00005A020000}"/>
    <cellStyle name="_Multiple_Property Assumptions" xfId="737" xr:uid="{00000000-0005-0000-0000-00005B020000}"/>
    <cellStyle name="_Multiple_Property Assumptions_1" xfId="738" xr:uid="{00000000-0005-0000-0000-00005C020000}"/>
    <cellStyle name="_Multiple_Quick Property Input" xfId="739" xr:uid="{00000000-0005-0000-0000-00005D020000}"/>
    <cellStyle name="_Multiple_Senario Input Assumptions" xfId="740" xr:uid="{00000000-0005-0000-0000-00005E020000}"/>
    <cellStyle name="_Multiple_Sheet1" xfId="741" xr:uid="{00000000-0005-0000-0000-00005F020000}"/>
    <cellStyle name="_Multiple_Sheet1_3-Yr Eyechart" xfId="742" xr:uid="{00000000-0005-0000-0000-000060020000}"/>
    <cellStyle name="_Multiple_Sheet1_Balance Sheet" xfId="743" xr:uid="{00000000-0005-0000-0000-000061020000}"/>
    <cellStyle name="_Multiple_Sheet1_Cost Of Funds" xfId="744" xr:uid="{00000000-0005-0000-0000-000062020000}"/>
    <cellStyle name="_Multiple_Sheet1_Criteria" xfId="745" xr:uid="{00000000-0005-0000-0000-000063020000}"/>
    <cellStyle name="_Multiple_Sheet1_Criteria Test Export" xfId="746" xr:uid="{00000000-0005-0000-0000-000064020000}"/>
    <cellStyle name="_Multiple_Sheet1_Data Tape" xfId="747" xr:uid="{00000000-0005-0000-0000-000065020000}"/>
    <cellStyle name="_Multiple_Sheet1_Data Tape_1" xfId="748" xr:uid="{00000000-0005-0000-0000-000066020000}"/>
    <cellStyle name="_Multiple_Sheet1_Data_Tape" xfId="749" xr:uid="{00000000-0005-0000-0000-000067020000}"/>
    <cellStyle name="_Multiple_Sheet1_Deal Input" xfId="750" xr:uid="{00000000-0005-0000-0000-000068020000}"/>
    <cellStyle name="_Multiple_Sheet1_Direct Cap Eye" xfId="751" xr:uid="{00000000-0005-0000-0000-000069020000}"/>
    <cellStyle name="_Multiple_Sheet1_DPEM2005_vBetatest6" xfId="752" xr:uid="{00000000-0005-0000-0000-00006A020000}"/>
    <cellStyle name="_Multiple_Sheet1_ETR" xfId="753" xr:uid="{00000000-0005-0000-0000-00006B020000}"/>
    <cellStyle name="_Multiple_Sheet1_Existing Debt" xfId="754" xr:uid="{00000000-0005-0000-0000-00006C020000}"/>
    <cellStyle name="_Multiple_Sheet1_Input" xfId="755" xr:uid="{00000000-0005-0000-0000-00006D020000}"/>
    <cellStyle name="_Multiple_Sheet1_Input_1" xfId="756" xr:uid="{00000000-0005-0000-0000-00006E020000}"/>
    <cellStyle name="_Multiple_Sheet1_Input_Data Tape" xfId="757" xr:uid="{00000000-0005-0000-0000-00006F020000}"/>
    <cellStyle name="_Multiple_Sheet1_M&amp;A Feed" xfId="758" xr:uid="{00000000-0005-0000-0000-000070020000}"/>
    <cellStyle name="_Multiple_Sheet1_NPV Case Eyechart" xfId="759" xr:uid="{00000000-0005-0000-0000-000071020000}"/>
    <cellStyle name="_Multiple_Sheet1_Pools" xfId="760" xr:uid="{00000000-0005-0000-0000-000072020000}"/>
    <cellStyle name="_Multiple_Sheet1_Pools_1" xfId="761" xr:uid="{00000000-0005-0000-0000-000073020000}"/>
    <cellStyle name="_Multiple_Sheet1_Portfolio Valuation" xfId="762" xr:uid="{00000000-0005-0000-0000-000074020000}"/>
    <cellStyle name="_Multiple_Sheet1_Prop 13" xfId="763" xr:uid="{00000000-0005-0000-0000-000075020000}"/>
    <cellStyle name="_Multiple_Sheet1_Prop 13 Data" xfId="764" xr:uid="{00000000-0005-0000-0000-000076020000}"/>
    <cellStyle name="_Multiple_Sheet1_Prop 13 Summary-11-10" xfId="765" xr:uid="{00000000-0005-0000-0000-000077020000}"/>
    <cellStyle name="_Multiple_Sheet1_Property Assumptions" xfId="766" xr:uid="{00000000-0005-0000-0000-000078020000}"/>
    <cellStyle name="_Multiple_Sheet1_Property Assumptions_1" xfId="767" xr:uid="{00000000-0005-0000-0000-000079020000}"/>
    <cellStyle name="_Multiple_Sheet1_Quick Property Input" xfId="768" xr:uid="{00000000-0005-0000-0000-00007A020000}"/>
    <cellStyle name="_Multiple_Sheet1_Senario Input Assumptions" xfId="769" xr:uid="{00000000-0005-0000-0000-00007B020000}"/>
    <cellStyle name="_Multiple_Sheet1_Sheet1" xfId="770" xr:uid="{00000000-0005-0000-0000-00007C020000}"/>
    <cellStyle name="_Multiple_Sheet1_Sheet2" xfId="771" xr:uid="{00000000-0005-0000-0000-00007D020000}"/>
    <cellStyle name="_Multiple_Sheet1_Sheet2_1" xfId="772" xr:uid="{00000000-0005-0000-0000-00007E020000}"/>
    <cellStyle name="_Multiple_Sheet1_Sheet3" xfId="773" xr:uid="{00000000-0005-0000-0000-00007F020000}"/>
    <cellStyle name="_Multiple_Sheet1_Sheet5" xfId="774" xr:uid="{00000000-0005-0000-0000-000080020000}"/>
    <cellStyle name="_Multiple_Sheet1_Structure Model_2003_test2" xfId="775" xr:uid="{00000000-0005-0000-0000-000081020000}"/>
    <cellStyle name="_Multiple_Sheet2" xfId="776" xr:uid="{00000000-0005-0000-0000-000082020000}"/>
    <cellStyle name="_Multiple_Sheet2_1" xfId="777" xr:uid="{00000000-0005-0000-0000-000083020000}"/>
    <cellStyle name="_Multiple_Sheet3" xfId="778" xr:uid="{00000000-0005-0000-0000-000084020000}"/>
    <cellStyle name="_Multiple_Sheet3_1" xfId="779" xr:uid="{00000000-0005-0000-0000-000085020000}"/>
    <cellStyle name="_Multiple_Sheet4" xfId="780" xr:uid="{00000000-0005-0000-0000-000086020000}"/>
    <cellStyle name="_Multiple_Sheet5" xfId="781" xr:uid="{00000000-0005-0000-0000-000087020000}"/>
    <cellStyle name="_Multiple_Structure Model_2003_test2" xfId="782" xr:uid="{00000000-0005-0000-0000-000088020000}"/>
    <cellStyle name="_MultipleSpace" xfId="783" xr:uid="{00000000-0005-0000-0000-000089020000}"/>
    <cellStyle name="_MultipleSpace_ARI Base Case July 25 TPS1" xfId="784" xr:uid="{00000000-0005-0000-0000-00008A020000}"/>
    <cellStyle name="_MultipleSpace_DB_Eye" xfId="785" xr:uid="{00000000-0005-0000-0000-00008B020000}"/>
    <cellStyle name="_MultipleSpace_Existing Debt" xfId="786" xr:uid="{00000000-0005-0000-0000-00008C020000}"/>
    <cellStyle name="_MultipleSpace_EyeChart" xfId="787" xr:uid="{00000000-0005-0000-0000-00008D020000}"/>
    <cellStyle name="_MultipleSpace_EyeChart 090503" xfId="788" xr:uid="{00000000-0005-0000-0000-00008E020000}"/>
    <cellStyle name="_MultipleSpace_Input" xfId="789" xr:uid="{00000000-0005-0000-0000-00008F020000}"/>
    <cellStyle name="_MultipleSpace_Input_1" xfId="790" xr:uid="{00000000-0005-0000-0000-000090020000}"/>
    <cellStyle name="_MultipleSpace_Pricing" xfId="791" xr:uid="{00000000-0005-0000-0000-000091020000}"/>
    <cellStyle name="_MultipleSpace_Sheet2" xfId="792" xr:uid="{00000000-0005-0000-0000-000092020000}"/>
    <cellStyle name="_MultipleSpace_Sheet4" xfId="793" xr:uid="{00000000-0005-0000-0000-000093020000}"/>
    <cellStyle name="_Percent" xfId="794" xr:uid="{00000000-0005-0000-0000-000094020000}"/>
    <cellStyle name="_Percent_ARI Base Case July 25 TPS1" xfId="795" xr:uid="{00000000-0005-0000-0000-000095020000}"/>
    <cellStyle name="_Percent_Existing Debt" xfId="796" xr:uid="{00000000-0005-0000-0000-000096020000}"/>
    <cellStyle name="_PercentSpace" xfId="797" xr:uid="{00000000-0005-0000-0000-000097020000}"/>
    <cellStyle name="_PercentSpace_ARI Base Case July 25 TPS1" xfId="798" xr:uid="{00000000-0005-0000-0000-000098020000}"/>
    <cellStyle name="_PercentSpace_Existing Debt" xfId="799" xr:uid="{00000000-0005-0000-0000-000099020000}"/>
    <cellStyle name="_SubHeading" xfId="800" xr:uid="{00000000-0005-0000-0000-00009A020000}"/>
    <cellStyle name="_Table" xfId="801" xr:uid="{00000000-0005-0000-0000-00009B020000}"/>
    <cellStyle name="_TableHead" xfId="802" xr:uid="{00000000-0005-0000-0000-00009C020000}"/>
    <cellStyle name="_TableRowHead" xfId="803" xr:uid="{00000000-0005-0000-0000-00009D020000}"/>
    <cellStyle name="_TableSuperHead" xfId="804" xr:uid="{00000000-0005-0000-0000-00009E020000}"/>
    <cellStyle name="0.0 x" xfId="805" xr:uid="{00000000-0005-0000-0000-0000A2020000}"/>
    <cellStyle name="000" xfId="806" xr:uid="{00000000-0005-0000-0000-0000A3020000}"/>
    <cellStyle name="1" xfId="807" xr:uid="{00000000-0005-0000-0000-0000A4020000}"/>
    <cellStyle name="1_03-05-31 Final OBS Reports" xfId="808" xr:uid="{00000000-0005-0000-0000-0000A5020000}"/>
    <cellStyle name="1_GMACCH_Loans_OBS_033103_Final_v2" xfId="809" xr:uid="{00000000-0005-0000-0000-0000A6020000}"/>
    <cellStyle name="1_Japan - 3Q02 Risk Rating Worksheet - 101602_Japan" xfId="810" xr:uid="{00000000-0005-0000-0000-0000A7020000}"/>
    <cellStyle name="1_Japan - 3Q02 Risk Rating Worksheet - 101602_Japan_Comparison vs. prior_Q2 2003" xfId="811" xr:uid="{00000000-0005-0000-0000-0000A8020000}"/>
    <cellStyle name="1_Japan - 4Q2002 - Risk Rating Worksheet_final" xfId="812" xr:uid="{00000000-0005-0000-0000-0000A9020000}"/>
    <cellStyle name="1_Japan - 4Q2002 - Risk Rating Worksheet_final_12.11.2002" xfId="813" xr:uid="{00000000-0005-0000-0000-0000AA020000}"/>
    <cellStyle name="1_Japan - 4Q2002 - Risk Rating Worksheet_final_12.11.2002_Comparison vs. prior_Q2 2003" xfId="814" xr:uid="{00000000-0005-0000-0000-0000AB020000}"/>
    <cellStyle name="1_Japan - 4Q2002 - Risk Rating Worksheet_final_Comparison vs. prior_Q2 2003" xfId="815" xr:uid="{00000000-0005-0000-0000-0000AC020000}"/>
    <cellStyle name="1_Japan-1Q2003 - Risk Rating Worksheet03.06.2003F" xfId="816" xr:uid="{00000000-0005-0000-0000-0000AD020000}"/>
    <cellStyle name="1_Japan-1Q2003 - Risk Rating Worksheet03.06.2003F_Comparison vs. prior_Q2 2003" xfId="817" xr:uid="{00000000-0005-0000-0000-0000AE020000}"/>
    <cellStyle name="1_SALEM" xfId="818" xr:uid="{00000000-0005-0000-0000-0000AF020000}"/>
    <cellStyle name="1_SALEM_03-05-31 Final OBS Reports" xfId="819" xr:uid="{00000000-0005-0000-0000-0000B0020000}"/>
    <cellStyle name="1_SALEM_GMACCH_Loans_OBS_033103_Final_v2" xfId="820" xr:uid="{00000000-0005-0000-0000-0000B1020000}"/>
    <cellStyle name="1_SALEM_Japan - 3Q02 Risk Rating Worksheet - 101602_Japan" xfId="821" xr:uid="{00000000-0005-0000-0000-0000B2020000}"/>
    <cellStyle name="1_SALEM_Japan - 3Q02 Risk Rating Worksheet - 101602_Japan_Comparison vs. prior_Q2 2003" xfId="822" xr:uid="{00000000-0005-0000-0000-0000B3020000}"/>
    <cellStyle name="1_SALEM_Japan - 4Q2002 - Risk Rating Worksheet_final" xfId="823" xr:uid="{00000000-0005-0000-0000-0000B4020000}"/>
    <cellStyle name="1_SALEM_Japan - 4Q2002 - Risk Rating Worksheet_final_12.11.2002" xfId="824" xr:uid="{00000000-0005-0000-0000-0000B5020000}"/>
    <cellStyle name="1_SALEM_Japan - 4Q2002 - Risk Rating Worksheet_final_12.11.2002_Comparison vs. prior_Q2 2003" xfId="825" xr:uid="{00000000-0005-0000-0000-0000B6020000}"/>
    <cellStyle name="1_SALEM_Japan - 4Q2002 - Risk Rating Worksheet_final_Comparison vs. prior_Q2 2003" xfId="826" xr:uid="{00000000-0005-0000-0000-0000B7020000}"/>
    <cellStyle name="1_SALEM_Japan-1Q2003 - Risk Rating Worksheet03.06.2003F" xfId="827" xr:uid="{00000000-0005-0000-0000-0000B8020000}"/>
    <cellStyle name="1_SALEM_Japan-1Q2003 - Risk Rating Worksheet03.06.2003F_Comparison vs. prior_Q2 2003" xfId="828" xr:uid="{00000000-0005-0000-0000-0000B9020000}"/>
    <cellStyle name="1_SALEM_Sheet1" xfId="829" xr:uid="{00000000-0005-0000-0000-0000BA020000}"/>
    <cellStyle name="1_SALEM_Sheet3" xfId="830" xr:uid="{00000000-0005-0000-0000-0000BB020000}"/>
    <cellStyle name="1_sec8 (2)" xfId="831" xr:uid="{00000000-0005-0000-0000-0000BC020000}"/>
    <cellStyle name="1_sec8 (2)_03-05-31 Final OBS Reports" xfId="832" xr:uid="{00000000-0005-0000-0000-0000BD020000}"/>
    <cellStyle name="1_sec8 (2)_GMACCH_Loans_OBS_033103_Final_v2" xfId="833" xr:uid="{00000000-0005-0000-0000-0000BE020000}"/>
    <cellStyle name="1_sec8 (2)_Japan - 3Q02 Risk Rating Worksheet - 101602_Japan" xfId="834" xr:uid="{00000000-0005-0000-0000-0000BF020000}"/>
    <cellStyle name="1_sec8 (2)_Japan - 3Q02 Risk Rating Worksheet - 101602_Japan_Comparison vs. prior_Q2 2003" xfId="835" xr:uid="{00000000-0005-0000-0000-0000C0020000}"/>
    <cellStyle name="1_sec8 (2)_Japan - 4Q2002 - Risk Rating Worksheet_final" xfId="836" xr:uid="{00000000-0005-0000-0000-0000C1020000}"/>
    <cellStyle name="1_sec8 (2)_Japan - 4Q2002 - Risk Rating Worksheet_final_12.11.2002" xfId="837" xr:uid="{00000000-0005-0000-0000-0000C2020000}"/>
    <cellStyle name="1_sec8 (2)_Japan - 4Q2002 - Risk Rating Worksheet_final_12.11.2002_Comparison vs. prior_Q2 2003" xfId="838" xr:uid="{00000000-0005-0000-0000-0000C3020000}"/>
    <cellStyle name="1_sec8 (2)_Japan - 4Q2002 - Risk Rating Worksheet_final_Comparison vs. prior_Q2 2003" xfId="839" xr:uid="{00000000-0005-0000-0000-0000C4020000}"/>
    <cellStyle name="1_sec8 (2)_Japan-1Q2003 - Risk Rating Worksheet03.06.2003F" xfId="840" xr:uid="{00000000-0005-0000-0000-0000C5020000}"/>
    <cellStyle name="1_sec8 (2)_Japan-1Q2003 - Risk Rating Worksheet03.06.2003F_Comparison vs. prior_Q2 2003" xfId="841" xr:uid="{00000000-0005-0000-0000-0000C6020000}"/>
    <cellStyle name="1_sec8 (2)_Sheet1" xfId="842" xr:uid="{00000000-0005-0000-0000-0000C7020000}"/>
    <cellStyle name="1_sec8 (2)_Sheet3" xfId="843" xr:uid="{00000000-0005-0000-0000-0000C8020000}"/>
    <cellStyle name="1_Sheet1" xfId="844" xr:uid="{00000000-0005-0000-0000-0000C9020000}"/>
    <cellStyle name="1_Sheet3" xfId="845" xr:uid="{00000000-0005-0000-0000-0000CA020000}"/>
    <cellStyle name="2" xfId="846" xr:uid="{00000000-0005-0000-0000-0000CB020000}"/>
    <cellStyle name="2_03-05-31 Final OBS Reports" xfId="847" xr:uid="{00000000-0005-0000-0000-0000CC020000}"/>
    <cellStyle name="2_GMACCH_Loans_OBS_033103_Final_v2" xfId="848" xr:uid="{00000000-0005-0000-0000-0000CD020000}"/>
    <cellStyle name="2_Japan - 3Q02 Risk Rating Worksheet - 101602_Japan" xfId="849" xr:uid="{00000000-0005-0000-0000-0000CE020000}"/>
    <cellStyle name="2_Japan - 3Q02 Risk Rating Worksheet - 101602_Japan_Comparison vs. prior_Q2 2003" xfId="850" xr:uid="{00000000-0005-0000-0000-0000CF020000}"/>
    <cellStyle name="2_Japan - 4Q2002 - Risk Rating Worksheet_final" xfId="851" xr:uid="{00000000-0005-0000-0000-0000D0020000}"/>
    <cellStyle name="2_Japan - 4Q2002 - Risk Rating Worksheet_final_12.11.2002" xfId="852" xr:uid="{00000000-0005-0000-0000-0000D1020000}"/>
    <cellStyle name="2_Japan - 4Q2002 - Risk Rating Worksheet_final_12.11.2002_Comparison vs. prior_Q2 2003" xfId="853" xr:uid="{00000000-0005-0000-0000-0000D2020000}"/>
    <cellStyle name="2_Japan - 4Q2002 - Risk Rating Worksheet_final_Comparison vs. prior_Q2 2003" xfId="854" xr:uid="{00000000-0005-0000-0000-0000D3020000}"/>
    <cellStyle name="2_Japan-1Q2003 - Risk Rating Worksheet03.06.2003F" xfId="855" xr:uid="{00000000-0005-0000-0000-0000D4020000}"/>
    <cellStyle name="2_Japan-1Q2003 - Risk Rating Worksheet03.06.2003F_Comparison vs. prior_Q2 2003" xfId="856" xr:uid="{00000000-0005-0000-0000-0000D5020000}"/>
    <cellStyle name="2_SALEM" xfId="857" xr:uid="{00000000-0005-0000-0000-0000D6020000}"/>
    <cellStyle name="2_SALEM_03-05-31 Final OBS Reports" xfId="858" xr:uid="{00000000-0005-0000-0000-0000D7020000}"/>
    <cellStyle name="2_SALEM_GMACCH_Loans_OBS_033103_Final_v2" xfId="859" xr:uid="{00000000-0005-0000-0000-0000D8020000}"/>
    <cellStyle name="2_SALEM_Japan - 3Q02 Risk Rating Worksheet - 101602_Japan" xfId="860" xr:uid="{00000000-0005-0000-0000-0000D9020000}"/>
    <cellStyle name="2_SALEM_Japan - 3Q02 Risk Rating Worksheet - 101602_Japan_Comparison vs. prior_Q2 2003" xfId="861" xr:uid="{00000000-0005-0000-0000-0000DA020000}"/>
    <cellStyle name="2_SALEM_Japan - 4Q2002 - Risk Rating Worksheet_final" xfId="862" xr:uid="{00000000-0005-0000-0000-0000DB020000}"/>
    <cellStyle name="2_SALEM_Japan - 4Q2002 - Risk Rating Worksheet_final_12.11.2002" xfId="863" xr:uid="{00000000-0005-0000-0000-0000DC020000}"/>
    <cellStyle name="2_SALEM_Japan - 4Q2002 - Risk Rating Worksheet_final_12.11.2002_Comparison vs. prior_Q2 2003" xfId="864" xr:uid="{00000000-0005-0000-0000-0000DD020000}"/>
    <cellStyle name="2_SALEM_Japan - 4Q2002 - Risk Rating Worksheet_final_Comparison vs. prior_Q2 2003" xfId="865" xr:uid="{00000000-0005-0000-0000-0000DE020000}"/>
    <cellStyle name="2_SALEM_Japan-1Q2003 - Risk Rating Worksheet03.06.2003F" xfId="866" xr:uid="{00000000-0005-0000-0000-0000DF020000}"/>
    <cellStyle name="2_SALEM_Japan-1Q2003 - Risk Rating Worksheet03.06.2003F_Comparison vs. prior_Q2 2003" xfId="867" xr:uid="{00000000-0005-0000-0000-0000E0020000}"/>
    <cellStyle name="2_SALEM_Sheet1" xfId="868" xr:uid="{00000000-0005-0000-0000-0000E1020000}"/>
    <cellStyle name="2_SALEM_Sheet3" xfId="869" xr:uid="{00000000-0005-0000-0000-0000E2020000}"/>
    <cellStyle name="2_Sheet1" xfId="870" xr:uid="{00000000-0005-0000-0000-0000E3020000}"/>
    <cellStyle name="2_Sheet3" xfId="871" xr:uid="{00000000-0005-0000-0000-0000E4020000}"/>
    <cellStyle name="3" xfId="872" xr:uid="{00000000-0005-0000-0000-0000E5020000}"/>
    <cellStyle name="3$" xfId="873" xr:uid="{00000000-0005-0000-0000-0000F2020000}"/>
    <cellStyle name="3_03-05-31 Final OBS Reports" xfId="874" xr:uid="{00000000-0005-0000-0000-0000E6020000}"/>
    <cellStyle name="3_GMACCH_Loans_OBS_033103_Final_v2" xfId="875" xr:uid="{00000000-0005-0000-0000-0000E7020000}"/>
    <cellStyle name="3_Japan - 3Q02 Risk Rating Worksheet - 101602_Japan" xfId="876" xr:uid="{00000000-0005-0000-0000-0000E8020000}"/>
    <cellStyle name="3_Japan - 3Q02 Risk Rating Worksheet - 101602_Japan_Comparison vs. prior_Q2 2003" xfId="877" xr:uid="{00000000-0005-0000-0000-0000E9020000}"/>
    <cellStyle name="3_Japan - 4Q2002 - Risk Rating Worksheet_final" xfId="878" xr:uid="{00000000-0005-0000-0000-0000EA020000}"/>
    <cellStyle name="3_Japan - 4Q2002 - Risk Rating Worksheet_final_12.11.2002" xfId="879" xr:uid="{00000000-0005-0000-0000-0000EB020000}"/>
    <cellStyle name="3_Japan - 4Q2002 - Risk Rating Worksheet_final_12.11.2002_Comparison vs. prior_Q2 2003" xfId="880" xr:uid="{00000000-0005-0000-0000-0000EC020000}"/>
    <cellStyle name="3_Japan - 4Q2002 - Risk Rating Worksheet_final_Comparison vs. prior_Q2 2003" xfId="881" xr:uid="{00000000-0005-0000-0000-0000ED020000}"/>
    <cellStyle name="3_Japan-1Q2003 - Risk Rating Worksheet03.06.2003F" xfId="882" xr:uid="{00000000-0005-0000-0000-0000EE020000}"/>
    <cellStyle name="3_Japan-1Q2003 - Risk Rating Worksheet03.06.2003F_Comparison vs. prior_Q2 2003" xfId="883" xr:uid="{00000000-0005-0000-0000-0000EF020000}"/>
    <cellStyle name="3_Sheet1" xfId="884" xr:uid="{00000000-0005-0000-0000-0000F0020000}"/>
    <cellStyle name="3_Sheet3" xfId="885" xr:uid="{00000000-0005-0000-0000-0000F1020000}"/>
    <cellStyle name="A" xfId="886" xr:uid="{00000000-0005-0000-0000-0000F3020000}"/>
    <cellStyle name="Actual Date" xfId="887" xr:uid="{00000000-0005-0000-0000-0000F4020000}"/>
    <cellStyle name="AFE" xfId="888" xr:uid="{00000000-0005-0000-0000-0000F5020000}"/>
    <cellStyle name="ag" xfId="889" xr:uid="{00000000-0005-0000-0000-0000F6020000}"/>
    <cellStyle name="args.style" xfId="890" xr:uid="{00000000-0005-0000-0000-0000F7020000}"/>
    <cellStyle name="Arial 10" xfId="891" xr:uid="{00000000-0005-0000-0000-0000F8020000}"/>
    <cellStyle name="Arial 12" xfId="892" xr:uid="{00000000-0005-0000-0000-0000F9020000}"/>
    <cellStyle name="BLACK" xfId="893" xr:uid="{00000000-0005-0000-0000-0000FA020000}"/>
    <cellStyle name="Blank[,]" xfId="894" xr:uid="{00000000-0005-0000-0000-0000FB020000}"/>
    <cellStyle name="Blank[1%]" xfId="895" xr:uid="{00000000-0005-0000-0000-0000FC020000}"/>
    <cellStyle name="Blue" xfId="896" xr:uid="{00000000-0005-0000-0000-0000FD020000}"/>
    <cellStyle name="blue currency" xfId="897" xr:uid="{00000000-0005-0000-0000-0000FE020000}"/>
    <cellStyle name="BLUE date" xfId="898" xr:uid="{00000000-0005-0000-0000-0000FF020000}"/>
    <cellStyle name="blue$00" xfId="899" xr:uid="{00000000-0005-0000-0000-000001030000}"/>
    <cellStyle name="BLUE_Citrix_2pgr2" xfId="900" xr:uid="{00000000-0005-0000-0000-000000030000}"/>
    <cellStyle name="Body" xfId="901" xr:uid="{00000000-0005-0000-0000-000002030000}"/>
    <cellStyle name="BOLD, 8 POINT" xfId="902" xr:uid="{00000000-0005-0000-0000-000003030000}"/>
    <cellStyle name="BoldItalicNoUnderline" xfId="903" xr:uid="{00000000-0005-0000-0000-000004030000}"/>
    <cellStyle name="BoldSDoubUnderlineBack" xfId="904" xr:uid="{00000000-0005-0000-0000-000005030000}"/>
    <cellStyle name="BoldSingUnderline" xfId="905" xr:uid="{00000000-0005-0000-0000-000006030000}"/>
    <cellStyle name="Border Heavy" xfId="906" xr:uid="{00000000-0005-0000-0000-000007030000}"/>
    <cellStyle name="Border Thin" xfId="907" xr:uid="{00000000-0005-0000-0000-000008030000}"/>
    <cellStyle name="bottomHeavy" xfId="908" xr:uid="{00000000-0005-0000-0000-000009030000}"/>
    <cellStyle name="bottomHeavy-w-left" xfId="909" xr:uid="{00000000-0005-0000-0000-00000A030000}"/>
    <cellStyle name="brad" xfId="910" xr:uid="{00000000-0005-0000-0000-00000B030000}"/>
    <cellStyle name="British Pound" xfId="911" xr:uid="{00000000-0005-0000-0000-00000C030000}"/>
    <cellStyle name="Ç¥ÁØ_¿ù°£¿ä¾àº¸°í" xfId="912" xr:uid="{00000000-0005-0000-0000-00000D030000}"/>
    <cellStyle name="Calc Currency (0)" xfId="913" xr:uid="{00000000-0005-0000-0000-00000E030000}"/>
    <cellStyle name="Calc Currency (2)" xfId="914" xr:uid="{00000000-0005-0000-0000-00000F030000}"/>
    <cellStyle name="Calc Percent (0)" xfId="915" xr:uid="{00000000-0005-0000-0000-000010030000}"/>
    <cellStyle name="Calc Percent (1)" xfId="916" xr:uid="{00000000-0005-0000-0000-000011030000}"/>
    <cellStyle name="Calc Percent (2)" xfId="917" xr:uid="{00000000-0005-0000-0000-000012030000}"/>
    <cellStyle name="Calc Units (0)" xfId="918" xr:uid="{00000000-0005-0000-0000-000013030000}"/>
    <cellStyle name="Calc Units (1)" xfId="919" xr:uid="{00000000-0005-0000-0000-000014030000}"/>
    <cellStyle name="Calc Units (2)" xfId="920" xr:uid="{00000000-0005-0000-0000-000015030000}"/>
    <cellStyle name="caps 0.00" xfId="921" xr:uid="{00000000-0005-0000-0000-000016030000}"/>
    <cellStyle name="capsdate" xfId="922" xr:uid="{00000000-0005-0000-0000-000017030000}"/>
    <cellStyle name="Case" xfId="923" xr:uid="{00000000-0005-0000-0000-000018030000}"/>
    <cellStyle name="Cash Flow Statement" xfId="924" xr:uid="{00000000-0005-0000-0000-000019030000}"/>
    <cellStyle name="Center Across" xfId="925" xr:uid="{00000000-0005-0000-0000-00001A030000}"/>
    <cellStyle name="colheadleft" xfId="926" xr:uid="{00000000-0005-0000-0000-00001B030000}"/>
    <cellStyle name="colheadright" xfId="927" xr:uid="{00000000-0005-0000-0000-00001C030000}"/>
    <cellStyle name="Column Heading" xfId="928" xr:uid="{00000000-0005-0000-0000-00001D030000}"/>
    <cellStyle name="ColumnHeading" xfId="929" xr:uid="{00000000-0005-0000-0000-00001E030000}"/>
    <cellStyle name="Comma" xfId="1360" builtinId="3"/>
    <cellStyle name="Comma [0]" xfId="1361" builtinId="6"/>
    <cellStyle name="Comma [00]" xfId="930" xr:uid="{00000000-0005-0000-0000-000020030000}"/>
    <cellStyle name="Comma [1]" xfId="931" xr:uid="{00000000-0005-0000-0000-000021030000}"/>
    <cellStyle name="Comma 0" xfId="932" xr:uid="{00000000-0005-0000-0000-000022030000}"/>
    <cellStyle name="Comma 0*" xfId="933" xr:uid="{00000000-0005-0000-0000-000023030000}"/>
    <cellStyle name="Comma 2" xfId="3" xr:uid="{00000000-0005-0000-0000-000024030000}"/>
    <cellStyle name="Comma 2 10" xfId="22" xr:uid="{00000000-0005-0000-0000-000025030000}"/>
    <cellStyle name="Comma 2 2" xfId="11" xr:uid="{00000000-0005-0000-0000-000026030000}"/>
    <cellStyle name="Comma 3" xfId="17" xr:uid="{00000000-0005-0000-0000-000027030000}"/>
    <cellStyle name="Comma 4" xfId="20" xr:uid="{00000000-0005-0000-0000-000028030000}"/>
    <cellStyle name="Comma 5" xfId="934" xr:uid="{00000000-0005-0000-0000-000029030000}"/>
    <cellStyle name="Comma 6" xfId="935" xr:uid="{00000000-0005-0000-0000-00002A030000}"/>
    <cellStyle name="Comma 7" xfId="936" xr:uid="{00000000-0005-0000-0000-00002B030000}"/>
    <cellStyle name="Comma 8" xfId="1350" xr:uid="{00000000-0005-0000-0000-00002C030000}"/>
    <cellStyle name="Comma 9" xfId="1359" xr:uid="{DC164E84-3E58-4E35-9903-251FD07BA1A7}"/>
    <cellStyle name="Comma0" xfId="937" xr:uid="{00000000-0005-0000-0000-00002D030000}"/>
    <cellStyle name="Comma0 - Style3" xfId="938" xr:uid="{00000000-0005-0000-0000-00002E030000}"/>
    <cellStyle name="Comma0 - Style5" xfId="939" xr:uid="{00000000-0005-0000-0000-00002F030000}"/>
    <cellStyle name="Comma0_Criteria" xfId="940" xr:uid="{00000000-0005-0000-0000-000030030000}"/>
    <cellStyle name="Comma1 - Style1" xfId="941" xr:uid="{00000000-0005-0000-0000-000031030000}"/>
    <cellStyle name="CommaFixed" xfId="942" xr:uid="{00000000-0005-0000-0000-000032030000}"/>
    <cellStyle name="CommaNoDec" xfId="943" xr:uid="{00000000-0005-0000-0000-000033030000}"/>
    <cellStyle name="CommaNoDecTot" xfId="944" xr:uid="{00000000-0005-0000-0000-000034030000}"/>
    <cellStyle name="CommaTotTop" xfId="945" xr:uid="{00000000-0005-0000-0000-000035030000}"/>
    <cellStyle name="CommaTotTopNoDec" xfId="946" xr:uid="{00000000-0005-0000-0000-000036030000}"/>
    <cellStyle name="Copied" xfId="947" xr:uid="{00000000-0005-0000-0000-000037030000}"/>
    <cellStyle name="COST1" xfId="948" xr:uid="{00000000-0005-0000-0000-000038030000}"/>
    <cellStyle name="Curren - Style2" xfId="949" xr:uid="{00000000-0005-0000-0000-000039030000}"/>
    <cellStyle name="Curren - Style4" xfId="950" xr:uid="{00000000-0005-0000-0000-00003A030000}"/>
    <cellStyle name="Currency" xfId="18" builtinId="4"/>
    <cellStyle name="Currency [00]" xfId="951" xr:uid="{00000000-0005-0000-0000-00003C030000}"/>
    <cellStyle name="Currency [2]" xfId="952" xr:uid="{00000000-0005-0000-0000-00003D030000}"/>
    <cellStyle name="Currency 0" xfId="953" xr:uid="{00000000-0005-0000-0000-00003E030000}"/>
    <cellStyle name="Currency 2" xfId="4" xr:uid="{00000000-0005-0000-0000-00003F030000}"/>
    <cellStyle name="Currency 2 2" xfId="12" xr:uid="{00000000-0005-0000-0000-000040030000}"/>
    <cellStyle name="Currency 2 3" xfId="1355" xr:uid="{00000000-0005-0000-0000-000041030000}"/>
    <cellStyle name="Currency 3" xfId="954" xr:uid="{00000000-0005-0000-0000-000042030000}"/>
    <cellStyle name="Currency 4" xfId="955" xr:uid="{00000000-0005-0000-0000-000043030000}"/>
    <cellStyle name="Currency 5" xfId="956" xr:uid="{00000000-0005-0000-0000-000044030000}"/>
    <cellStyle name="Currency 6" xfId="957" xr:uid="{00000000-0005-0000-0000-000045030000}"/>
    <cellStyle name="Currency 7" xfId="958" xr:uid="{00000000-0005-0000-0000-000046030000}"/>
    <cellStyle name="Currency 8" xfId="1358" xr:uid="{E3B2DBE1-D04C-412B-9A10-6043A65E5AC8}"/>
    <cellStyle name="Currency0" xfId="959" xr:uid="{00000000-0005-0000-0000-000047030000}"/>
    <cellStyle name="Currency1" xfId="960" xr:uid="{00000000-0005-0000-0000-000048030000}"/>
    <cellStyle name="CurrencyTotTop[" xfId="961" xr:uid="{00000000-0005-0000-0000-000049030000}"/>
    <cellStyle name="D" xfId="962" xr:uid="{00000000-0005-0000-0000-00004A030000}"/>
    <cellStyle name="Date" xfId="963" xr:uid="{00000000-0005-0000-0000-00004B030000}"/>
    <cellStyle name="Date Aligned" xfId="964" xr:uid="{00000000-0005-0000-0000-00004C030000}"/>
    <cellStyle name="date month-year" xfId="965" xr:uid="{00000000-0005-0000-0000-00004D030000}"/>
    <cellStyle name="Date Short" xfId="966" xr:uid="{00000000-0005-0000-0000-00004E030000}"/>
    <cellStyle name="date_09.01.01_Property_Tax_Basis1" xfId="967" xr:uid="{00000000-0005-0000-0000-00004F030000}"/>
    <cellStyle name="Date1" xfId="968" xr:uid="{00000000-0005-0000-0000-000050030000}"/>
    <cellStyle name="DATETIME" xfId="969" xr:uid="{00000000-0005-0000-0000-000051030000}"/>
    <cellStyle name="decimal 0" xfId="970" xr:uid="{00000000-0005-0000-0000-000052030000}"/>
    <cellStyle name="decimal 1" xfId="971" xr:uid="{00000000-0005-0000-0000-000053030000}"/>
    <cellStyle name="decimal 2" xfId="972" xr:uid="{00000000-0005-0000-0000-000054030000}"/>
    <cellStyle name="Dollar" xfId="973" xr:uid="{00000000-0005-0000-0000-000055030000}"/>
    <cellStyle name="Dollar1" xfId="974" xr:uid="{00000000-0005-0000-0000-000056030000}"/>
    <cellStyle name="Dollar1Blue" xfId="975" xr:uid="{00000000-0005-0000-0000-000057030000}"/>
    <cellStyle name="Dollar2" xfId="976" xr:uid="{00000000-0005-0000-0000-000058030000}"/>
    <cellStyle name="Dotted Line" xfId="977" xr:uid="{00000000-0005-0000-0000-000059030000}"/>
    <cellStyle name="Double Accounting" xfId="978" xr:uid="{00000000-0005-0000-0000-00005A030000}"/>
    <cellStyle name="dp*Accent" xfId="979" xr:uid="{00000000-0005-0000-0000-00005B030000}"/>
    <cellStyle name="dp*ChartSubTitle" xfId="980" xr:uid="{00000000-0005-0000-0000-00005C030000}"/>
    <cellStyle name="dp*ChartTitle" xfId="981" xr:uid="{00000000-0005-0000-0000-00005D030000}"/>
    <cellStyle name="dp*ColumnHeading1" xfId="982" xr:uid="{00000000-0005-0000-0000-00005E030000}"/>
    <cellStyle name="dp*ColumnHeading2" xfId="983" xr:uid="{00000000-0005-0000-0000-00005F030000}"/>
    <cellStyle name="dp*ColumnHeadingDate" xfId="984" xr:uid="{00000000-0005-0000-0000-000060030000}"/>
    <cellStyle name="dp*FiscalDate" xfId="985" xr:uid="{00000000-0005-0000-0000-000061030000}"/>
    <cellStyle name="dp*Footnote" xfId="986" xr:uid="{00000000-0005-0000-0000-000062030000}"/>
    <cellStyle name="dp*Information" xfId="987" xr:uid="{00000000-0005-0000-0000-000063030000}"/>
    <cellStyle name="dp*LabelItalics" xfId="988" xr:uid="{00000000-0005-0000-0000-000064030000}"/>
    <cellStyle name="dp*LabelItalicsLineAbove" xfId="989" xr:uid="{00000000-0005-0000-0000-000065030000}"/>
    <cellStyle name="dp*LabelLine" xfId="990" xr:uid="{00000000-0005-0000-0000-000066030000}"/>
    <cellStyle name="dp*Labels" xfId="991" xr:uid="{00000000-0005-0000-0000-000067030000}"/>
    <cellStyle name="dp*Normal" xfId="992" xr:uid="{00000000-0005-0000-0000-000068030000}"/>
    <cellStyle name="dp*NormalCurrency1Dec." xfId="993" xr:uid="{00000000-0005-0000-0000-000069030000}"/>
    <cellStyle name="dp*NormalCurrency2Dec." xfId="994" xr:uid="{00000000-0005-0000-0000-00006A030000}"/>
    <cellStyle name="dp*Number%Italics" xfId="995" xr:uid="{00000000-0005-0000-0000-00006B030000}"/>
    <cellStyle name="dp*Number%ItalicsLineAbove" xfId="996" xr:uid="{00000000-0005-0000-0000-00006C030000}"/>
    <cellStyle name="dp*NumberCurrencyLine" xfId="997" xr:uid="{00000000-0005-0000-0000-00006D030000}"/>
    <cellStyle name="dp*NumberGeneral" xfId="998" xr:uid="{00000000-0005-0000-0000-00006E030000}"/>
    <cellStyle name="dp*NumberGeneral2Dec." xfId="999" xr:uid="{00000000-0005-0000-0000-00006F030000}"/>
    <cellStyle name="dp*NumberLine" xfId="1000" xr:uid="{00000000-0005-0000-0000-000070030000}"/>
    <cellStyle name="dp*NumberLineEPS" xfId="1001" xr:uid="{00000000-0005-0000-0000-000071030000}"/>
    <cellStyle name="dp*NumberSpecial" xfId="1002" xr:uid="{00000000-0005-0000-0000-000072030000}"/>
    <cellStyle name="dp*RatioX" xfId="1003" xr:uid="{00000000-0005-0000-0000-000073030000}"/>
    <cellStyle name="dp*SeriesName" xfId="1004" xr:uid="{00000000-0005-0000-0000-000074030000}"/>
    <cellStyle name="dp*SheetSubTitle" xfId="1005" xr:uid="{00000000-0005-0000-0000-000075030000}"/>
    <cellStyle name="dp*SheetTitle" xfId="1006" xr:uid="{00000000-0005-0000-0000-000076030000}"/>
    <cellStyle name="dp*SubTitle" xfId="1007" xr:uid="{00000000-0005-0000-0000-000077030000}"/>
    <cellStyle name="dp*ThickLineAbove" xfId="1008" xr:uid="{00000000-0005-0000-0000-000078030000}"/>
    <cellStyle name="dp*ThickLineBelow" xfId="1009" xr:uid="{00000000-0005-0000-0000-000079030000}"/>
    <cellStyle name="dp*ThinLineAbove" xfId="1010" xr:uid="{00000000-0005-0000-0000-00007A030000}"/>
    <cellStyle name="dp*ThinLineBelow" xfId="1011" xr:uid="{00000000-0005-0000-0000-00007B030000}"/>
    <cellStyle name="dp*XAxisTitle" xfId="1012" xr:uid="{00000000-0005-0000-0000-00007C030000}"/>
    <cellStyle name="dp*Y2AxisTitle" xfId="1013" xr:uid="{00000000-0005-0000-0000-00007D030000}"/>
    <cellStyle name="dp*YAxisTitle" xfId="1014" xr:uid="{00000000-0005-0000-0000-00007E030000}"/>
    <cellStyle name="Driver" xfId="1015" xr:uid="{00000000-0005-0000-0000-00007F030000}"/>
    <cellStyle name="Enter Currency (0)" xfId="1016" xr:uid="{00000000-0005-0000-0000-000080030000}"/>
    <cellStyle name="Enter Currency (2)" xfId="1017" xr:uid="{00000000-0005-0000-0000-000081030000}"/>
    <cellStyle name="Enter Units (0)" xfId="1018" xr:uid="{00000000-0005-0000-0000-000082030000}"/>
    <cellStyle name="Enter Units (1)" xfId="1019" xr:uid="{00000000-0005-0000-0000-000083030000}"/>
    <cellStyle name="Enter Units (2)" xfId="1020" xr:uid="{00000000-0005-0000-0000-000084030000}"/>
    <cellStyle name="Entered" xfId="1021" xr:uid="{00000000-0005-0000-0000-000085030000}"/>
    <cellStyle name="Euro" xfId="1022" xr:uid="{00000000-0005-0000-0000-000086030000}"/>
    <cellStyle name="EvenBodyShade" xfId="1023" xr:uid="{00000000-0005-0000-0000-000087030000}"/>
    <cellStyle name="EvenBodyShade 2" xfId="1024" xr:uid="{00000000-0005-0000-0000-000088030000}"/>
    <cellStyle name="EvenBodyShade 3" xfId="1025" xr:uid="{00000000-0005-0000-0000-000089030000}"/>
    <cellStyle name="EvenBodyShade 4" xfId="1026" xr:uid="{00000000-0005-0000-0000-00008A030000}"/>
    <cellStyle name="EvenBodyShade 5" xfId="1027" xr:uid="{00000000-0005-0000-0000-00008B030000}"/>
    <cellStyle name="EvenBodyShade 9" xfId="1028" xr:uid="{00000000-0005-0000-0000-00008C030000}"/>
    <cellStyle name="EY House" xfId="1029" xr:uid="{00000000-0005-0000-0000-00008D030000}"/>
    <cellStyle name="F1" xfId="1030" xr:uid="{00000000-0005-0000-0000-00008E030000}"/>
    <cellStyle name="Fixed" xfId="1031" xr:uid="{00000000-0005-0000-0000-00008F030000}"/>
    <cellStyle name="Fixed4 - Style4" xfId="1032" xr:uid="{00000000-0005-0000-0000-000090030000}"/>
    <cellStyle name="Followed Hyperlink" xfId="100" builtinId="9" hidden="1"/>
    <cellStyle name="Followed Hyperlink" xfId="106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75" builtinId="9" hidden="1"/>
    <cellStyle name="Followed Hyperlink" xfId="40" builtinId="9" hidden="1"/>
    <cellStyle name="Followed Hyperlink" xfId="77" builtinId="9" hidden="1"/>
    <cellStyle name="Followed Hyperlink" xfId="87" builtinId="9" hidden="1"/>
    <cellStyle name="Followed Hyperlink" xfId="76" builtinId="9" hidden="1"/>
    <cellStyle name="Followed Hyperlink" xfId="118" builtinId="9" hidden="1"/>
    <cellStyle name="Followed Hyperlink" xfId="55" builtinId="9" hidden="1"/>
    <cellStyle name="Followed Hyperlink" xfId="35" builtinId="9" hidden="1"/>
    <cellStyle name="Followed Hyperlink" xfId="36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33" builtinId="9" hidden="1"/>
    <cellStyle name="Followed Hyperlink" xfId="82" builtinId="9" hidden="1"/>
    <cellStyle name="Followed Hyperlink" xfId="1346" builtinId="9" hidden="1"/>
    <cellStyle name="Followed Hyperlink" xfId="88" builtinId="9" hidden="1"/>
    <cellStyle name="Followed Hyperlink" xfId="59" builtinId="9" hidden="1"/>
    <cellStyle name="Followed Hyperlink" xfId="38" builtinId="9" hidden="1"/>
    <cellStyle name="Followed Hyperlink" xfId="27" builtinId="9" hidden="1"/>
    <cellStyle name="Followed Hyperlink" xfId="83" builtinId="9" hidden="1"/>
    <cellStyle name="Followed Hyperlink" xfId="102" builtinId="9" hidden="1"/>
    <cellStyle name="Followed Hyperlink" xfId="56" builtinId="9" hidden="1"/>
    <cellStyle name="Followed Hyperlink" xfId="57" builtinId="9" hidden="1"/>
    <cellStyle name="Followed Hyperlink" xfId="44" builtinId="9" hidden="1"/>
    <cellStyle name="Followed Hyperlink" xfId="30" builtinId="9" hidden="1"/>
    <cellStyle name="Followed Hyperlink" xfId="31" builtinId="9" hidden="1"/>
    <cellStyle name="Followed Hyperlink" xfId="26" builtinId="9" hidden="1"/>
    <cellStyle name="Followed Hyperlink" xfId="39" builtinId="9" hidden="1"/>
    <cellStyle name="Followed Hyperlink" xfId="105" builtinId="9" hidden="1"/>
    <cellStyle name="Followed Hyperlink" xfId="29" builtinId="9" hidden="1"/>
    <cellStyle name="Followed Hyperlink" xfId="123" builtinId="9" hidden="1"/>
    <cellStyle name="Followed Hyperlink" xfId="28" builtinId="9" hidden="1"/>
    <cellStyle name="Followed Hyperlink" xfId="81" builtinId="9" hidden="1"/>
    <cellStyle name="Followed Hyperlink" xfId="1344" builtinId="9" hidden="1"/>
    <cellStyle name="Followed Hyperlink" xfId="97" builtinId="9" hidden="1"/>
    <cellStyle name="Followed Hyperlink" xfId="69" builtinId="9" hidden="1"/>
    <cellStyle name="Followed Hyperlink" xfId="71" builtinId="9" hidden="1"/>
    <cellStyle name="Followed Hyperlink" xfId="72" builtinId="9" hidden="1"/>
    <cellStyle name="Followed Hyperlink" xfId="107" builtinId="9" hidden="1"/>
    <cellStyle name="Followed Hyperlink" xfId="1337" builtinId="9" hidden="1"/>
    <cellStyle name="Followed Hyperlink" xfId="1338" builtinId="9" hidden="1"/>
    <cellStyle name="Followed Hyperlink" xfId="1342" builtinId="9" hidden="1"/>
    <cellStyle name="Followed Hyperlink" xfId="125" builtinId="9" hidden="1"/>
    <cellStyle name="Followed Hyperlink" xfId="41" builtinId="9" hidden="1"/>
    <cellStyle name="Followed Hyperlink" xfId="1336" builtinId="9" hidden="1"/>
    <cellStyle name="Followed Hyperlink" xfId="58" builtinId="9" hidden="1"/>
    <cellStyle name="Followed Hyperlink" xfId="126" builtinId="9" hidden="1"/>
    <cellStyle name="Followed Hyperlink" xfId="95" builtinId="9" hidden="1"/>
    <cellStyle name="Followed Hyperlink" xfId="34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43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0" builtinId="9" hidden="1"/>
    <cellStyle name="Followed Hyperlink" xfId="104" builtinId="9" hidden="1"/>
    <cellStyle name="Followed Hyperlink" xfId="62" builtinId="9" hidden="1"/>
    <cellStyle name="Followed Hyperlink" xfId="73" builtinId="9" hidden="1"/>
    <cellStyle name="Followed Hyperlink" xfId="61" builtinId="9" hidden="1"/>
    <cellStyle name="Followed Hyperlink" xfId="32" builtinId="9" hidden="1"/>
    <cellStyle name="Followed Hyperlink" xfId="120" builtinId="9" hidden="1"/>
    <cellStyle name="Followed Hyperlink" xfId="98" builtinId="9" hidden="1"/>
    <cellStyle name="Followed Hyperlink" xfId="99" builtinId="9" hidden="1"/>
    <cellStyle name="Followed Hyperlink" xfId="66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9" builtinId="9" hidden="1"/>
    <cellStyle name="Followed Hyperlink" xfId="96" builtinId="9" hidden="1"/>
    <cellStyle name="Followed Hyperlink" xfId="67" builtinId="9" hidden="1"/>
    <cellStyle name="Followed Hyperlink" xfId="25" builtinId="9" hidden="1"/>
    <cellStyle name="Followed Hyperlink" xfId="74" builtinId="9" hidden="1"/>
    <cellStyle name="Followed Hyperlink" xfId="124" builtinId="9" hidden="1"/>
    <cellStyle name="Followed Hyperlink" xfId="91" builtinId="9" hidden="1"/>
    <cellStyle name="Followed Hyperlink" xfId="101" builtinId="9" hidden="1"/>
    <cellStyle name="Followed Hyperlink" xfId="90" builtinId="9" hidden="1"/>
    <cellStyle name="Followed Hyperlink" xfId="68" builtinId="9" hidden="1"/>
    <cellStyle name="Followed Hyperlink" xfId="70" builtinId="9" hidden="1"/>
    <cellStyle name="Followed Hyperlink" xfId="121" builtinId="9" hidden="1"/>
    <cellStyle name="Followed Hyperlink" xfId="122" builtinId="9" hidden="1"/>
    <cellStyle name="Followed Hyperlink" xfId="108" builtinId="9" hidden="1"/>
    <cellStyle name="Followed Hyperlink" xfId="93" builtinId="9" hidden="1"/>
    <cellStyle name="Followed Hyperlink" xfId="94" builtinId="9" hidden="1"/>
    <cellStyle name="Followed Hyperlink" xfId="89" builtinId="9" hidden="1"/>
    <cellStyle name="Followed Hyperlink" xfId="103" builtinId="9" hidden="1"/>
    <cellStyle name="Followed Hyperlink" xfId="42" builtinId="9" hidden="1"/>
    <cellStyle name="Followed Hyperlink" xfId="92" builtinId="9" hidden="1"/>
    <cellStyle name="Followed Hyperlink" xfId="37" builtinId="9" hidden="1"/>
    <cellStyle name="Footnote" xfId="1033" xr:uid="{00000000-0005-0000-0000-0000FD030000}"/>
    <cellStyle name="general" xfId="1034" xr:uid="{00000000-0005-0000-0000-0000FE030000}"/>
    <cellStyle name="Good 2" xfId="1345" xr:uid="{00000000-0005-0000-0000-0000FF030000}"/>
    <cellStyle name="GrandTotal" xfId="1035" xr:uid="{00000000-0005-0000-0000-000000040000}"/>
    <cellStyle name="Grey" xfId="1036" xr:uid="{00000000-0005-0000-0000-000001040000}"/>
    <cellStyle name="Hard Percent" xfId="1037" xr:uid="{00000000-0005-0000-0000-000002040000}"/>
    <cellStyle name="Head 1" xfId="1038" xr:uid="{00000000-0005-0000-0000-000003040000}"/>
    <cellStyle name="Head0" xfId="1039" xr:uid="{00000000-0005-0000-0000-000004040000}"/>
    <cellStyle name="Head1" xfId="1040" xr:uid="{00000000-0005-0000-0000-000005040000}"/>
    <cellStyle name="Head2" xfId="1041" xr:uid="{00000000-0005-0000-0000-000006040000}"/>
    <cellStyle name="Head3" xfId="1042" xr:uid="{00000000-0005-0000-0000-000007040000}"/>
    <cellStyle name="Head4" xfId="1043" xr:uid="{00000000-0005-0000-0000-000008040000}"/>
    <cellStyle name="Head5" xfId="1044" xr:uid="{00000000-0005-0000-0000-000009040000}"/>
    <cellStyle name="Head6" xfId="1045" xr:uid="{00000000-0005-0000-0000-00000A040000}"/>
    <cellStyle name="Head7" xfId="1046" xr:uid="{00000000-0005-0000-0000-00000B040000}"/>
    <cellStyle name="Head8" xfId="1047" xr:uid="{00000000-0005-0000-0000-00000C040000}"/>
    <cellStyle name="Head9" xfId="1048" xr:uid="{00000000-0005-0000-0000-00000D040000}"/>
    <cellStyle name="HEADER" xfId="1049" xr:uid="{00000000-0005-0000-0000-00000E040000}"/>
    <cellStyle name="Header1" xfId="1050" xr:uid="{00000000-0005-0000-0000-00000F040000}"/>
    <cellStyle name="Header2" xfId="1051" xr:uid="{00000000-0005-0000-0000-000010040000}"/>
    <cellStyle name="Heading" xfId="1052" xr:uid="{00000000-0005-0000-0000-000011040000}"/>
    <cellStyle name="Heading 2 2" xfId="1351" xr:uid="{00000000-0005-0000-0000-000012040000}"/>
    <cellStyle name="Heading Left" xfId="1053" xr:uid="{00000000-0005-0000-0000-000013040000}"/>
    <cellStyle name="Heading Right" xfId="1054" xr:uid="{00000000-0005-0000-0000-000014040000}"/>
    <cellStyle name="Heading1" xfId="1055" xr:uid="{00000000-0005-0000-0000-000015040000}"/>
    <cellStyle name="Heading2" xfId="1056" xr:uid="{00000000-0005-0000-0000-000016040000}"/>
    <cellStyle name="HeadingS" xfId="1057" xr:uid="{00000000-0005-0000-0000-000017040000}"/>
    <cellStyle name="HEADINGSTOP" xfId="1058" xr:uid="{00000000-0005-0000-0000-000018040000}"/>
    <cellStyle name="Headline" xfId="1059" xr:uid="{00000000-0005-0000-0000-000019040000}"/>
    <cellStyle name="HeadShade" xfId="1060" xr:uid="{00000000-0005-0000-0000-00001A040000}"/>
    <cellStyle name="HeadShade 2" xfId="1061" xr:uid="{00000000-0005-0000-0000-00001B040000}"/>
    <cellStyle name="HeadShade 3" xfId="1062" xr:uid="{00000000-0005-0000-0000-00001C040000}"/>
    <cellStyle name="HeadShade 4" xfId="1063" xr:uid="{00000000-0005-0000-0000-00001D040000}"/>
    <cellStyle name="HeadShade 5" xfId="1064" xr:uid="{00000000-0005-0000-0000-00001E040000}"/>
    <cellStyle name="HeadShade 9" xfId="1065" xr:uid="{00000000-0005-0000-0000-00001F040000}"/>
    <cellStyle name="helv narrow 8" xfId="1066" xr:uid="{00000000-0005-0000-0000-000020040000}"/>
    <cellStyle name="Hidden" xfId="1067" xr:uid="{00000000-0005-0000-0000-000021040000}"/>
    <cellStyle name="Hide" xfId="1068" xr:uid="{00000000-0005-0000-0000-000022040000}"/>
    <cellStyle name="HIGHLIGHT" xfId="1069" xr:uid="{00000000-0005-0000-0000-000023040000}"/>
    <cellStyle name="Hyperlink" xfId="1341" builtinId="8" hidden="1"/>
    <cellStyle name="Hyperlink" xfId="1343" builtinId="8" hidden="1"/>
    <cellStyle name="Hyperlink 2" xfId="1357" xr:uid="{3D23AB57-93B8-4255-940A-082865DDDD0E}"/>
    <cellStyle name="I" xfId="1070" xr:uid="{00000000-0005-0000-0000-000026040000}"/>
    <cellStyle name="Input [yellow]" xfId="1071" xr:uid="{00000000-0005-0000-0000-000027040000}"/>
    <cellStyle name="Input Comma" xfId="1072" xr:uid="{00000000-0005-0000-0000-000028040000}"/>
    <cellStyle name="Input Comma [0]" xfId="1073" xr:uid="{00000000-0005-0000-0000-000029040000}"/>
    <cellStyle name="Input Currency" xfId="1074" xr:uid="{00000000-0005-0000-0000-00002A040000}"/>
    <cellStyle name="Input Currency [0]" xfId="1075" xr:uid="{00000000-0005-0000-0000-00002B040000}"/>
    <cellStyle name="Input Percent" xfId="1076" xr:uid="{00000000-0005-0000-0000-00002C040000}"/>
    <cellStyle name="Input Percent [0]" xfId="1077" xr:uid="{00000000-0005-0000-0000-00002D040000}"/>
    <cellStyle name="Inputs" xfId="1078" xr:uid="{00000000-0005-0000-0000-00002E040000}"/>
    <cellStyle name="Italics" xfId="1079" xr:uid="{00000000-0005-0000-0000-00002F040000}"/>
    <cellStyle name="Lable8Left" xfId="1080" xr:uid="{00000000-0005-0000-0000-000030040000}"/>
    <cellStyle name="left" xfId="1081" xr:uid="{00000000-0005-0000-0000-000031040000}"/>
    <cellStyle name="Ligne" xfId="1082" xr:uid="{00000000-0005-0000-0000-000032040000}"/>
    <cellStyle name="Lines" xfId="1083" xr:uid="{00000000-0005-0000-0000-000033040000}"/>
    <cellStyle name="Link Currency (0)" xfId="1084" xr:uid="{00000000-0005-0000-0000-000034040000}"/>
    <cellStyle name="Link Currency (2)" xfId="1085" xr:uid="{00000000-0005-0000-0000-000035040000}"/>
    <cellStyle name="Link Units (0)" xfId="1086" xr:uid="{00000000-0005-0000-0000-000036040000}"/>
    <cellStyle name="Link Units (1)" xfId="1087" xr:uid="{00000000-0005-0000-0000-000037040000}"/>
    <cellStyle name="Link Units (2)" xfId="1088" xr:uid="{00000000-0005-0000-0000-000038040000}"/>
    <cellStyle name="Linked" xfId="1089" xr:uid="{00000000-0005-0000-0000-000039040000}"/>
    <cellStyle name="LISAM" xfId="1090" xr:uid="{00000000-0005-0000-0000-00003A040000}"/>
    <cellStyle name="M" xfId="1091" xr:uid="{00000000-0005-0000-0000-00003B040000}"/>
    <cellStyle name="Margins" xfId="1092" xr:uid="{00000000-0005-0000-0000-00003C040000}"/>
    <cellStyle name="Migliaia (0)_Foglio1 (2)" xfId="1093" xr:uid="{00000000-0005-0000-0000-00003D040000}"/>
    <cellStyle name="Migliaia_Foglio1 (2)" xfId="1094" xr:uid="{00000000-0005-0000-0000-00003E040000}"/>
    <cellStyle name="Millares [0]_results" xfId="1095" xr:uid="{00000000-0005-0000-0000-00003F040000}"/>
    <cellStyle name="Millares_results" xfId="1096" xr:uid="{00000000-0005-0000-0000-000040040000}"/>
    <cellStyle name="Milliers [0]_!!!GO" xfId="1097" xr:uid="{00000000-0005-0000-0000-000041040000}"/>
    <cellStyle name="Milliers_!!!GO" xfId="1098" xr:uid="{00000000-0005-0000-0000-000042040000}"/>
    <cellStyle name="Moeda [0]_Arrendamiraflores" xfId="1099" xr:uid="{00000000-0005-0000-0000-000043040000}"/>
    <cellStyle name="Moeda_Arrendamiraflores" xfId="1100" xr:uid="{00000000-0005-0000-0000-000044040000}"/>
    <cellStyle name="Moneda [0]_results" xfId="1101" xr:uid="{00000000-0005-0000-0000-000045040000}"/>
    <cellStyle name="Moneda_results" xfId="1102" xr:uid="{00000000-0005-0000-0000-000046040000}"/>
    <cellStyle name="Monétaire [0]_!!!GO" xfId="1103" xr:uid="{00000000-0005-0000-0000-000047040000}"/>
    <cellStyle name="Monétaire_!!!GO" xfId="1104" xr:uid="{00000000-0005-0000-0000-000048040000}"/>
    <cellStyle name="MSectionHeadings" xfId="1105" xr:uid="{00000000-0005-0000-0000-000049040000}"/>
    <cellStyle name="Multiple" xfId="1106" xr:uid="{00000000-0005-0000-0000-00004A040000}"/>
    <cellStyle name="Multiple (no x)" xfId="1107" xr:uid="{00000000-0005-0000-0000-00004B040000}"/>
    <cellStyle name="Multiple (with x)" xfId="1108" xr:uid="{00000000-0005-0000-0000-00004C040000}"/>
    <cellStyle name="Multiple_09.01.01_Property_Tax_Basis1" xfId="1109" xr:uid="{00000000-0005-0000-0000-00004D040000}"/>
    <cellStyle name="no dec" xfId="1110" xr:uid="{00000000-0005-0000-0000-00004E040000}"/>
    <cellStyle name="nodle1" xfId="1111" xr:uid="{00000000-0005-0000-0000-00004F040000}"/>
    <cellStyle name="Normal" xfId="0" builtinId="0"/>
    <cellStyle name="Normal - Style1" xfId="1112" xr:uid="{00000000-0005-0000-0000-000051040000}"/>
    <cellStyle name="Normal 10" xfId="1347" xr:uid="{00000000-0005-0000-0000-000052040000}"/>
    <cellStyle name="Normal 11" xfId="1348" xr:uid="{00000000-0005-0000-0000-000053040000}"/>
    <cellStyle name="Normal 12" xfId="1352" xr:uid="{00000000-0005-0000-0000-000054040000}"/>
    <cellStyle name="Normal 13" xfId="1349" xr:uid="{00000000-0005-0000-0000-000055040000}"/>
    <cellStyle name="Normal 2" xfId="2" xr:uid="{00000000-0005-0000-0000-000056040000}"/>
    <cellStyle name="Normal 2 2" xfId="5" xr:uid="{00000000-0005-0000-0000-000057040000}"/>
    <cellStyle name="Normal 2 3" xfId="9" xr:uid="{00000000-0005-0000-0000-000058040000}"/>
    <cellStyle name="Normal 2 4" xfId="1356" xr:uid="{00000000-0005-0000-0000-000059040000}"/>
    <cellStyle name="Normal 3" xfId="6" xr:uid="{00000000-0005-0000-0000-00005A040000}"/>
    <cellStyle name="Normal 3 3" xfId="21" xr:uid="{00000000-0005-0000-0000-00005B040000}"/>
    <cellStyle name="Normal 4" xfId="15" xr:uid="{00000000-0005-0000-0000-00005C040000}"/>
    <cellStyle name="Normal 4 2" xfId="23" xr:uid="{00000000-0005-0000-0000-00005D040000}"/>
    <cellStyle name="Normal 5" xfId="19" xr:uid="{00000000-0005-0000-0000-00005E040000}"/>
    <cellStyle name="Normal 6" xfId="127" xr:uid="{00000000-0005-0000-0000-00005F040000}"/>
    <cellStyle name="Normal 6 2" xfId="1334" xr:uid="{00000000-0005-0000-0000-000060040000}"/>
    <cellStyle name="Normal 6 3" xfId="1353" xr:uid="{00000000-0005-0000-0000-000061040000}"/>
    <cellStyle name="Normal 7" xfId="129" xr:uid="{00000000-0005-0000-0000-000062040000}"/>
    <cellStyle name="Normal 7 2" xfId="1332" xr:uid="{00000000-0005-0000-0000-000063040000}"/>
    <cellStyle name="Normal 7 3" xfId="1339" xr:uid="{00000000-0005-0000-0000-000064040000}"/>
    <cellStyle name="Normal 8" xfId="1113" xr:uid="{00000000-0005-0000-0000-000065040000}"/>
    <cellStyle name="Normal 9" xfId="1331" xr:uid="{00000000-0005-0000-0000-000066040000}"/>
    <cellStyle name="Normal_Simple pro-forma" xfId="14" xr:uid="{00000000-0005-0000-0000-000068040000}"/>
    <cellStyle name="NormalBack" xfId="1114" xr:uid="{00000000-0005-0000-0000-00006A040000}"/>
    <cellStyle name="NormalBorder" xfId="1115" xr:uid="{00000000-0005-0000-0000-00006B040000}"/>
    <cellStyle name="Normale_INVENTARIO AL 31.12.99 Con composizioni2BUSSI" xfId="1116" xr:uid="{00000000-0005-0000-0000-00006C040000}"/>
    <cellStyle name="NormalGB" xfId="1117" xr:uid="{00000000-0005-0000-0000-00006D040000}"/>
    <cellStyle name="NormalLeft" xfId="1118" xr:uid="{00000000-0005-0000-0000-00006E040000}"/>
    <cellStyle name="NormalNumber%" xfId="1119" xr:uid="{00000000-0005-0000-0000-00006F040000}"/>
    <cellStyle name="NormalRightNum" xfId="1120" xr:uid="{00000000-0005-0000-0000-000070040000}"/>
    <cellStyle name="NormalRightPercent" xfId="1121" xr:uid="{00000000-0005-0000-0000-000071040000}"/>
    <cellStyle name="nPlode" xfId="1122" xr:uid="{00000000-0005-0000-0000-000072040000}"/>
    <cellStyle name="nPlode1" xfId="1123" xr:uid="{00000000-0005-0000-0000-000073040000}"/>
    <cellStyle name="nPlode2" xfId="1124" xr:uid="{00000000-0005-0000-0000-000074040000}"/>
    <cellStyle name="nPlode3" xfId="1125" xr:uid="{00000000-0005-0000-0000-000075040000}"/>
    <cellStyle name="nPlosion" xfId="1126" xr:uid="{00000000-0005-0000-0000-000076040000}"/>
    <cellStyle name="NPRO" xfId="1127" xr:uid="{00000000-0005-0000-0000-000077040000}"/>
    <cellStyle name="Num0Un" xfId="1128" xr:uid="{00000000-0005-0000-0000-000078040000}"/>
    <cellStyle name="Num1" xfId="1129" xr:uid="{00000000-0005-0000-0000-000079040000}"/>
    <cellStyle name="Num1Blue" xfId="1130" xr:uid="{00000000-0005-0000-0000-00007A040000}"/>
    <cellStyle name="Num2" xfId="1131" xr:uid="{00000000-0005-0000-0000-00007B040000}"/>
    <cellStyle name="Num2Un" xfId="1132" xr:uid="{00000000-0005-0000-0000-00007C040000}"/>
    <cellStyle name="Number" xfId="1133" xr:uid="{00000000-0005-0000-0000-00007D040000}"/>
    <cellStyle name="OddBodyShade" xfId="1134" xr:uid="{00000000-0005-0000-0000-00007E040000}"/>
    <cellStyle name="OddBodyShade 2" xfId="1135" xr:uid="{00000000-0005-0000-0000-00007F040000}"/>
    <cellStyle name="OddBodyShade 3" xfId="1136" xr:uid="{00000000-0005-0000-0000-000080040000}"/>
    <cellStyle name="OddBodyShade 4" xfId="1137" xr:uid="{00000000-0005-0000-0000-000081040000}"/>
    <cellStyle name="OddBodyShade 5" xfId="1138" xr:uid="{00000000-0005-0000-0000-000082040000}"/>
    <cellStyle name="OddBodyShade 9" xfId="1139" xr:uid="{00000000-0005-0000-0000-000083040000}"/>
    <cellStyle name="Œ…‹æØ‚è [0.00]_!!!GO" xfId="1140" xr:uid="{00000000-0005-0000-0000-000084040000}"/>
    <cellStyle name="Œ…‹æØ‚è_!!!GO" xfId="1141" xr:uid="{00000000-0005-0000-0000-000085040000}"/>
    <cellStyle name="One Pager Input" xfId="1142" xr:uid="{00000000-0005-0000-0000-000086040000}"/>
    <cellStyle name="OutlineSpec" xfId="1143" xr:uid="{00000000-0005-0000-0000-000087040000}"/>
    <cellStyle name="Output Amounts" xfId="1144" xr:uid="{00000000-0005-0000-0000-000088040000}"/>
    <cellStyle name="Output Column Headings" xfId="1145" xr:uid="{00000000-0005-0000-0000-000089040000}"/>
    <cellStyle name="Output Line Items" xfId="1146" xr:uid="{00000000-0005-0000-0000-00008A040000}"/>
    <cellStyle name="Output Report Heading" xfId="1147" xr:uid="{00000000-0005-0000-0000-00008B040000}"/>
    <cellStyle name="Output Report Title" xfId="1148" xr:uid="{00000000-0005-0000-0000-00008C040000}"/>
    <cellStyle name="Overscore" xfId="1149" xr:uid="{00000000-0005-0000-0000-00008D040000}"/>
    <cellStyle name="Overscore 2" xfId="1150" xr:uid="{00000000-0005-0000-0000-00008E040000}"/>
    <cellStyle name="Overscore 3" xfId="1151" xr:uid="{00000000-0005-0000-0000-00008F040000}"/>
    <cellStyle name="Overscore 4" xfId="1152" xr:uid="{00000000-0005-0000-0000-000090040000}"/>
    <cellStyle name="Overscore 5" xfId="1153" xr:uid="{00000000-0005-0000-0000-000091040000}"/>
    <cellStyle name="Overscore 9" xfId="1154" xr:uid="{00000000-0005-0000-0000-000092040000}"/>
    <cellStyle name="Overunder" xfId="1155" xr:uid="{00000000-0005-0000-0000-000093040000}"/>
    <cellStyle name="P" xfId="1156" xr:uid="{00000000-0005-0000-0000-000094040000}"/>
    <cellStyle name="Page Heading" xfId="1157" xr:uid="{00000000-0005-0000-0000-000095040000}"/>
    <cellStyle name="Page Heading Large" xfId="1158" xr:uid="{00000000-0005-0000-0000-000096040000}"/>
    <cellStyle name="Page Heading Small" xfId="1159" xr:uid="{00000000-0005-0000-0000-000097040000}"/>
    <cellStyle name="Page Number" xfId="1160" xr:uid="{00000000-0005-0000-0000-000098040000}"/>
    <cellStyle name="Page Title (Blue/Gray)" xfId="1161" xr:uid="{00000000-0005-0000-0000-000099040000}"/>
    <cellStyle name="patterns" xfId="1162" xr:uid="{00000000-0005-0000-0000-00009A040000}"/>
    <cellStyle name="PB Table Heading" xfId="1163" xr:uid="{00000000-0005-0000-0000-00009B040000}"/>
    <cellStyle name="PB Table Highlight1" xfId="1164" xr:uid="{00000000-0005-0000-0000-00009C040000}"/>
    <cellStyle name="PB Table Highlight2" xfId="1165" xr:uid="{00000000-0005-0000-0000-00009D040000}"/>
    <cellStyle name="PB Table Highlight3" xfId="1166" xr:uid="{00000000-0005-0000-0000-00009E040000}"/>
    <cellStyle name="PB Table Standard Row" xfId="1167" xr:uid="{00000000-0005-0000-0000-00009F040000}"/>
    <cellStyle name="PB Table Subtotal Row" xfId="1168" xr:uid="{00000000-0005-0000-0000-0000A0040000}"/>
    <cellStyle name="PB Table Total Row" xfId="1169" xr:uid="{00000000-0005-0000-0000-0000A1040000}"/>
    <cellStyle name="pb_page_heading_LS" xfId="1170" xr:uid="{00000000-0005-0000-0000-0000A2040000}"/>
    <cellStyle name="per.style" xfId="1171" xr:uid="{00000000-0005-0000-0000-0000A3040000}"/>
    <cellStyle name="Perc1" xfId="1172" xr:uid="{00000000-0005-0000-0000-0000A4040000}"/>
    <cellStyle name="Percen - Style1" xfId="1173" xr:uid="{00000000-0005-0000-0000-0000A5040000}"/>
    <cellStyle name="Percen - Style2" xfId="1174" xr:uid="{00000000-0005-0000-0000-0000A6040000}"/>
    <cellStyle name="Percen - Style3" xfId="1175" xr:uid="{00000000-0005-0000-0000-0000A7040000}"/>
    <cellStyle name="Percent" xfId="1" builtinId="5"/>
    <cellStyle name="Percent [0%]" xfId="1176" xr:uid="{00000000-0005-0000-0000-0000AB040000}"/>
    <cellStyle name="Percent [0.00%]" xfId="1177" xr:uid="{00000000-0005-0000-0000-0000A9040000}"/>
    <cellStyle name="Percent [0]" xfId="1178" xr:uid="{00000000-0005-0000-0000-0000AA040000}"/>
    <cellStyle name="Percent [00]" xfId="1179" xr:uid="{00000000-0005-0000-0000-0000AC040000}"/>
    <cellStyle name="Percent [2]" xfId="1180" xr:uid="{00000000-0005-0000-0000-0000AD040000}"/>
    <cellStyle name="percent 1 decimal" xfId="1181" xr:uid="{00000000-0005-0000-0000-0000AE040000}"/>
    <cellStyle name="Percent 2" xfId="7" xr:uid="{00000000-0005-0000-0000-0000AF040000}"/>
    <cellStyle name="Percent 2 2" xfId="8" xr:uid="{00000000-0005-0000-0000-0000B0040000}"/>
    <cellStyle name="Percent 2 2 2" xfId="24" xr:uid="{00000000-0005-0000-0000-0000B1040000}"/>
    <cellStyle name="Percent 2 3" xfId="10" xr:uid="{00000000-0005-0000-0000-0000B2040000}"/>
    <cellStyle name="percent 2 decimal" xfId="1182" xr:uid="{00000000-0005-0000-0000-0000B3040000}"/>
    <cellStyle name="Percent 3" xfId="13" xr:uid="{00000000-0005-0000-0000-0000B4040000}"/>
    <cellStyle name="Percent 4" xfId="16" xr:uid="{00000000-0005-0000-0000-0000B5040000}"/>
    <cellStyle name="Percent 5" xfId="128" xr:uid="{00000000-0005-0000-0000-0000B6040000}"/>
    <cellStyle name="Percent 5 2" xfId="1335" xr:uid="{00000000-0005-0000-0000-0000B7040000}"/>
    <cellStyle name="Percent 5 3" xfId="1354" xr:uid="{00000000-0005-0000-0000-0000B8040000}"/>
    <cellStyle name="Percent 6" xfId="130" xr:uid="{00000000-0005-0000-0000-0000B9040000}"/>
    <cellStyle name="Percent 6 2" xfId="1333" xr:uid="{00000000-0005-0000-0000-0000BA040000}"/>
    <cellStyle name="Percent 6 3" xfId="1340" xr:uid="{00000000-0005-0000-0000-0000BB040000}"/>
    <cellStyle name="Percent Hard" xfId="1183" xr:uid="{00000000-0005-0000-0000-0000BC040000}"/>
    <cellStyle name="percent no decimal" xfId="1184" xr:uid="{00000000-0005-0000-0000-0000BD040000}"/>
    <cellStyle name="Percent(4places)TotTop" xfId="1185" xr:uid="{00000000-0005-0000-0000-0000BE040000}"/>
    <cellStyle name="Percent1" xfId="1186" xr:uid="{00000000-0005-0000-0000-0000BF040000}"/>
    <cellStyle name="Percent1Blue" xfId="1187" xr:uid="{00000000-0005-0000-0000-0000C0040000}"/>
    <cellStyle name="Percent2" xfId="1188" xr:uid="{00000000-0005-0000-0000-0000C1040000}"/>
    <cellStyle name="Percent2Blue" xfId="1189" xr:uid="{00000000-0005-0000-0000-0000C2040000}"/>
    <cellStyle name="PercentTotal" xfId="1190" xr:uid="{00000000-0005-0000-0000-0000C3040000}"/>
    <cellStyle name="Pounds" xfId="1191" xr:uid="{00000000-0005-0000-0000-0000C4040000}"/>
    <cellStyle name="Pourcentage_agree" xfId="1192" xr:uid="{00000000-0005-0000-0000-0000C5040000}"/>
    <cellStyle name="PrePop Currency (0)" xfId="1193" xr:uid="{00000000-0005-0000-0000-0000C6040000}"/>
    <cellStyle name="PrePop Currency (2)" xfId="1194" xr:uid="{00000000-0005-0000-0000-0000C7040000}"/>
    <cellStyle name="PrePop Units (0)" xfId="1195" xr:uid="{00000000-0005-0000-0000-0000C8040000}"/>
    <cellStyle name="PrePop Units (1)" xfId="1196" xr:uid="{00000000-0005-0000-0000-0000C9040000}"/>
    <cellStyle name="PrePop Units (2)" xfId="1197" xr:uid="{00000000-0005-0000-0000-0000CA040000}"/>
    <cellStyle name="Price" xfId="1198" xr:uid="{00000000-0005-0000-0000-0000CB040000}"/>
    <cellStyle name="PriceUn" xfId="1199" xr:uid="{00000000-0005-0000-0000-0000CC040000}"/>
    <cellStyle name="pricing" xfId="1200" xr:uid="{00000000-0005-0000-0000-0000CD040000}"/>
    <cellStyle name="PSChar" xfId="1201" xr:uid="{00000000-0005-0000-0000-0000CE040000}"/>
    <cellStyle name="PSDate" xfId="1202" xr:uid="{00000000-0005-0000-0000-0000CF040000}"/>
    <cellStyle name="PSDec" xfId="1203" xr:uid="{00000000-0005-0000-0000-0000D0040000}"/>
    <cellStyle name="PSHeading" xfId="1204" xr:uid="{00000000-0005-0000-0000-0000D1040000}"/>
    <cellStyle name="PSInt" xfId="1205" xr:uid="{00000000-0005-0000-0000-0000D2040000}"/>
    <cellStyle name="PSSpacer" xfId="1206" xr:uid="{00000000-0005-0000-0000-0000D3040000}"/>
    <cellStyle name="Reg1" xfId="1207" xr:uid="{00000000-0005-0000-0000-0000D4040000}"/>
    <cellStyle name="Reg2" xfId="1208" xr:uid="{00000000-0005-0000-0000-0000D5040000}"/>
    <cellStyle name="Reg3" xfId="1209" xr:uid="{00000000-0005-0000-0000-0000D6040000}"/>
    <cellStyle name="Reg4" xfId="1210" xr:uid="{00000000-0005-0000-0000-0000D7040000}"/>
    <cellStyle name="Reg5" xfId="1211" xr:uid="{00000000-0005-0000-0000-0000D8040000}"/>
    <cellStyle name="Reg6" xfId="1212" xr:uid="{00000000-0005-0000-0000-0000D9040000}"/>
    <cellStyle name="Reg7" xfId="1213" xr:uid="{00000000-0005-0000-0000-0000DA040000}"/>
    <cellStyle name="Reg8" xfId="1214" xr:uid="{00000000-0005-0000-0000-0000DB040000}"/>
    <cellStyle name="Reg9" xfId="1215" xr:uid="{00000000-0005-0000-0000-0000DC040000}"/>
    <cellStyle name="regstoresfromspecstores" xfId="1216" xr:uid="{00000000-0005-0000-0000-0000DD040000}"/>
    <cellStyle name="RevList" xfId="1217" xr:uid="{00000000-0005-0000-0000-0000DE040000}"/>
    <cellStyle name="Right" xfId="1218" xr:uid="{00000000-0005-0000-0000-0000DF040000}"/>
    <cellStyle name="s" xfId="1219" xr:uid="{00000000-0005-0000-0000-0000E0040000}"/>
    <cellStyle name="Salomon Logo" xfId="1220" xr:uid="{00000000-0005-0000-0000-0000E1040000}"/>
    <cellStyle name="ScotchRule" xfId="1221" xr:uid="{00000000-0005-0000-0000-0000E2040000}"/>
    <cellStyle name="Second Heading_dynex lihtcperm" xfId="1222" xr:uid="{00000000-0005-0000-0000-0000E3040000}"/>
    <cellStyle name="Separador de milhares [0]_Arrendamiraflores" xfId="1223" xr:uid="{00000000-0005-0000-0000-0000E4040000}"/>
    <cellStyle name="Shaded" xfId="1224" xr:uid="{00000000-0005-0000-0000-0000E5040000}"/>
    <cellStyle name="SHADEDSTORES" xfId="1225" xr:uid="{00000000-0005-0000-0000-0000E6040000}"/>
    <cellStyle name="Single Accounting" xfId="1226" xr:uid="{00000000-0005-0000-0000-0000E7040000}"/>
    <cellStyle name="Small Page Heading" xfId="1227" xr:uid="{00000000-0005-0000-0000-0000E8040000}"/>
    <cellStyle name="Sous-Total" xfId="1228" xr:uid="{00000000-0005-0000-0000-0000E9040000}"/>
    <cellStyle name="SpecialHeader" xfId="1229" xr:uid="{00000000-0005-0000-0000-0000EA040000}"/>
    <cellStyle name="specstores" xfId="1230" xr:uid="{00000000-0005-0000-0000-0000EB040000}"/>
    <cellStyle name="Standaard_Almere" xfId="1231" xr:uid="{00000000-0005-0000-0000-0000EC040000}"/>
    <cellStyle name="Standard_1CC-N-12" xfId="1232" xr:uid="{00000000-0005-0000-0000-0000ED040000}"/>
    <cellStyle name="Style 1" xfId="1233" xr:uid="{00000000-0005-0000-0000-0000EE040000}"/>
    <cellStyle name="Style１" xfId="1234" xr:uid="{00000000-0005-0000-0000-0000EF040000}"/>
    <cellStyle name="subhead" xfId="1235" xr:uid="{00000000-0005-0000-0000-0000F0040000}"/>
    <cellStyle name="SubHeader" xfId="1236" xr:uid="{00000000-0005-0000-0000-0000F1040000}"/>
    <cellStyle name="Subscribers" xfId="1237" xr:uid="{00000000-0005-0000-0000-0000F2040000}"/>
    <cellStyle name="Subtitle" xfId="1238" xr:uid="{00000000-0005-0000-0000-0000F3040000}"/>
    <cellStyle name="SubTotal" xfId="1239" xr:uid="{00000000-0005-0000-0000-0000F4040000}"/>
    <cellStyle name="T" xfId="1240" xr:uid="{00000000-0005-0000-0000-0000F5040000}"/>
    <cellStyle name="Table Col Head" xfId="1241" xr:uid="{00000000-0005-0000-0000-0000F6040000}"/>
    <cellStyle name="Table Head" xfId="1242" xr:uid="{00000000-0005-0000-0000-0000F7040000}"/>
    <cellStyle name="Table Head Aligned" xfId="1243" xr:uid="{00000000-0005-0000-0000-0000F8040000}"/>
    <cellStyle name="Table Head Blue" xfId="1244" xr:uid="{00000000-0005-0000-0000-0000F9040000}"/>
    <cellStyle name="Table Head Green" xfId="1245" xr:uid="{00000000-0005-0000-0000-0000FA040000}"/>
    <cellStyle name="Table Head_Alamosa Bids II" xfId="1246" xr:uid="{00000000-0005-0000-0000-0000FB040000}"/>
    <cellStyle name="Table Heading" xfId="1247" xr:uid="{00000000-0005-0000-0000-0000FC040000}"/>
    <cellStyle name="Table Sub Head" xfId="1248" xr:uid="{00000000-0005-0000-0000-0000FD040000}"/>
    <cellStyle name="Table Text" xfId="1249" xr:uid="{00000000-0005-0000-0000-0000FE040000}"/>
    <cellStyle name="Table Title" xfId="1250" xr:uid="{00000000-0005-0000-0000-0000FF040000}"/>
    <cellStyle name="Table Units" xfId="1251" xr:uid="{00000000-0005-0000-0000-000000050000}"/>
    <cellStyle name="Table_Header" xfId="1252" xr:uid="{00000000-0005-0000-0000-000001050000}"/>
    <cellStyle name="TableBody_sbcpac" xfId="1253" xr:uid="{00000000-0005-0000-0000-000002050000}"/>
    <cellStyle name="Text 1" xfId="1254" xr:uid="{00000000-0005-0000-0000-000003050000}"/>
    <cellStyle name="Text 8" xfId="1255" xr:uid="{00000000-0005-0000-0000-000004050000}"/>
    <cellStyle name="Text Head 1" xfId="1256" xr:uid="{00000000-0005-0000-0000-000005050000}"/>
    <cellStyle name="Text Indent A" xfId="1257" xr:uid="{00000000-0005-0000-0000-000006050000}"/>
    <cellStyle name="Text Indent B" xfId="1258" xr:uid="{00000000-0005-0000-0000-000007050000}"/>
    <cellStyle name="Text Indent C" xfId="1259" xr:uid="{00000000-0005-0000-0000-000008050000}"/>
    <cellStyle name="TIME" xfId="1260" xr:uid="{00000000-0005-0000-0000-000009050000}"/>
    <cellStyle name="Times 10" xfId="1261" xr:uid="{00000000-0005-0000-0000-00000A050000}"/>
    <cellStyle name="Times 12" xfId="1262" xr:uid="{00000000-0005-0000-0000-00000B050000}"/>
    <cellStyle name="Times New Roman" xfId="1263" xr:uid="{00000000-0005-0000-0000-00000C050000}"/>
    <cellStyle name="times roman" xfId="1264" xr:uid="{00000000-0005-0000-0000-00000D050000}"/>
    <cellStyle name="Title1" xfId="1265" xr:uid="{00000000-0005-0000-0000-00000E050000}"/>
    <cellStyle name="Title10" xfId="1266" xr:uid="{00000000-0005-0000-0000-00000F050000}"/>
    <cellStyle name="Title2" xfId="1267" xr:uid="{00000000-0005-0000-0000-000010050000}"/>
    <cellStyle name="Title8" xfId="1268" xr:uid="{00000000-0005-0000-0000-000011050000}"/>
    <cellStyle name="Title8Left" xfId="1269" xr:uid="{00000000-0005-0000-0000-000012050000}"/>
    <cellStyle name="TitleCenter" xfId="1270" xr:uid="{00000000-0005-0000-0000-000013050000}"/>
    <cellStyle name="TitleLeft" xfId="1271" xr:uid="{00000000-0005-0000-0000-000014050000}"/>
    <cellStyle name="TitleOther" xfId="1272" xr:uid="{00000000-0005-0000-0000-000015050000}"/>
    <cellStyle name="Titolo1" xfId="1273" xr:uid="{00000000-0005-0000-0000-000016050000}"/>
    <cellStyle name="Titolo2" xfId="1274" xr:uid="{00000000-0005-0000-0000-000017050000}"/>
    <cellStyle name="Titolo3" xfId="1275" xr:uid="{00000000-0005-0000-0000-000018050000}"/>
    <cellStyle name="topline" xfId="1276" xr:uid="{00000000-0005-0000-0000-000019050000}"/>
    <cellStyle name="TopThick" xfId="1277" xr:uid="{00000000-0005-0000-0000-00001A050000}"/>
    <cellStyle name="Total1" xfId="1278" xr:uid="{00000000-0005-0000-0000-00001B050000}"/>
    <cellStyle name="Total2" xfId="1279" xr:uid="{00000000-0005-0000-0000-00001C050000}"/>
    <cellStyle name="Total3" xfId="1280" xr:uid="{00000000-0005-0000-0000-00001D050000}"/>
    <cellStyle name="Total4" xfId="1281" xr:uid="{00000000-0005-0000-0000-00001E050000}"/>
    <cellStyle name="Total5" xfId="1282" xr:uid="{00000000-0005-0000-0000-00001F050000}"/>
    <cellStyle name="Total6" xfId="1283" xr:uid="{00000000-0005-0000-0000-000020050000}"/>
    <cellStyle name="Total7" xfId="1284" xr:uid="{00000000-0005-0000-0000-000021050000}"/>
    <cellStyle name="Total8" xfId="1285" xr:uid="{00000000-0005-0000-0000-000022050000}"/>
    <cellStyle name="Total9" xfId="1286" xr:uid="{00000000-0005-0000-0000-000023050000}"/>
    <cellStyle name="Totals" xfId="1287" xr:uid="{00000000-0005-0000-0000-000024050000}"/>
    <cellStyle name="TotalsComma" xfId="1288" xr:uid="{00000000-0005-0000-0000-000025050000}"/>
    <cellStyle name="TotShade" xfId="1289" xr:uid="{00000000-0005-0000-0000-000026050000}"/>
    <cellStyle name="TotShade 2" xfId="1290" xr:uid="{00000000-0005-0000-0000-000027050000}"/>
    <cellStyle name="TotShade 3" xfId="1291" xr:uid="{00000000-0005-0000-0000-000028050000}"/>
    <cellStyle name="TotShade 4" xfId="1292" xr:uid="{00000000-0005-0000-0000-000029050000}"/>
    <cellStyle name="TotShade 5" xfId="1293" xr:uid="{00000000-0005-0000-0000-00002A050000}"/>
    <cellStyle name="TotShade 9" xfId="1294" xr:uid="{00000000-0005-0000-0000-00002B050000}"/>
    <cellStyle name="TransVal" xfId="1295" xr:uid="{00000000-0005-0000-0000-00002C050000}"/>
    <cellStyle name="ubordinated Debt" xfId="1296" xr:uid="{00000000-0005-0000-0000-00002D050000}"/>
    <cellStyle name="underline 1 decimal" xfId="1297" xr:uid="{00000000-0005-0000-0000-00002E050000}"/>
    <cellStyle name="underline 2 decimals" xfId="1298" xr:uid="{00000000-0005-0000-0000-00002F050000}"/>
    <cellStyle name="underline flush left" xfId="1299" xr:uid="{00000000-0005-0000-0000-000030050000}"/>
    <cellStyle name="underline no decimals" xfId="1300" xr:uid="{00000000-0005-0000-0000-000031050000}"/>
    <cellStyle name="Underline_Single" xfId="1301" xr:uid="{00000000-0005-0000-0000-000032050000}"/>
    <cellStyle name="Underscore" xfId="1302" xr:uid="{00000000-0005-0000-0000-000033050000}"/>
    <cellStyle name="Underscore 2" xfId="1303" xr:uid="{00000000-0005-0000-0000-000034050000}"/>
    <cellStyle name="Underscore 3" xfId="1304" xr:uid="{00000000-0005-0000-0000-000035050000}"/>
    <cellStyle name="Underscore 4" xfId="1305" xr:uid="{00000000-0005-0000-0000-000036050000}"/>
    <cellStyle name="Underscore 5" xfId="1306" xr:uid="{00000000-0005-0000-0000-000037050000}"/>
    <cellStyle name="Underscore 9" xfId="1307" xr:uid="{00000000-0005-0000-0000-000038050000}"/>
    <cellStyle name="Unprot" xfId="1308" xr:uid="{00000000-0005-0000-0000-000039050000}"/>
    <cellStyle name="Unprot$" xfId="1309" xr:uid="{00000000-0005-0000-0000-00003A050000}"/>
    <cellStyle name="Unprotect" xfId="1310" xr:uid="{00000000-0005-0000-0000-00003B050000}"/>
    <cellStyle name="User_Defined_A" xfId="1311" xr:uid="{00000000-0005-0000-0000-00003C050000}"/>
    <cellStyle name="Valuta (0)_Foglio1 (2)" xfId="1312" xr:uid="{00000000-0005-0000-0000-00003D050000}"/>
    <cellStyle name="Valuta_Foglio1 (2)" xfId="1313" xr:uid="{00000000-0005-0000-0000-00003E050000}"/>
    <cellStyle name="Vírgula_Arrendamiraflores" xfId="1314" xr:uid="{00000000-0005-0000-0000-00003F050000}"/>
    <cellStyle name="White" xfId="1315" xr:uid="{00000000-0005-0000-0000-000040050000}"/>
    <cellStyle name="y" xfId="1316" xr:uid="{00000000-0005-0000-0000-000041050000}"/>
    <cellStyle name="y_Citrix_2pgr2" xfId="1317" xr:uid="{00000000-0005-0000-0000-000042050000}"/>
    <cellStyle name="y_Iron-Steel" xfId="1318" xr:uid="{00000000-0005-0000-0000-000043050000}"/>
    <cellStyle name="y_MERQ_6-14_V8" xfId="1319" xr:uid="{00000000-0005-0000-0000-000044050000}"/>
    <cellStyle name="y_RATL_SRNA synergies" xfId="1320" xr:uid="{00000000-0005-0000-0000-000045050000}"/>
    <cellStyle name="y_Valuation_Jan2" xfId="1321" xr:uid="{00000000-0005-0000-0000-000046050000}"/>
    <cellStyle name="year" xfId="1322" xr:uid="{00000000-0005-0000-0000-000047050000}"/>
    <cellStyle name="Yen" xfId="1323" xr:uid="{00000000-0005-0000-0000-000048050000}"/>
    <cellStyle name="YES NO" xfId="1324" xr:uid="{00000000-0005-0000-0000-000049050000}"/>
    <cellStyle name="型番" xfId="1325" xr:uid="{00000000-0005-0000-0000-00004A050000}"/>
    <cellStyle name="桁区切り [0.00]_Book2" xfId="1326" xr:uid="{00000000-0005-0000-0000-00004B050000}"/>
    <cellStyle name="桁区切り_AssetBalance Template" xfId="1327" xr:uid="{00000000-0005-0000-0000-00004C050000}"/>
    <cellStyle name="標準_1Q01SS-backup_Megalon 3Q2" xfId="1328" xr:uid="{00000000-0005-0000-0000-00004D050000}"/>
    <cellStyle name="通貨 [0.00]_Book2" xfId="1329" xr:uid="{00000000-0005-0000-0000-00004E050000}"/>
    <cellStyle name="通貨_Book2" xfId="1330" xr:uid="{00000000-0005-0000-0000-00004F050000}"/>
  </cellStyles>
  <dxfs count="142">
    <dxf>
      <font>
        <strike val="0"/>
        <color theme="0"/>
      </font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6.xml"/><Relationship Id="rId47" Type="http://schemas.openxmlformats.org/officeDocument/2006/relationships/externalLink" Target="externalLinks/externalLink11.xml"/><Relationship Id="rId50" Type="http://schemas.openxmlformats.org/officeDocument/2006/relationships/styles" Target="styles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externalLink" Target="externalLinks/externalLink9.xml"/><Relationship Id="rId53" Type="http://schemas.microsoft.com/office/2017/10/relationships/person" Target="persons/perso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Relationship Id="rId48" Type="http://schemas.openxmlformats.org/officeDocument/2006/relationships/externalLink" Target="externalLinks/externalLink12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externalLink" Target="externalLinks/externalLink1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5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8.xml"/><Relationship Id="rId5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hyperlink" Target="#'Table of Contents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hyperlink" Target="#'Table of Content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hyperlink" Target="#'Table of Content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hyperlink" Target="#'Table of Content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hyperlink" Target="#'Table of Contents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hyperlink" Target="#'Table of Content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hyperlink" Target="#'Table of Content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hyperlink" Target="#'Table of Content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hyperlink" Target="#'Table of Contents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hyperlink" Target="#'Table of Content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257200</xdr:colOff>
      <xdr:row>0</xdr:row>
      <xdr:rowOff>108905</xdr:rowOff>
    </xdr:from>
    <xdr:to>
      <xdr:col>21</xdr:col>
      <xdr:colOff>124931</xdr:colOff>
      <xdr:row>28</xdr:row>
      <xdr:rowOff>187939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F1B002-7D6E-4654-BA85-704159E98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45018" y="108905"/>
          <a:ext cx="13399004" cy="71217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74983</xdr:colOff>
      <xdr:row>1</xdr:row>
      <xdr:rowOff>0</xdr:rowOff>
    </xdr:from>
    <xdr:to>
      <xdr:col>68</xdr:col>
      <xdr:colOff>12102</xdr:colOff>
      <xdr:row>1</xdr:row>
      <xdr:rowOff>327162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B35166-2935-4014-AFA7-93F08DA3E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29733" y="292100"/>
          <a:ext cx="19647520" cy="327162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78</xdr:col>
      <xdr:colOff>97945</xdr:colOff>
      <xdr:row>1</xdr:row>
      <xdr:rowOff>0</xdr:rowOff>
    </xdr:from>
    <xdr:to>
      <xdr:col>90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3F0912-731E-4654-9327-8B40DEA2A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83022595" y="292100"/>
          <a:ext cx="7338273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78</xdr:col>
      <xdr:colOff>51529</xdr:colOff>
      <xdr:row>54</xdr:row>
      <xdr:rowOff>0</xdr:rowOff>
    </xdr:from>
    <xdr:to>
      <xdr:col>90</xdr:col>
      <xdr:colOff>95096</xdr:colOff>
      <xdr:row>54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2B6D9AC7-929F-4B6A-B5A5-8AAA13B336D5}"/>
            </a:ext>
          </a:extLst>
        </xdr:cNvPr>
        <xdr:cNvSpPr txBox="1">
          <a:spLocks noChangeArrowheads="1"/>
        </xdr:cNvSpPr>
      </xdr:nvSpPr>
      <xdr:spPr bwMode="auto">
        <a:xfrm>
          <a:off x="82976179" y="10960100"/>
          <a:ext cx="74349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74983</xdr:colOff>
      <xdr:row>1</xdr:row>
      <xdr:rowOff>0</xdr:rowOff>
    </xdr:from>
    <xdr:to>
      <xdr:col>68</xdr:col>
      <xdr:colOff>12102</xdr:colOff>
      <xdr:row>1</xdr:row>
      <xdr:rowOff>327162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C76C2D-44EA-442A-9E0D-A80574F4B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29733" y="292100"/>
          <a:ext cx="19647520" cy="327162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78</xdr:col>
      <xdr:colOff>97945</xdr:colOff>
      <xdr:row>1</xdr:row>
      <xdr:rowOff>0</xdr:rowOff>
    </xdr:from>
    <xdr:to>
      <xdr:col>90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FA3110-0F22-4B0E-BDE0-085F0BEEF6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83022595" y="292100"/>
          <a:ext cx="7338273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78</xdr:col>
      <xdr:colOff>51529</xdr:colOff>
      <xdr:row>54</xdr:row>
      <xdr:rowOff>0</xdr:rowOff>
    </xdr:from>
    <xdr:to>
      <xdr:col>90</xdr:col>
      <xdr:colOff>95096</xdr:colOff>
      <xdr:row>54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68779567-E953-4870-81C9-8C2EAA062900}"/>
            </a:ext>
          </a:extLst>
        </xdr:cNvPr>
        <xdr:cNvSpPr txBox="1">
          <a:spLocks noChangeArrowheads="1"/>
        </xdr:cNvSpPr>
      </xdr:nvSpPr>
      <xdr:spPr bwMode="auto">
        <a:xfrm>
          <a:off x="82976179" y="10960100"/>
          <a:ext cx="74349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74983</xdr:colOff>
      <xdr:row>1</xdr:row>
      <xdr:rowOff>0</xdr:rowOff>
    </xdr:from>
    <xdr:to>
      <xdr:col>68</xdr:col>
      <xdr:colOff>12103</xdr:colOff>
      <xdr:row>1</xdr:row>
      <xdr:rowOff>327162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4A13A3-436C-435E-808B-1CEBC073B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29733" y="292100"/>
          <a:ext cx="19647520" cy="327162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78</xdr:col>
      <xdr:colOff>97945</xdr:colOff>
      <xdr:row>1</xdr:row>
      <xdr:rowOff>0</xdr:rowOff>
    </xdr:from>
    <xdr:to>
      <xdr:col>90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969E9C-CA94-4488-9A40-B5F6CEFF11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83022595" y="292100"/>
          <a:ext cx="7338273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78</xdr:col>
      <xdr:colOff>51529</xdr:colOff>
      <xdr:row>54</xdr:row>
      <xdr:rowOff>0</xdr:rowOff>
    </xdr:from>
    <xdr:to>
      <xdr:col>90</xdr:col>
      <xdr:colOff>95096</xdr:colOff>
      <xdr:row>54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6E4BE698-9519-4E70-82BC-B7220F938029}"/>
            </a:ext>
          </a:extLst>
        </xdr:cNvPr>
        <xdr:cNvSpPr txBox="1">
          <a:spLocks noChangeArrowheads="1"/>
        </xdr:cNvSpPr>
      </xdr:nvSpPr>
      <xdr:spPr bwMode="auto">
        <a:xfrm>
          <a:off x="82976179" y="10960100"/>
          <a:ext cx="74349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74983</xdr:colOff>
      <xdr:row>1</xdr:row>
      <xdr:rowOff>0</xdr:rowOff>
    </xdr:from>
    <xdr:to>
      <xdr:col>68</xdr:col>
      <xdr:colOff>12103</xdr:colOff>
      <xdr:row>1</xdr:row>
      <xdr:rowOff>327162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2525E0-8DC4-4043-A697-BC843140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29733" y="292100"/>
          <a:ext cx="19647520" cy="327162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78</xdr:col>
      <xdr:colOff>97945</xdr:colOff>
      <xdr:row>1</xdr:row>
      <xdr:rowOff>0</xdr:rowOff>
    </xdr:from>
    <xdr:to>
      <xdr:col>90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762ED8-2EA2-45CD-A680-69D3807FD2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83022595" y="292100"/>
          <a:ext cx="7338273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78</xdr:col>
      <xdr:colOff>51529</xdr:colOff>
      <xdr:row>54</xdr:row>
      <xdr:rowOff>0</xdr:rowOff>
    </xdr:from>
    <xdr:to>
      <xdr:col>90</xdr:col>
      <xdr:colOff>95096</xdr:colOff>
      <xdr:row>54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A9A1BC6A-3882-41EE-A484-D94E7519B6E5}"/>
            </a:ext>
          </a:extLst>
        </xdr:cNvPr>
        <xdr:cNvSpPr txBox="1">
          <a:spLocks noChangeArrowheads="1"/>
        </xdr:cNvSpPr>
      </xdr:nvSpPr>
      <xdr:spPr bwMode="auto">
        <a:xfrm>
          <a:off x="82976179" y="10960100"/>
          <a:ext cx="74349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74983</xdr:colOff>
      <xdr:row>1</xdr:row>
      <xdr:rowOff>0</xdr:rowOff>
    </xdr:from>
    <xdr:to>
      <xdr:col>68</xdr:col>
      <xdr:colOff>12103</xdr:colOff>
      <xdr:row>1</xdr:row>
      <xdr:rowOff>327162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EEF872-9C1E-4A43-ADEF-B7C352452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29733" y="292100"/>
          <a:ext cx="19647520" cy="327162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78</xdr:col>
      <xdr:colOff>97945</xdr:colOff>
      <xdr:row>1</xdr:row>
      <xdr:rowOff>0</xdr:rowOff>
    </xdr:from>
    <xdr:to>
      <xdr:col>90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097B0B-F06B-4E33-8DDE-81731A0415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83022595" y="292100"/>
          <a:ext cx="7338273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78</xdr:col>
      <xdr:colOff>51529</xdr:colOff>
      <xdr:row>54</xdr:row>
      <xdr:rowOff>0</xdr:rowOff>
    </xdr:from>
    <xdr:to>
      <xdr:col>90</xdr:col>
      <xdr:colOff>95096</xdr:colOff>
      <xdr:row>54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481306CC-8D8D-49A0-B8E2-24DB1DA570C8}"/>
            </a:ext>
          </a:extLst>
        </xdr:cNvPr>
        <xdr:cNvSpPr txBox="1">
          <a:spLocks noChangeArrowheads="1"/>
        </xdr:cNvSpPr>
      </xdr:nvSpPr>
      <xdr:spPr bwMode="auto">
        <a:xfrm>
          <a:off x="82976179" y="10960100"/>
          <a:ext cx="74349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340591</xdr:colOff>
      <xdr:row>63</xdr:row>
      <xdr:rowOff>269877</xdr:rowOff>
    </xdr:from>
    <xdr:to>
      <xdr:col>17</xdr:col>
      <xdr:colOff>629228</xdr:colOff>
      <xdr:row>75</xdr:row>
      <xdr:rowOff>194902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249DBE-25D2-D545-AF83-C810D5741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15841" y="27416127"/>
          <a:ext cx="12750512" cy="6211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648304</xdr:colOff>
      <xdr:row>38</xdr:row>
      <xdr:rowOff>124866</xdr:rowOff>
    </xdr:from>
    <xdr:to>
      <xdr:col>45</xdr:col>
      <xdr:colOff>519478</xdr:colOff>
      <xdr:row>69</xdr:row>
      <xdr:rowOff>189106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449EB1F-5CBA-A3C5-934E-8EDDFF4C3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31929" y="9633991"/>
          <a:ext cx="13952299" cy="71762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84364</xdr:colOff>
      <xdr:row>4</xdr:row>
      <xdr:rowOff>94343</xdr:rowOff>
    </xdr:from>
    <xdr:to>
      <xdr:col>4</xdr:col>
      <xdr:colOff>1094299</xdr:colOff>
      <xdr:row>22</xdr:row>
      <xdr:rowOff>56405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146F20-5752-40C3-8C81-3CD87161A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150" y="820057"/>
          <a:ext cx="5527506" cy="3227777"/>
        </a:xfrm>
        <a:prstGeom prst="rect">
          <a:avLst/>
        </a:prstGeom>
      </xdr:spPr>
    </xdr:pic>
    <xdr:clientData/>
  </xdr:twoCellAnchor>
  <xdr:twoCellAnchor editAs="oneCell">
    <xdr:from>
      <xdr:col>0</xdr:col>
      <xdr:colOff>440460</xdr:colOff>
      <xdr:row>57</xdr:row>
      <xdr:rowOff>106631</xdr:rowOff>
    </xdr:from>
    <xdr:to>
      <xdr:col>4</xdr:col>
      <xdr:colOff>987976</xdr:colOff>
      <xdr:row>66</xdr:row>
      <xdr:rowOff>119330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F43F76-ED19-42A1-813B-06D5688A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0460" y="10060256"/>
          <a:ext cx="5627516" cy="1584324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48</xdr:row>
      <xdr:rowOff>82590</xdr:rowOff>
    </xdr:from>
    <xdr:to>
      <xdr:col>4</xdr:col>
      <xdr:colOff>827315</xdr:colOff>
      <xdr:row>57</xdr:row>
      <xdr:rowOff>29071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346B44-66A9-4651-9C4B-ED803F1A1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2750" y="8464590"/>
          <a:ext cx="5494565" cy="1518106"/>
        </a:xfrm>
        <a:prstGeom prst="rect">
          <a:avLst/>
        </a:prstGeom>
      </xdr:spPr>
    </xdr:pic>
    <xdr:clientData/>
  </xdr:twoCellAnchor>
  <xdr:twoCellAnchor editAs="oneCell">
    <xdr:from>
      <xdr:col>0</xdr:col>
      <xdr:colOff>408626</xdr:colOff>
      <xdr:row>67</xdr:row>
      <xdr:rowOff>73807</xdr:rowOff>
    </xdr:from>
    <xdr:to>
      <xdr:col>4</xdr:col>
      <xdr:colOff>985443</xdr:colOff>
      <xdr:row>85</xdr:row>
      <xdr:rowOff>18762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4237725-3129-441D-A459-EE673E3B6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8626" y="11773682"/>
          <a:ext cx="5656817" cy="3088205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1206500</xdr:colOff>
      <xdr:row>165</xdr:row>
      <xdr:rowOff>8577</xdr:rowOff>
    </xdr:from>
    <xdr:to>
      <xdr:col>11</xdr:col>
      <xdr:colOff>2161528</xdr:colOff>
      <xdr:row>188</xdr:row>
      <xdr:rowOff>127060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F499D58-B774-4266-B708-E6AA40EAB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52300" y="29345577"/>
          <a:ext cx="11877028" cy="4233283"/>
        </a:xfrm>
        <a:prstGeom prst="rect">
          <a:avLst/>
        </a:prstGeom>
      </xdr:spPr>
    </xdr:pic>
    <xdr:clientData/>
  </xdr:twoCellAnchor>
  <xdr:twoCellAnchor editAs="oneCell">
    <xdr:from>
      <xdr:col>4</xdr:col>
      <xdr:colOff>1402567</xdr:colOff>
      <xdr:row>3</xdr:row>
      <xdr:rowOff>52574</xdr:rowOff>
    </xdr:from>
    <xdr:to>
      <xdr:col>7</xdr:col>
      <xdr:colOff>1212068</xdr:colOff>
      <xdr:row>20</xdr:row>
      <xdr:rowOff>3916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940F603-335D-48C2-A2E2-FC384E897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94112" y="572119"/>
          <a:ext cx="7729683" cy="2895433"/>
        </a:xfrm>
        <a:prstGeom prst="rect">
          <a:avLst/>
        </a:prstGeom>
      </xdr:spPr>
    </xdr:pic>
    <xdr:clientData/>
  </xdr:twoCellAnchor>
  <xdr:twoCellAnchor editAs="oneCell">
    <xdr:from>
      <xdr:col>7</xdr:col>
      <xdr:colOff>1615126</xdr:colOff>
      <xdr:row>3</xdr:row>
      <xdr:rowOff>86588</xdr:rowOff>
    </xdr:from>
    <xdr:to>
      <xdr:col>11</xdr:col>
      <xdr:colOff>694347</xdr:colOff>
      <xdr:row>20</xdr:row>
      <xdr:rowOff>66653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FE58FB-D14E-4287-9C14-BE6EE6076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600876" y="610463"/>
          <a:ext cx="7810471" cy="294869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1011670</xdr:colOff>
      <xdr:row>3</xdr:row>
      <xdr:rowOff>79785</xdr:rowOff>
    </xdr:from>
    <xdr:to>
      <xdr:col>21</xdr:col>
      <xdr:colOff>566947</xdr:colOff>
      <xdr:row>21</xdr:row>
      <xdr:rowOff>138319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E79B8D6-425E-49B8-8893-E8D97AA3E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728670" y="603660"/>
          <a:ext cx="8096027" cy="3201784"/>
        </a:xfrm>
        <a:prstGeom prst="rect">
          <a:avLst/>
        </a:prstGeom>
      </xdr:spPr>
    </xdr:pic>
    <xdr:clientData/>
  </xdr:twoCellAnchor>
  <xdr:twoCellAnchor editAs="oneCell">
    <xdr:from>
      <xdr:col>4</xdr:col>
      <xdr:colOff>1340715</xdr:colOff>
      <xdr:row>22</xdr:row>
      <xdr:rowOff>131330</xdr:rowOff>
    </xdr:from>
    <xdr:to>
      <xdr:col>7</xdr:col>
      <xdr:colOff>1394113</xdr:colOff>
      <xdr:row>41</xdr:row>
      <xdr:rowOff>65298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FEF7B65-1CA5-49B1-80FE-52FD09CA6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20715" y="3973080"/>
          <a:ext cx="7959148" cy="3251843"/>
        </a:xfrm>
        <a:prstGeom prst="rect">
          <a:avLst/>
        </a:prstGeom>
      </xdr:spPr>
    </xdr:pic>
    <xdr:clientData/>
  </xdr:twoCellAnchor>
  <xdr:twoCellAnchor editAs="oneCell">
    <xdr:from>
      <xdr:col>7</xdr:col>
      <xdr:colOff>1594716</xdr:colOff>
      <xdr:row>21</xdr:row>
      <xdr:rowOff>134216</xdr:rowOff>
    </xdr:from>
    <xdr:to>
      <xdr:col>11</xdr:col>
      <xdr:colOff>837045</xdr:colOff>
      <xdr:row>41</xdr:row>
      <xdr:rowOff>385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B2448E8-0DC2-4BA5-8388-A5ECB3174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580466" y="3801341"/>
          <a:ext cx="7973579" cy="3357226"/>
        </a:xfrm>
        <a:prstGeom prst="rect">
          <a:avLst/>
        </a:prstGeom>
      </xdr:spPr>
    </xdr:pic>
    <xdr:clientData/>
  </xdr:twoCellAnchor>
  <xdr:twoCellAnchor editAs="oneCell">
    <xdr:from>
      <xdr:col>11</xdr:col>
      <xdr:colOff>900545</xdr:colOff>
      <xdr:row>19</xdr:row>
      <xdr:rowOff>150090</xdr:rowOff>
    </xdr:from>
    <xdr:to>
      <xdr:col>22</xdr:col>
      <xdr:colOff>41497</xdr:colOff>
      <xdr:row>41</xdr:row>
      <xdr:rowOff>7216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30274CF-F84E-4987-A561-11330EC6D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617545" y="3467965"/>
          <a:ext cx="8284952" cy="3698876"/>
        </a:xfrm>
        <a:prstGeom prst="rect">
          <a:avLst/>
        </a:prstGeom>
      </xdr:spPr>
    </xdr:pic>
    <xdr:clientData/>
  </xdr:twoCellAnchor>
  <xdr:twoCellAnchor editAs="oneCell">
    <xdr:from>
      <xdr:col>4</xdr:col>
      <xdr:colOff>1118466</xdr:colOff>
      <xdr:row>67</xdr:row>
      <xdr:rowOff>80818</xdr:rowOff>
    </xdr:from>
    <xdr:to>
      <xdr:col>7</xdr:col>
      <xdr:colOff>1490367</xdr:colOff>
      <xdr:row>86</xdr:row>
      <xdr:rowOff>50511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C778DC1-35AF-431E-892A-81F50AC66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198466" y="11780693"/>
          <a:ext cx="8277651" cy="3287568"/>
        </a:xfrm>
        <a:prstGeom prst="rect">
          <a:avLst/>
        </a:prstGeom>
      </xdr:spPr>
    </xdr:pic>
    <xdr:clientData/>
  </xdr:twoCellAnchor>
  <xdr:twoCellAnchor editAs="oneCell">
    <xdr:from>
      <xdr:col>7</xdr:col>
      <xdr:colOff>1512454</xdr:colOff>
      <xdr:row>68</xdr:row>
      <xdr:rowOff>64639</xdr:rowOff>
    </xdr:from>
    <xdr:to>
      <xdr:col>11</xdr:col>
      <xdr:colOff>1117023</xdr:colOff>
      <xdr:row>85</xdr:row>
      <xdr:rowOff>165966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B7CD53C-EC7F-45D9-AFDF-A09A55AC7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498204" y="11939139"/>
          <a:ext cx="8335819" cy="3069952"/>
        </a:xfrm>
        <a:prstGeom prst="rect">
          <a:avLst/>
        </a:prstGeom>
      </xdr:spPr>
    </xdr:pic>
    <xdr:clientData/>
  </xdr:twoCellAnchor>
  <xdr:twoCellAnchor editAs="oneCell">
    <xdr:from>
      <xdr:col>11</xdr:col>
      <xdr:colOff>1613715</xdr:colOff>
      <xdr:row>68</xdr:row>
      <xdr:rowOff>158343</xdr:rowOff>
    </xdr:from>
    <xdr:to>
      <xdr:col>22</xdr:col>
      <xdr:colOff>140515</xdr:colOff>
      <xdr:row>85</xdr:row>
      <xdr:rowOff>96159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09C3727-F43C-4DA5-BE54-1183DBB62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330715" y="12032843"/>
          <a:ext cx="7670800" cy="2906441"/>
        </a:xfrm>
        <a:prstGeom prst="rect">
          <a:avLst/>
        </a:prstGeom>
      </xdr:spPr>
    </xdr:pic>
    <xdr:clientData/>
  </xdr:twoCellAnchor>
  <xdr:twoCellAnchor editAs="oneCell">
    <xdr:from>
      <xdr:col>23</xdr:col>
      <xdr:colOff>27948</xdr:colOff>
      <xdr:row>68</xdr:row>
      <xdr:rowOff>50972</xdr:rowOff>
    </xdr:from>
    <xdr:to>
      <xdr:col>34</xdr:col>
      <xdr:colOff>322697</xdr:colOff>
      <xdr:row>84</xdr:row>
      <xdr:rowOff>62030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F0AA806-3631-4088-B14A-A8CD1D45F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492198" y="11925472"/>
          <a:ext cx="6930499" cy="2805058"/>
        </a:xfrm>
        <a:prstGeom prst="rect">
          <a:avLst/>
        </a:prstGeom>
      </xdr:spPr>
    </xdr:pic>
    <xdr:clientData/>
  </xdr:twoCellAnchor>
  <xdr:twoCellAnchor editAs="oneCell">
    <xdr:from>
      <xdr:col>22</xdr:col>
      <xdr:colOff>528207</xdr:colOff>
      <xdr:row>50</xdr:row>
      <xdr:rowOff>20205</xdr:rowOff>
    </xdr:from>
    <xdr:to>
      <xdr:col>34</xdr:col>
      <xdr:colOff>495256</xdr:colOff>
      <xdr:row>67</xdr:row>
      <xdr:rowOff>20205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5465384-D88A-456F-8186-9D20E63A5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1389207" y="8751455"/>
          <a:ext cx="7206049" cy="2968625"/>
        </a:xfrm>
        <a:prstGeom prst="rect">
          <a:avLst/>
        </a:prstGeom>
      </xdr:spPr>
    </xdr:pic>
    <xdr:clientData/>
  </xdr:twoCellAnchor>
  <xdr:twoCellAnchor editAs="oneCell">
    <xdr:from>
      <xdr:col>35</xdr:col>
      <xdr:colOff>241299</xdr:colOff>
      <xdr:row>49</xdr:row>
      <xdr:rowOff>156441</xdr:rowOff>
    </xdr:from>
    <xdr:to>
      <xdr:col>50</xdr:col>
      <xdr:colOff>359352</xdr:colOff>
      <xdr:row>69</xdr:row>
      <xdr:rowOff>13710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AAAB03E-5A42-4529-82F3-BCBB4093F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611299" y="9490941"/>
          <a:ext cx="9643053" cy="3667269"/>
        </a:xfrm>
        <a:prstGeom prst="rect">
          <a:avLst/>
        </a:prstGeom>
      </xdr:spPr>
    </xdr:pic>
    <xdr:clientData/>
  </xdr:twoCellAnchor>
  <xdr:twoCellAnchor editAs="oneCell">
    <xdr:from>
      <xdr:col>11</xdr:col>
      <xdr:colOff>1511011</xdr:colOff>
      <xdr:row>48</xdr:row>
      <xdr:rowOff>99290</xdr:rowOff>
    </xdr:from>
    <xdr:to>
      <xdr:col>23</xdr:col>
      <xdr:colOff>364494</xdr:colOff>
      <xdr:row>66</xdr:row>
      <xdr:rowOff>170295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9802BF7-289A-4C33-95D8-BB506F9DD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228011" y="8481290"/>
          <a:ext cx="8600733" cy="3214255"/>
        </a:xfrm>
        <a:prstGeom prst="rect">
          <a:avLst/>
        </a:prstGeom>
      </xdr:spPr>
    </xdr:pic>
    <xdr:clientData/>
  </xdr:twoCellAnchor>
  <xdr:twoCellAnchor editAs="oneCell">
    <xdr:from>
      <xdr:col>4</xdr:col>
      <xdr:colOff>1193511</xdr:colOff>
      <xdr:row>48</xdr:row>
      <xdr:rowOff>38965</xdr:rowOff>
    </xdr:from>
    <xdr:to>
      <xdr:col>7</xdr:col>
      <xdr:colOff>1407102</xdr:colOff>
      <xdr:row>66</xdr:row>
      <xdr:rowOff>137526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BACC8A5-FC5E-499A-935B-09196E13C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273511" y="8420965"/>
          <a:ext cx="8119341" cy="3241811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1619251</xdr:colOff>
      <xdr:row>48</xdr:row>
      <xdr:rowOff>142875</xdr:rowOff>
    </xdr:from>
    <xdr:to>
      <xdr:col>11</xdr:col>
      <xdr:colOff>1333501</xdr:colOff>
      <xdr:row>67</xdr:row>
      <xdr:rowOff>121594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E4EB18C-E87A-490D-B62A-162772A37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605001" y="8524875"/>
          <a:ext cx="8445500" cy="3296594"/>
        </a:xfrm>
        <a:prstGeom prst="rect">
          <a:avLst/>
        </a:prstGeom>
      </xdr:spPr>
    </xdr:pic>
    <xdr:clientData/>
  </xdr:twoCellAnchor>
  <xdr:twoCellAnchor editAs="oneCell">
    <xdr:from>
      <xdr:col>6</xdr:col>
      <xdr:colOff>1164103</xdr:colOff>
      <xdr:row>152</xdr:row>
      <xdr:rowOff>4618</xdr:rowOff>
    </xdr:from>
    <xdr:to>
      <xdr:col>9</xdr:col>
      <xdr:colOff>2072798</xdr:colOff>
      <xdr:row>156</xdr:row>
      <xdr:rowOff>152659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23C8079-A2C7-4DD4-9629-C872C883F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009903" y="27030218"/>
          <a:ext cx="7080895" cy="859241"/>
        </a:xfrm>
        <a:prstGeom prst="rect">
          <a:avLst/>
        </a:prstGeom>
      </xdr:spPr>
    </xdr:pic>
    <xdr:clientData/>
  </xdr:twoCellAnchor>
  <xdr:twoCellAnchor editAs="oneCell">
    <xdr:from>
      <xdr:col>6</xdr:col>
      <xdr:colOff>1138381</xdr:colOff>
      <xdr:row>157</xdr:row>
      <xdr:rowOff>11544</xdr:rowOff>
    </xdr:from>
    <xdr:to>
      <xdr:col>9</xdr:col>
      <xdr:colOff>2115432</xdr:colOff>
      <xdr:row>164</xdr:row>
      <xdr:rowOff>14353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E9010364-7C82-4B8C-8D7F-19057F0ED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984181" y="27926144"/>
          <a:ext cx="7149251" cy="1247409"/>
        </a:xfrm>
        <a:prstGeom prst="rect">
          <a:avLst/>
        </a:prstGeom>
      </xdr:spPr>
    </xdr:pic>
    <xdr:clientData/>
  </xdr:twoCellAnchor>
  <xdr:twoCellAnchor editAs="oneCell">
    <xdr:from>
      <xdr:col>12</xdr:col>
      <xdr:colOff>80818</xdr:colOff>
      <xdr:row>155</xdr:row>
      <xdr:rowOff>60037</xdr:rowOff>
    </xdr:from>
    <xdr:to>
      <xdr:col>30</xdr:col>
      <xdr:colOff>2355</xdr:colOff>
      <xdr:row>192</xdr:row>
      <xdr:rowOff>153317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C54D3F7-F243-432F-92AD-E364B4AF6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490218" y="27619037"/>
          <a:ext cx="11342012" cy="6697280"/>
        </a:xfrm>
        <a:prstGeom prst="rect">
          <a:avLst/>
        </a:prstGeom>
      </xdr:spPr>
    </xdr:pic>
    <xdr:clientData/>
  </xdr:twoCellAnchor>
  <xdr:twoCellAnchor editAs="oneCell">
    <xdr:from>
      <xdr:col>6</xdr:col>
      <xdr:colOff>722746</xdr:colOff>
      <xdr:row>189</xdr:row>
      <xdr:rowOff>83127</xdr:rowOff>
    </xdr:from>
    <xdr:to>
      <xdr:col>9</xdr:col>
      <xdr:colOff>728225</xdr:colOff>
      <xdr:row>198</xdr:row>
      <xdr:rowOff>106741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C563933-74DF-4F47-984B-CD4D0686C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568546" y="33712727"/>
          <a:ext cx="6177679" cy="1623814"/>
        </a:xfrm>
        <a:prstGeom prst="rect">
          <a:avLst/>
        </a:prstGeom>
      </xdr:spPr>
    </xdr:pic>
    <xdr:clientData/>
  </xdr:twoCellAnchor>
  <xdr:twoCellAnchor editAs="oneCell">
    <xdr:from>
      <xdr:col>9</xdr:col>
      <xdr:colOff>501072</xdr:colOff>
      <xdr:row>190</xdr:row>
      <xdr:rowOff>177800</xdr:rowOff>
    </xdr:from>
    <xdr:to>
      <xdr:col>11</xdr:col>
      <xdr:colOff>2038649</xdr:colOff>
      <xdr:row>208</xdr:row>
      <xdr:rowOff>1577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566B251-A9E5-4FDF-86F4-D9A08515D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07527" y="34052164"/>
          <a:ext cx="6271213" cy="3043227"/>
        </a:xfrm>
        <a:prstGeom prst="rect">
          <a:avLst/>
        </a:prstGeom>
      </xdr:spPr>
    </xdr:pic>
    <xdr:clientData/>
  </xdr:twoCellAnchor>
  <xdr:twoCellAnchor editAs="oneCell">
    <xdr:from>
      <xdr:col>34</xdr:col>
      <xdr:colOff>436417</xdr:colOff>
      <xdr:row>187</xdr:row>
      <xdr:rowOff>4619</xdr:rowOff>
    </xdr:from>
    <xdr:to>
      <xdr:col>44</xdr:col>
      <xdr:colOff>79351</xdr:colOff>
      <xdr:row>205</xdr:row>
      <xdr:rowOff>140185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9F22C60-D8A0-460D-8652-A9F0EED28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8721144" y="33324801"/>
          <a:ext cx="5762025" cy="3391384"/>
        </a:xfrm>
        <a:prstGeom prst="rect">
          <a:avLst/>
        </a:prstGeom>
      </xdr:spPr>
    </xdr:pic>
    <xdr:clientData/>
  </xdr:twoCellAnchor>
  <xdr:twoCellAnchor editAs="oneCell">
    <xdr:from>
      <xdr:col>11</xdr:col>
      <xdr:colOff>2209800</xdr:colOff>
      <xdr:row>195</xdr:row>
      <xdr:rowOff>138545</xdr:rowOff>
    </xdr:from>
    <xdr:to>
      <xdr:col>22</xdr:col>
      <xdr:colOff>321695</xdr:colOff>
      <xdr:row>217</xdr:row>
      <xdr:rowOff>47003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8CA6F46-32A3-46BF-8D4E-097752ED6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949891" y="34936545"/>
          <a:ext cx="7313622" cy="3776185"/>
        </a:xfrm>
        <a:prstGeom prst="rect">
          <a:avLst/>
        </a:prstGeom>
      </xdr:spPr>
    </xdr:pic>
    <xdr:clientData/>
  </xdr:twoCellAnchor>
  <xdr:twoCellAnchor editAs="oneCell">
    <xdr:from>
      <xdr:col>22</xdr:col>
      <xdr:colOff>284019</xdr:colOff>
      <xdr:row>196</xdr:row>
      <xdr:rowOff>178955</xdr:rowOff>
    </xdr:from>
    <xdr:to>
      <xdr:col>34</xdr:col>
      <xdr:colOff>576320</xdr:colOff>
      <xdr:row>220</xdr:row>
      <xdr:rowOff>123541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C5E9158-CDD0-49BA-8EE7-C29B14825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1225837" y="35161682"/>
          <a:ext cx="7644735" cy="4147132"/>
        </a:xfrm>
        <a:prstGeom prst="rect">
          <a:avLst/>
        </a:prstGeom>
      </xdr:spPr>
    </xdr:pic>
    <xdr:clientData/>
  </xdr:twoCellAnchor>
  <xdr:twoCellAnchor editAs="oneCell">
    <xdr:from>
      <xdr:col>11</xdr:col>
      <xdr:colOff>2082800</xdr:colOff>
      <xdr:row>216</xdr:row>
      <xdr:rowOff>101600</xdr:rowOff>
    </xdr:from>
    <xdr:to>
      <xdr:col>22</xdr:col>
      <xdr:colOff>213747</xdr:colOff>
      <xdr:row>226</xdr:row>
      <xdr:rowOff>105024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FF5D338-F6BF-410B-8C1A-5F80EBE77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850600" y="38531800"/>
          <a:ext cx="7325747" cy="1781424"/>
        </a:xfrm>
        <a:prstGeom prst="rect">
          <a:avLst/>
        </a:prstGeom>
      </xdr:spPr>
    </xdr:pic>
    <xdr:clientData/>
  </xdr:twoCellAnchor>
  <xdr:twoCellAnchor editAs="oneCell">
    <xdr:from>
      <xdr:col>30</xdr:col>
      <xdr:colOff>191655</xdr:colOff>
      <xdr:row>161</xdr:row>
      <xdr:rowOff>17319</xdr:rowOff>
    </xdr:from>
    <xdr:to>
      <xdr:col>44</xdr:col>
      <xdr:colOff>408204</xdr:colOff>
      <xdr:row>185</xdr:row>
      <xdr:rowOff>118086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F6ECCCB-2D4B-4506-9592-C0C9FCFA2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028746" y="28696228"/>
          <a:ext cx="8783276" cy="4372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74983</xdr:colOff>
      <xdr:row>1</xdr:row>
      <xdr:rowOff>0</xdr:rowOff>
    </xdr:from>
    <xdr:to>
      <xdr:col>68</xdr:col>
      <xdr:colOff>12102</xdr:colOff>
      <xdr:row>1</xdr:row>
      <xdr:rowOff>327162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BC3E28-F9D0-4E36-BC53-DB0D60F3A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29733" y="292100"/>
          <a:ext cx="19647520" cy="327162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78</xdr:col>
      <xdr:colOff>97945</xdr:colOff>
      <xdr:row>1</xdr:row>
      <xdr:rowOff>0</xdr:rowOff>
    </xdr:from>
    <xdr:to>
      <xdr:col>90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D8B6F7-379B-44FB-946B-DC042CC146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83022595" y="292100"/>
          <a:ext cx="7338273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78</xdr:col>
      <xdr:colOff>51529</xdr:colOff>
      <xdr:row>54</xdr:row>
      <xdr:rowOff>0</xdr:rowOff>
    </xdr:from>
    <xdr:to>
      <xdr:col>90</xdr:col>
      <xdr:colOff>95096</xdr:colOff>
      <xdr:row>54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DBBCA708-4E1B-4FDB-A008-9966B848F67F}"/>
            </a:ext>
          </a:extLst>
        </xdr:cNvPr>
        <xdr:cNvSpPr txBox="1">
          <a:spLocks noChangeArrowheads="1"/>
        </xdr:cNvSpPr>
      </xdr:nvSpPr>
      <xdr:spPr bwMode="auto">
        <a:xfrm>
          <a:off x="82976179" y="10960100"/>
          <a:ext cx="74349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74983</xdr:colOff>
      <xdr:row>1</xdr:row>
      <xdr:rowOff>0</xdr:rowOff>
    </xdr:from>
    <xdr:to>
      <xdr:col>68</xdr:col>
      <xdr:colOff>12103</xdr:colOff>
      <xdr:row>1</xdr:row>
      <xdr:rowOff>327162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5F07F8-27A5-425B-8C7D-602323045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536133" y="292100"/>
          <a:ext cx="19647520" cy="327162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78</xdr:col>
      <xdr:colOff>97945</xdr:colOff>
      <xdr:row>1</xdr:row>
      <xdr:rowOff>0</xdr:rowOff>
    </xdr:from>
    <xdr:to>
      <xdr:col>90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262E18-6187-4F1E-BCE9-8E4147B2A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83428995" y="292100"/>
          <a:ext cx="7338273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78</xdr:col>
      <xdr:colOff>51529</xdr:colOff>
      <xdr:row>54</xdr:row>
      <xdr:rowOff>0</xdr:rowOff>
    </xdr:from>
    <xdr:to>
      <xdr:col>90</xdr:col>
      <xdr:colOff>95096</xdr:colOff>
      <xdr:row>54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84611DD9-2A18-4F59-BA4C-38983D54FF50}"/>
            </a:ext>
          </a:extLst>
        </xdr:cNvPr>
        <xdr:cNvSpPr txBox="1">
          <a:spLocks noChangeArrowheads="1"/>
        </xdr:cNvSpPr>
      </xdr:nvSpPr>
      <xdr:spPr bwMode="auto">
        <a:xfrm>
          <a:off x="83382579" y="10579100"/>
          <a:ext cx="74349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74983</xdr:colOff>
      <xdr:row>1</xdr:row>
      <xdr:rowOff>0</xdr:rowOff>
    </xdr:from>
    <xdr:to>
      <xdr:col>68</xdr:col>
      <xdr:colOff>12102</xdr:colOff>
      <xdr:row>1</xdr:row>
      <xdr:rowOff>327162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B60DAD-338D-42E1-962C-156AF7C29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29733" y="292100"/>
          <a:ext cx="19647520" cy="327162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78</xdr:col>
      <xdr:colOff>97945</xdr:colOff>
      <xdr:row>1</xdr:row>
      <xdr:rowOff>0</xdr:rowOff>
    </xdr:from>
    <xdr:to>
      <xdr:col>90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56A933-1FE5-4FB5-AEE3-AD3657F4E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83022595" y="292100"/>
          <a:ext cx="7338273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78</xdr:col>
      <xdr:colOff>51529</xdr:colOff>
      <xdr:row>54</xdr:row>
      <xdr:rowOff>0</xdr:rowOff>
    </xdr:from>
    <xdr:to>
      <xdr:col>90</xdr:col>
      <xdr:colOff>95096</xdr:colOff>
      <xdr:row>54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FE7C7270-4105-4302-B8DA-60F7D4253268}"/>
            </a:ext>
          </a:extLst>
        </xdr:cNvPr>
        <xdr:cNvSpPr txBox="1">
          <a:spLocks noChangeArrowheads="1"/>
        </xdr:cNvSpPr>
      </xdr:nvSpPr>
      <xdr:spPr bwMode="auto">
        <a:xfrm>
          <a:off x="82976179" y="10960100"/>
          <a:ext cx="74349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74983</xdr:colOff>
      <xdr:row>1</xdr:row>
      <xdr:rowOff>0</xdr:rowOff>
    </xdr:from>
    <xdr:to>
      <xdr:col>68</xdr:col>
      <xdr:colOff>12103</xdr:colOff>
      <xdr:row>1</xdr:row>
      <xdr:rowOff>327162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574D90-FF23-4AEA-AE8F-2F298B59F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29733" y="292100"/>
          <a:ext cx="19647520" cy="327162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78</xdr:col>
      <xdr:colOff>97945</xdr:colOff>
      <xdr:row>1</xdr:row>
      <xdr:rowOff>0</xdr:rowOff>
    </xdr:from>
    <xdr:to>
      <xdr:col>90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D6F5D4-2CF9-4747-8466-03DFC48FA5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83022595" y="292100"/>
          <a:ext cx="7338273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78</xdr:col>
      <xdr:colOff>51529</xdr:colOff>
      <xdr:row>54</xdr:row>
      <xdr:rowOff>0</xdr:rowOff>
    </xdr:from>
    <xdr:to>
      <xdr:col>90</xdr:col>
      <xdr:colOff>95096</xdr:colOff>
      <xdr:row>54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7B46AB79-C8A6-4907-85A2-03D2654A150F}"/>
            </a:ext>
          </a:extLst>
        </xdr:cNvPr>
        <xdr:cNvSpPr txBox="1">
          <a:spLocks noChangeArrowheads="1"/>
        </xdr:cNvSpPr>
      </xdr:nvSpPr>
      <xdr:spPr bwMode="auto">
        <a:xfrm>
          <a:off x="82976179" y="10960100"/>
          <a:ext cx="74349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74983</xdr:colOff>
      <xdr:row>1</xdr:row>
      <xdr:rowOff>0</xdr:rowOff>
    </xdr:from>
    <xdr:to>
      <xdr:col>68</xdr:col>
      <xdr:colOff>12102</xdr:colOff>
      <xdr:row>1</xdr:row>
      <xdr:rowOff>327162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883F41-B7E5-4013-B147-3B4EE1C65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29733" y="292100"/>
          <a:ext cx="19647520" cy="327162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78</xdr:col>
      <xdr:colOff>97945</xdr:colOff>
      <xdr:row>1</xdr:row>
      <xdr:rowOff>0</xdr:rowOff>
    </xdr:from>
    <xdr:to>
      <xdr:col>90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841125-7555-46B6-A50D-62AFD2A497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83022595" y="292100"/>
          <a:ext cx="7338273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78</xdr:col>
      <xdr:colOff>51529</xdr:colOff>
      <xdr:row>54</xdr:row>
      <xdr:rowOff>0</xdr:rowOff>
    </xdr:from>
    <xdr:to>
      <xdr:col>90</xdr:col>
      <xdr:colOff>95096</xdr:colOff>
      <xdr:row>54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968D8B9A-FFA0-42F5-9CBA-C9864E4EC672}"/>
            </a:ext>
          </a:extLst>
        </xdr:cNvPr>
        <xdr:cNvSpPr txBox="1">
          <a:spLocks noChangeArrowheads="1"/>
        </xdr:cNvSpPr>
      </xdr:nvSpPr>
      <xdr:spPr bwMode="auto">
        <a:xfrm>
          <a:off x="82976179" y="10960100"/>
          <a:ext cx="74349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My%20Documents/Closed%20Deals/Mack-Cali%20Portfolio/Investment%20Committee%20Book/$600k%20price%20adjustment%20VI/Section%203%20-%20Mack-Cali%20Portfolio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Charles%20A%20Long/Dropbox/Development-L-T/West%20Oakland/1600%207th%20St/Equity%20Book%20and%20Financials/efscluster1/eusersdefpaths/greystar/live/41900914476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Documents%20and%20Settings/ahiggins/Local%20Settings/Temporary%20Internet%20Files/OLK16E/North%20Houston%20Medical%20Base%20Case%208-17-04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LAXUsers/koura/Analyst%20Bullpen/2%20-%20Seattle%20Deals/Seattle/South%20Lake%20Union/1%208%2012%20-%20Seattle%20282%20-%20AW_KAO_1.10.1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matthewticknor/Dropbox/Development-L-T/Oakland/585%2022nd%20St/Asset%20Management/G:/Real%20Estate/_New%20Deals/NYC%20-%2085%20West%20Broadway/Model/hotel%20model/kimpton%20hotel%20development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matthewticknor/Dropbox/Development-L-T/Oakland/585%2022nd%20St/Asset%20Management/G:/My%20Documents/Starwood/Models/FiMo%20Clean%203-1-04%20-%20May%20actfo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BCI-FS1/Users/FHC/ESTIMATE/Large%20Projects%20Estimates%202005/Carmichael%20Library%2025006/Bid%20Card%20Carmichael%20Library%201_27_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Documents%20and%20Settings/tpender.CHS/Local%20Settings/Temporary%20Internet%20Files/OLK12F/45760934376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Matt/Dropbox/Greystar/Deals/Menlo%20Park/Equity%20Book/Menlo%20Park%20-%2065%25%20LTC%20-%2011-17-2013%20-%20broken%20link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SAMR/Invoices/Greystar%20Investments/GCP%20Invoice-JMIGR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beaconlakes/Shared%20Documents/Beacon%20Lakes/100%20Land%20and%20Feasibility/Project%20Budget/MULE%20and%20Partners%20model%20greystar%20Beacon%20Lakes%203-5-07%20v5/beacon%20MULE2007_Beta2.3/MULE2007_Beta2.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Documents%20and%20Settings/drbrown.AUSTIN/Local%20Settings/Temporary%20Internet%20Files/OLK1/49864162724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Dealsumm"/>
      <sheetName val="Assm"/>
      <sheetName val="#"/>
      <sheetName val="#debt"/>
      <sheetName val="A"/>
      <sheetName val="B"/>
      <sheetName val="C"/>
      <sheetName val="Profit"/>
      <sheetName val="FeeAnalysis"/>
      <sheetName val="Land Assm"/>
      <sheetName val="Land #"/>
      <sheetName val="Land #debt"/>
      <sheetName val="Mont Assm"/>
      <sheetName val="Mont #"/>
      <sheetName val="Mont #debt"/>
      <sheetName val="Metr Assm"/>
      <sheetName val="Metr #"/>
      <sheetName val="Metr #debt"/>
      <sheetName val="Rep Assm"/>
      <sheetName val="Rep #"/>
      <sheetName val="Rep #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TIC Structure"/>
      <sheetName val="10 Yr. - Cash Flow"/>
      <sheetName val="One Pager - Assumptions"/>
      <sheetName val="NOI Down"/>
      <sheetName val="Rent Roll"/>
      <sheetName val="Rent"/>
      <sheetName val="TI"/>
      <sheetName val="Supporting Info."/>
      <sheetName val="Lease-Up"/>
      <sheetName val="Client Specif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Updates"/>
      <sheetName val="Negotiations Page"/>
      <sheetName val="Land Flip"/>
      <sheetName val="Parking"/>
      <sheetName val="base case"/>
      <sheetName val="Spent to Date"/>
      <sheetName val="Table of Contents"/>
      <sheetName val="Lanes Analysis"/>
      <sheetName val="Investment Committee Cover"/>
      <sheetName val="Executive Summary"/>
      <sheetName val="Assumptions Tracker"/>
      <sheetName val="Development Images"/>
      <sheetName val="Lanes Summary"/>
      <sheetName val="1 - Location"/>
      <sheetName val="2 - Supply &amp; Demand"/>
      <sheetName val="3 - Basis"/>
      <sheetName val="4 - Rents"/>
      <sheetName val="5 - Rent Growth"/>
      <sheetName val="6 - Development"/>
      <sheetName val="7 - Construction"/>
      <sheetName val="8 - Transaction Timing"/>
      <sheetName val="9 - Partnership Structure"/>
      <sheetName val="10 - Returns"/>
      <sheetName val="NOT IN USE - Detailed Budget"/>
      <sheetName val="Muni Fees"/>
      <sheetName val="New Detailed Budget MT"/>
      <sheetName val="Input"/>
      <sheetName val="Equity Package"/>
      <sheetName val="Coinvest Analysis"/>
      <sheetName val="Pursuit Schedule"/>
      <sheetName val="Comparison IC"/>
      <sheetName val="Sales Analysis"/>
      <sheetName val="REIS 2Q12"/>
      <sheetName val="Untrended Cash Flow"/>
      <sheetName val="Trended Cash Flow"/>
      <sheetName val="Comparison Table"/>
      <sheetName val="REIS YE2011"/>
      <sheetName val="Mgmt Sign Off"/>
      <sheetName val="Capitalization"/>
      <sheetName val="Comparison"/>
      <sheetName val="3Q11 REIS Report"/>
      <sheetName val="Exhibits"/>
      <sheetName val="Develop. Integrated Lifecycle"/>
      <sheetName val="Integrated Checklist"/>
      <sheetName val="Conceptual Design Review"/>
      <sheetName val="Detailed Costs"/>
      <sheetName val="Deposit Dollars"/>
      <sheetName val="Pursuit Costs"/>
      <sheetName val="Tools"/>
      <sheetName val="Generic Cover"/>
      <sheetName val="Notes"/>
      <sheetName val="Protocol &amp; Policy"/>
      <sheetName val="Suggestions"/>
      <sheetName val="Calc Table"/>
      <sheetName val="Project Cost Summary"/>
      <sheetName val="Lease Up"/>
      <sheetName val="Lists"/>
      <sheetName val="Origin"/>
      <sheetName val="Construction Costs"/>
      <sheetName val="Expense Detail"/>
      <sheetName val="Data"/>
      <sheetName val="Operating Expense &amp; Income"/>
      <sheetName val="Property taxes-NOI- Prop 13"/>
      <sheetName val="Rental pro-forma-97 UNITS"/>
      <sheetName val="Schedule-Budgets-2538"/>
      <sheetName val="Monthly Draw 2538"/>
      <sheetName val="Trended CF-Simple"/>
      <sheetName val="Rent Roll table for Equity Book"/>
      <sheetName val="Cost Allocation to commer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-INPU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Frontsheet"/>
      <sheetName val="Bid Form"/>
      <sheetName val="1"/>
      <sheetName val="2"/>
      <sheetName val="3"/>
      <sheetName val="4"/>
      <sheetName val="5"/>
      <sheetName val="6"/>
      <sheetName val="8"/>
      <sheetName val="7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Trade Breakdown"/>
      <sheetName val="Notes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Report"/>
      <sheetName val="Message"/>
      <sheetName val="Operating Expense &amp; Income"/>
      <sheetName val="Property taxes-NOI- Prop 13"/>
      <sheetName val="Rental pro-forma-97 UNITS"/>
      <sheetName val="OVERALL DRAW 2538"/>
      <sheetName val="Schedule-Budgets-2538"/>
      <sheetName val="Equity Investor Sheet 2538"/>
      <sheetName val="Monthly Draw 2538"/>
      <sheetName val="Trended CF-Simple"/>
      <sheetName val="Rent Roll table for Equity Book"/>
      <sheetName val="Cost Allocation to commercial"/>
      <sheetName val="DESIGN DRAW 2538"/>
      <sheetName val="2538 CONTRACTS"/>
      <sheetName val="60 units-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s"/>
      <sheetName val="Lanes Analysis"/>
      <sheetName val="Pursuit Schedule"/>
      <sheetName val="Investment Committee Cover"/>
      <sheetName val="Executive Summary"/>
      <sheetName val="Development Images"/>
      <sheetName val="Lanes Summary"/>
      <sheetName val="1 - Location"/>
      <sheetName val="2 - Supply &amp; Demand"/>
      <sheetName val="3 - Basis"/>
      <sheetName val="4 - Rents"/>
      <sheetName val="5 - Rent Growth"/>
      <sheetName val="6 - Development"/>
      <sheetName val="7 - Construction"/>
      <sheetName val="8 - Transaction Timing"/>
      <sheetName val="10 - Returns"/>
      <sheetName val="9 - Assumptions Tracker"/>
      <sheetName val="Sales Comps"/>
      <sheetName val="Rent Comps"/>
      <sheetName val="Equity Page"/>
      <sheetName val="Mgmt Sign Off"/>
      <sheetName val="Input"/>
      <sheetName val="Trended Cash Flow"/>
      <sheetName val="Coinvest Analysis"/>
      <sheetName val="Sale Value Analysis"/>
      <sheetName val="Pursuit Cost IRR"/>
      <sheetName val="Sheet1"/>
      <sheetName val="Detailed Budget"/>
      <sheetName val="Development Budget"/>
      <sheetName val="Muni Fees"/>
      <sheetName val="Elan San Fran"/>
      <sheetName val="Yardi"/>
      <sheetName val="REIS"/>
      <sheetName val="Project Budget"/>
      <sheetName val="Sensitivity Analysis"/>
      <sheetName val="IRR Bridge"/>
      <sheetName val="Calc Table"/>
      <sheetName val="Unit Matrix"/>
      <sheetName val="Concord Mix"/>
      <sheetName val="Pursuit_Expenses by cost code"/>
      <sheetName val="Tracker"/>
      <sheetName val="Construction"/>
      <sheetName val="Budget"/>
      <sheetName val="Unit Mix"/>
      <sheetName val="Inclusionary Housing"/>
      <sheetName val="Untrended Cash Flow"/>
      <sheetName val="Project Cost Summary"/>
      <sheetName val="Capitalization"/>
      <sheetName val="Lease Up"/>
      <sheetName val="List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/>
      <sheetData sheetId="5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ize Your Invoice"/>
      <sheetName val="AutoOpen Stub Data"/>
      <sheetName val="Invoice"/>
      <sheetName val="Macros"/>
      <sheetName val="ATW"/>
      <sheetName val="Lock"/>
      <sheetName val="Intl Data Table"/>
      <sheetName val="TemplateInformation"/>
      <sheetName val="GCP Invoice-JMIGR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l Input"/>
      <sheetName val="Annual CF Input"/>
      <sheetName val="Monthly CF Input"/>
      <sheetName val="Pools"/>
      <sheetName val="RE Valuation"/>
      <sheetName val="JV Financials"/>
      <sheetName val="GE Economics"/>
      <sheetName val="Metrics"/>
      <sheetName val="Sensitivities"/>
      <sheetName val="Deal Assumptions"/>
      <sheetName val="Property Assumptions"/>
      <sheetName val="Debt Worksheet"/>
      <sheetName val="Equity Worksheet"/>
      <sheetName val="FAS 141"/>
      <sheetName val="Overhead"/>
      <sheetName val="Data Tape"/>
      <sheetName val="Criteria"/>
      <sheetName val="UW vs 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98641627242"/>
      <sheetName val="Template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ndrew Oh" id="{14431198-BCA3-4D2D-B419-2CA2FA9C20BD}" userId="S::asjoh@mit.edu::51fd9179-9b0e-4aaf-9b70-f2c93ddd4671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9" dT="2025-03-15T18:40:17.89" personId="{14431198-BCA3-4D2D-B419-2CA2FA9C20BD}" id="{2CE8CE88-F1F0-4295-A0CF-64723009C460}">
    <text>Assets for sales immediately after completion</text>
  </threadedComment>
  <threadedComment ref="C10" dT="2025-03-15T18:41:24.66" personId="{14431198-BCA3-4D2D-B419-2CA2FA9C20BD}" id="{DF6B719F-ACAB-4F3A-82D3-E60441BC3A30}">
    <text>Projected sales value after operation of the rental assets + Income within operation period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C9" dT="2025-03-15T18:40:17.89" personId="{14431198-BCA3-4D2D-B419-2CA2FA9C20BD}" id="{2CE8CE88-F1F0-429E-A0CF-64723009C460}">
    <text>Assets for sales immediately after completion</text>
  </threadedComment>
  <threadedComment ref="C10" dT="2025-03-15T18:41:24.66" personId="{14431198-BCA3-4D2D-B419-2CA2FA9C20BD}" id="{DF6B719F-ACAB-4F43-82D3-E60441BC3A30}">
    <text>Projected sales value after operation of the rental assets + Income within operation period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9" dT="2025-03-15T18:40:17.89" personId="{14431198-BCA3-4D2D-B419-2CA2FA9C20BD}" id="{2CE8CE88-F1F0-4296-A0CF-64723009C460}">
    <text>Assets for sales immediately after completion</text>
  </threadedComment>
  <threadedComment ref="C10" dT="2025-03-15T18:41:24.66" personId="{14431198-BCA3-4D2D-B419-2CA2FA9C20BD}" id="{DF6B719F-ACAB-4F3B-82D3-E60441BC3A30}">
    <text>Projected sales value after operation of the rental assets + Income within operation period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9" dT="2025-03-15T18:40:17.89" personId="{14431198-BCA3-4D2D-B419-2CA2FA9C20BD}" id="{2CE8CE88-F1F0-4297-A0CF-64723009C460}">
    <text>Assets for sales immediately after completion</text>
  </threadedComment>
  <threadedComment ref="C10" dT="2025-03-15T18:41:24.66" personId="{14431198-BCA3-4D2D-B419-2CA2FA9C20BD}" id="{DF6B719F-ACAB-4F3C-82D3-E60441BC3A30}">
    <text>Projected sales value after operation of the rental assets + Income within operation period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C9" dT="2025-03-15T18:40:17.89" personId="{14431198-BCA3-4D2D-B419-2CA2FA9C20BD}" id="{2CE8CE88-F1F0-4298-A0CF-64723009C460}">
    <text>Assets for sales immediately after completion</text>
  </threadedComment>
  <threadedComment ref="C10" dT="2025-03-15T18:41:24.66" personId="{14431198-BCA3-4D2D-B419-2CA2FA9C20BD}" id="{DF6B719F-ACAB-4F3D-82D3-E60441BC3A30}">
    <text>Projected sales value after operation of the rental assets + Income within operation period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C9" dT="2025-03-15T18:40:17.89" personId="{14431198-BCA3-4D2D-B419-2CA2FA9C20BD}" id="{2CE8CE88-F1F0-4299-A0CF-64723009C460}">
    <text>Assets for sales immediately after completion</text>
  </threadedComment>
  <threadedComment ref="C10" dT="2025-03-15T18:41:24.66" personId="{14431198-BCA3-4D2D-B419-2CA2FA9C20BD}" id="{DF6B719F-ACAB-4F3E-82D3-E60441BC3A30}">
    <text>Projected sales value after operation of the rental assets + Income within operation period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C9" dT="2025-03-15T18:40:17.89" personId="{14431198-BCA3-4D2D-B419-2CA2FA9C20BD}" id="{2CE8CE88-F1F0-429A-A0CF-64723009C460}">
    <text>Assets for sales immediately after completion</text>
  </threadedComment>
  <threadedComment ref="C10" dT="2025-03-15T18:41:24.66" personId="{14431198-BCA3-4D2D-B419-2CA2FA9C20BD}" id="{DF6B719F-ACAB-4F3F-82D3-E60441BC3A30}">
    <text>Projected sales value after operation of the rental assets + Income within operation period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C9" dT="2025-03-15T18:40:17.89" personId="{14431198-BCA3-4D2D-B419-2CA2FA9C20BD}" id="{2CE8CE88-F1F0-429B-A0CF-64723009C460}">
    <text>Assets for sales immediately after completion</text>
  </threadedComment>
  <threadedComment ref="C10" dT="2025-03-15T18:41:24.66" personId="{14431198-BCA3-4D2D-B419-2CA2FA9C20BD}" id="{DF6B719F-ACAB-4F40-82D3-E60441BC3A30}">
    <text>Projected sales value after operation of the rental assets + Income within operation period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C9" dT="2025-03-15T18:40:17.89" personId="{14431198-BCA3-4D2D-B419-2CA2FA9C20BD}" id="{2CE8CE88-F1F0-429C-A0CF-64723009C460}">
    <text>Assets for sales immediately after completion</text>
  </threadedComment>
  <threadedComment ref="C10" dT="2025-03-15T18:41:24.66" personId="{14431198-BCA3-4D2D-B419-2CA2FA9C20BD}" id="{DF6B719F-ACAB-4F41-82D3-E60441BC3A30}">
    <text>Projected sales value after operation of the rental assets + Income within operation period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C9" dT="2025-03-15T18:40:17.89" personId="{14431198-BCA3-4D2D-B419-2CA2FA9C20BD}" id="{2CE8CE88-F1F0-429D-A0CF-64723009C460}">
    <text>Assets for sales immediately after completion</text>
  </threadedComment>
  <threadedComment ref="C10" dT="2025-03-15T18:41:24.66" personId="{14431198-BCA3-4D2D-B419-2CA2FA9C20BD}" id="{DF6B719F-ACAB-4F42-82D3-E60441BC3A30}">
    <text>Projected sales value after operation of the rental assets + Income within operation period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Relationship Id="rId5" Type="http://schemas.microsoft.com/office/2017/10/relationships/threadedComment" Target="../threadedComments/threadedComment6.xml"/><Relationship Id="rId4" Type="http://schemas.openxmlformats.org/officeDocument/2006/relationships/comments" Target="../comments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Relationship Id="rId5" Type="http://schemas.microsoft.com/office/2017/10/relationships/threadedComment" Target="../threadedComments/threadedComment7.xml"/><Relationship Id="rId4" Type="http://schemas.openxmlformats.org/officeDocument/2006/relationships/comments" Target="../comments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Relationship Id="rId5" Type="http://schemas.microsoft.com/office/2017/10/relationships/threadedComment" Target="../threadedComments/threadedComment8.xml"/><Relationship Id="rId4" Type="http://schemas.openxmlformats.org/officeDocument/2006/relationships/comments" Target="../comments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Relationship Id="rId5" Type="http://schemas.microsoft.com/office/2017/10/relationships/threadedComment" Target="../threadedComments/threadedComment9.xml"/><Relationship Id="rId4" Type="http://schemas.openxmlformats.org/officeDocument/2006/relationships/comments" Target="../comments1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Relationship Id="rId5" Type="http://schemas.microsoft.com/office/2017/10/relationships/threadedComment" Target="../threadedComments/threadedComment10.xml"/><Relationship Id="rId4" Type="http://schemas.openxmlformats.org/officeDocument/2006/relationships/comments" Target="../comments1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2F81C-EDC7-4145-ADC7-BE5DE204DC3D}">
  <dimension ref="B1:XFD31"/>
  <sheetViews>
    <sheetView tabSelected="1" zoomScale="55" zoomScaleNormal="55" workbookViewId="0">
      <selection activeCell="AD23" sqref="AD23"/>
    </sheetView>
  </sheetViews>
  <sheetFormatPr defaultColWidth="8.5703125" defaultRowHeight="14.1"/>
  <cols>
    <col min="1" max="1" width="3.42578125" style="659" customWidth="1"/>
    <col min="2" max="2" width="3.85546875" style="659" customWidth="1"/>
    <col min="3" max="3" width="3.42578125" style="659" customWidth="1"/>
    <col min="4" max="4" width="22.5703125" style="659" customWidth="1"/>
    <col min="5" max="5" width="21.85546875" style="659" customWidth="1"/>
    <col min="6" max="6" width="20.85546875" style="659" bestFit="1" customWidth="1"/>
    <col min="7" max="7" width="22.28515625" style="659" bestFit="1" customWidth="1"/>
    <col min="8" max="8" width="13.42578125" style="659" bestFit="1" customWidth="1"/>
    <col min="9" max="9" width="15.85546875" style="659" bestFit="1" customWidth="1"/>
    <col min="10" max="10" width="14.28515625" style="659" bestFit="1" customWidth="1"/>
    <col min="11" max="11" width="21.7109375" style="659" bestFit="1" customWidth="1"/>
    <col min="12" max="12" width="8.5703125" style="659" customWidth="1"/>
    <col min="13" max="14" width="16.140625" style="659" bestFit="1" customWidth="1"/>
    <col min="15" max="15" width="14.140625" style="659" bestFit="1" customWidth="1"/>
    <col min="16" max="86" width="8.5703125" style="659" customWidth="1"/>
    <col min="87" max="88" width="14.140625" style="659" bestFit="1" customWidth="1"/>
    <col min="89" max="89" width="13.140625" style="659" bestFit="1" customWidth="1"/>
    <col min="90" max="16383" width="8.5703125" style="659"/>
    <col min="16384" max="16384" width="15.140625" style="659" bestFit="1" customWidth="1"/>
  </cols>
  <sheetData>
    <row r="1" spans="2:22 16384:16384" ht="14.45" thickBot="1"/>
    <row r="2" spans="2:22 16384:16384" ht="20.100000000000001" customHeight="1">
      <c r="B2" s="970" t="s">
        <v>0</v>
      </c>
      <c r="C2" s="666"/>
      <c r="D2" s="666"/>
      <c r="E2" s="666"/>
      <c r="F2" s="971"/>
      <c r="M2" s="660">
        <f>'1-A Financial'!E5+'1-B Financial'!E5+'2-C Financial'!E5+'2-D Financial'!E5+'2-E Financial'!E5+'3-F Financial'!E5+'3-G Financial'!E5+'4-H Financial'!E5+'4-I Financial'!E5+'4-J Financial'!E5</f>
        <v>1637814990.9781823</v>
      </c>
      <c r="N2" s="660" t="e">
        <f>SUM(#REF!,E18,E20,E21)</f>
        <v>#REF!</v>
      </c>
      <c r="O2" s="661"/>
      <c r="V2" s="516"/>
    </row>
    <row r="3" spans="2:22 16384:16384" ht="20.100000000000001" customHeight="1">
      <c r="B3" s="667"/>
      <c r="C3" s="677" t="s">
        <v>1</v>
      </c>
      <c r="D3" s="1086"/>
      <c r="E3" s="1086"/>
      <c r="F3" s="690">
        <f>'Development Program'!E27</f>
        <v>2425544970.9749351</v>
      </c>
      <c r="M3" s="661"/>
      <c r="N3" s="660" t="e">
        <f>#REF!-N2</f>
        <v>#REF!</v>
      </c>
      <c r="O3" s="661"/>
      <c r="V3" s="516"/>
    </row>
    <row r="4" spans="2:22 16384:16384" ht="20.100000000000001" customHeight="1">
      <c r="B4" s="667"/>
      <c r="C4" s="972" t="s">
        <v>2</v>
      </c>
      <c r="F4" s="691">
        <f>'Development Program'!F27</f>
        <v>1763204082.9781821</v>
      </c>
      <c r="M4" s="661"/>
      <c r="N4" s="661"/>
      <c r="XFD4" s="662" t="e">
        <f>(SUM(#REF!,-#REF!)+SUM(#REF!,#REF!)+SUM(#REF!,#REF!)+SUM(#REF!,#REF!)+SUM(#REF!,#REF!)+SUM(#REF!,#REF!)+SUM(#REF!,#REF!)+SUM(#REF!,#REF!)+SUM(#REF!,#REF!)+SUM('4-J DRAW'!#REF!,'4-J DRAW'!B46))</f>
        <v>#REF!</v>
      </c>
    </row>
    <row r="5" spans="2:22 16384:16384" ht="20.100000000000001" customHeight="1">
      <c r="B5" s="667"/>
      <c r="C5" s="972" t="s">
        <v>3</v>
      </c>
      <c r="F5" s="692">
        <f>'Development Program'!D27</f>
        <v>5717809.5999999996</v>
      </c>
      <c r="M5" s="661"/>
      <c r="N5" s="661"/>
      <c r="O5" s="661"/>
    </row>
    <row r="6" spans="2:22 16384:16384" ht="20.100000000000001" customHeight="1">
      <c r="B6" s="667"/>
      <c r="C6" s="972" t="s">
        <v>4</v>
      </c>
      <c r="F6" s="693">
        <f>'Development Program'!H27</f>
        <v>1410</v>
      </c>
      <c r="M6" s="660" t="e">
        <f>SUM(#REF!,#REF!,#REF!,#REF!,#REF!,#REF!,#REF!,#REF!,#REF!,'4-J DRAW'!B46)</f>
        <v>#REF!</v>
      </c>
      <c r="N6" s="661"/>
      <c r="O6" s="661"/>
    </row>
    <row r="7" spans="2:22 16384:16384" ht="20.100000000000001" customHeight="1">
      <c r="B7" s="667"/>
      <c r="C7" s="972" t="s">
        <v>5</v>
      </c>
      <c r="F7" s="693">
        <f>'Development Program'!I27</f>
        <v>404</v>
      </c>
      <c r="G7" s="665">
        <f>SUM(F6:F7)</f>
        <v>1814</v>
      </c>
      <c r="M7" s="662" t="e">
        <f>(SUM(#REF!))</f>
        <v>#REF!</v>
      </c>
      <c r="N7" s="661"/>
      <c r="O7" s="661"/>
    </row>
    <row r="8" spans="2:22 16384:16384" ht="20.100000000000001" customHeight="1">
      <c r="B8" s="667"/>
      <c r="C8" s="678" t="s">
        <v>6</v>
      </c>
      <c r="D8" s="679"/>
      <c r="E8" s="679"/>
      <c r="F8" s="694">
        <f>F7/G7</f>
        <v>0.2227122381477398</v>
      </c>
      <c r="M8" s="662" t="e">
        <f>+SUM(#REF!)</f>
        <v>#REF!</v>
      </c>
      <c r="N8" s="661"/>
      <c r="O8" s="661"/>
    </row>
    <row r="9" spans="2:22 16384:16384" ht="20.100000000000001" customHeight="1">
      <c r="B9" s="667"/>
      <c r="F9" s="668"/>
      <c r="M9" s="662" t="e">
        <f>SUM(#REF!)</f>
        <v>#REF!</v>
      </c>
      <c r="N9" s="661"/>
      <c r="O9" s="661"/>
    </row>
    <row r="10" spans="2:22 16384:16384" ht="20.100000000000001" customHeight="1">
      <c r="B10" s="669" t="s">
        <v>7</v>
      </c>
      <c r="C10" s="516"/>
      <c r="D10" s="516"/>
      <c r="E10" s="516"/>
      <c r="F10" s="668"/>
    </row>
    <row r="11" spans="2:22 16384:16384" ht="20.100000000000001" customHeight="1">
      <c r="B11" s="533"/>
      <c r="C11" s="680" t="s">
        <v>8</v>
      </c>
      <c r="D11" s="1087"/>
      <c r="E11" s="1087"/>
      <c r="F11" s="688"/>
    </row>
    <row r="12" spans="2:22 16384:16384" ht="20.100000000000001" customHeight="1">
      <c r="B12" s="667"/>
      <c r="C12" s="972"/>
      <c r="D12" s="682" t="s">
        <v>9</v>
      </c>
      <c r="E12" s="683">
        <f>'1-A Financial'!D14+'1-B Financial'!D14+'2-C Financial'!D14+'2-D Financial'!D14+'2-E Financial'!D14+'3-F Financial'!D14+'3-G Financial'!D14+'4-H Financial'!D14+'4-I Financial'!D14+'4-J Financial'!D14</f>
        <v>1123614788.3473287</v>
      </c>
      <c r="F12" s="695">
        <f>E12/$E$15</f>
        <v>0.61527339623232702</v>
      </c>
    </row>
    <row r="13" spans="2:22 16384:16384" ht="20.100000000000001" customHeight="1">
      <c r="B13" s="667"/>
      <c r="C13" s="972"/>
      <c r="D13" s="684" t="s">
        <v>10</v>
      </c>
      <c r="E13" s="663">
        <f>'1-A Financial'!D16+'1-B Financial'!D16+'2-C Financial'!D16+'2-D Financial'!D16+'2-E Financial'!D16+'3-F Financial'!D16+'3-G Financial'!D16+'4-H Financial'!D16+'4-I Financial'!D16+'4-J Financial'!D16</f>
        <v>63000000</v>
      </c>
      <c r="F13" s="696">
        <f>E13/$E$15</f>
        <v>3.4497787288515588E-2</v>
      </c>
    </row>
    <row r="14" spans="2:22 16384:16384" ht="20.100000000000001" customHeight="1">
      <c r="B14" s="667"/>
      <c r="C14" s="972"/>
      <c r="D14" s="684" t="s">
        <v>11</v>
      </c>
      <c r="E14" s="663">
        <f>'1-A Financial'!D15+'1-B Financial'!D15+'2-C Financial'!D15+'2-D Financial'!D15+'2-E Financial'!D15+'3-F Financial'!D15+'3-G Financial'!D15+'4-H Financial'!D15+'4-I Financial'!D15+'4-J Financial'!D15</f>
        <v>639589294.63085365</v>
      </c>
      <c r="F14" s="696">
        <f>E14/$E$15</f>
        <v>0.35022881647915732</v>
      </c>
    </row>
    <row r="15" spans="2:22 16384:16384" ht="20.100000000000001" customHeight="1">
      <c r="B15" s="667"/>
      <c r="C15" s="972"/>
      <c r="D15" s="685" t="s">
        <v>12</v>
      </c>
      <c r="E15" s="973">
        <f>SUM(E12:E14)</f>
        <v>1826204082.9781823</v>
      </c>
      <c r="F15" s="697">
        <f>SUM(F12:F14)</f>
        <v>1</v>
      </c>
      <c r="U15" s="663"/>
    </row>
    <row r="16" spans="2:22 16384:16384" ht="20.100000000000001" customHeight="1">
      <c r="B16" s="667"/>
      <c r="C16" s="972"/>
      <c r="E16" s="663"/>
      <c r="F16" s="670"/>
      <c r="U16" s="663"/>
    </row>
    <row r="17" spans="2:6" ht="20.100000000000001" customHeight="1">
      <c r="B17" s="667"/>
      <c r="C17" s="974" t="s">
        <v>13</v>
      </c>
      <c r="F17" s="668"/>
    </row>
    <row r="18" spans="2:6" ht="20.100000000000001" customHeight="1">
      <c r="B18" s="667"/>
      <c r="C18" s="975"/>
      <c r="D18" s="682" t="s">
        <v>14</v>
      </c>
      <c r="E18" s="683">
        <f>'Development Program'!B62</f>
        <v>8644482</v>
      </c>
      <c r="F18" s="695">
        <f>E18/$E$22</f>
        <v>4.7335793850063774E-3</v>
      </c>
    </row>
    <row r="19" spans="2:6" ht="20.100000000000001" customHeight="1">
      <c r="B19" s="667"/>
      <c r="C19" s="972"/>
      <c r="D19" s="684" t="s">
        <v>15</v>
      </c>
      <c r="E19" s="663">
        <f>E15-E18-E20-E21</f>
        <v>1667762600.9781823</v>
      </c>
      <c r="F19" s="696">
        <f>E19/$E$22</f>
        <v>0.91323999136963219</v>
      </c>
    </row>
    <row r="20" spans="2:6" ht="20.100000000000001" customHeight="1">
      <c r="B20" s="667"/>
      <c r="C20" s="972"/>
      <c r="D20" s="684" t="s">
        <v>16</v>
      </c>
      <c r="E20" s="663">
        <f>'Development Program'!C55</f>
        <v>54300000</v>
      </c>
      <c r="F20" s="696">
        <f>E20/$E$22</f>
        <v>2.9733807139149148E-2</v>
      </c>
    </row>
    <row r="21" spans="2:6" ht="20.100000000000001" customHeight="1">
      <c r="B21" s="667"/>
      <c r="C21" s="972"/>
      <c r="D21" s="684" t="s">
        <v>17</v>
      </c>
      <c r="E21" s="671">
        <f>SUM('1-A Financial'!B26:B27)+SUM('1-B Financial'!B26:B27)+SUM('2-C Financial'!B26:B27)+SUM('2-D Financial'!B26:B27)+SUM('2-E Financial'!B26:B27)+SUM('3-F Financial'!B26:B27)+SUM('3-G Financial'!B26:B27)+SUM('4-H Financial'!B26:B27)+SUM('4-I Financial'!B26:B27)+SUM('4-J Financial'!B26:B27)</f>
        <v>95497000</v>
      </c>
      <c r="F21" s="696">
        <f>E21/$E$22</f>
        <v>5.2292622106212265E-2</v>
      </c>
    </row>
    <row r="22" spans="2:6" ht="20.100000000000001" customHeight="1">
      <c r="B22" s="667"/>
      <c r="C22" s="972"/>
      <c r="D22" s="685" t="s">
        <v>12</v>
      </c>
      <c r="E22" s="973">
        <f>SUM(E18:E21)</f>
        <v>1826204082.9781823</v>
      </c>
      <c r="F22" s="697">
        <f>SUM(F18:F21)</f>
        <v>1</v>
      </c>
    </row>
    <row r="23" spans="2:6" ht="20.100000000000001" customHeight="1">
      <c r="B23" s="667"/>
      <c r="C23" s="678"/>
      <c r="D23" s="679"/>
      <c r="E23" s="681"/>
      <c r="F23" s="689"/>
    </row>
    <row r="24" spans="2:6" ht="20.100000000000001" customHeight="1">
      <c r="B24" s="667"/>
      <c r="E24" s="663"/>
      <c r="F24" s="668"/>
    </row>
    <row r="25" spans="2:6" ht="20.100000000000001" customHeight="1">
      <c r="B25" s="672" t="s">
        <v>18</v>
      </c>
      <c r="F25" s="668"/>
    </row>
    <row r="26" spans="2:6" ht="20.100000000000001" customHeight="1">
      <c r="B26" s="667"/>
      <c r="C26" s="686" t="s">
        <v>19</v>
      </c>
      <c r="D26" s="1086"/>
      <c r="E26" s="1088"/>
      <c r="F26" s="698">
        <f ca="1">'Development Program'!J27</f>
        <v>3.2432764214502252</v>
      </c>
    </row>
    <row r="27" spans="2:6" ht="20.100000000000001" customHeight="1">
      <c r="B27" s="667"/>
      <c r="C27" s="976" t="s">
        <v>20</v>
      </c>
      <c r="F27" s="699">
        <f ca="1">'All Components DRAW'!B6</f>
        <v>0.15224187619910379</v>
      </c>
    </row>
    <row r="28" spans="2:6" ht="20.100000000000001" customHeight="1">
      <c r="B28" s="667"/>
      <c r="C28" s="687" t="s">
        <v>21</v>
      </c>
      <c r="D28" s="679"/>
      <c r="E28" s="679"/>
      <c r="F28" s="700">
        <f ca="1">'All Components DRAW'!B10</f>
        <v>8.3681098105563345E-2</v>
      </c>
    </row>
    <row r="29" spans="2:6" ht="20.100000000000001" customHeight="1" thickBot="1">
      <c r="B29" s="673"/>
      <c r="C29" s="674"/>
      <c r="D29" s="675"/>
      <c r="E29" s="675"/>
      <c r="F29" s="676"/>
    </row>
    <row r="30" spans="2:6" ht="20.100000000000001" customHeight="1"/>
    <row r="31" spans="2:6">
      <c r="C31" s="66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E49FD-3E6C-44D0-AFEA-DD6BF6C422DD}">
  <sheetPr>
    <tabColor theme="2" tint="-9.9978637043366805E-2"/>
  </sheetPr>
  <dimension ref="A1:CI185"/>
  <sheetViews>
    <sheetView zoomScale="85" zoomScaleNormal="85" zoomScalePageLayoutView="125" workbookViewId="0">
      <pane xSplit="1" ySplit="9" topLeftCell="Q10" activePane="bottomRight" state="frozen"/>
      <selection pane="bottomRight" activeCell="Y29" sqref="Y29"/>
      <selection pane="bottomLeft" activeCell="E130" sqref="E130"/>
      <selection pane="topRight" activeCell="E130" sqref="E130"/>
    </sheetView>
  </sheetViews>
  <sheetFormatPr defaultColWidth="8.85546875" defaultRowHeight="14.1"/>
  <cols>
    <col min="1" max="1" width="44" style="207" bestFit="1" customWidth="1"/>
    <col min="2" max="2" width="42.5703125" style="208" customWidth="1"/>
    <col min="3" max="4" width="17.85546875" style="207" hidden="1" customWidth="1"/>
    <col min="5" max="43" width="17.85546875" style="207" customWidth="1"/>
    <col min="44" max="44" width="17.85546875" style="208" customWidth="1"/>
    <col min="45" max="58" width="17.5703125" style="207" customWidth="1"/>
    <col min="59" max="59" width="20.42578125" style="207" customWidth="1"/>
    <col min="60" max="84" width="17" style="207" customWidth="1"/>
    <col min="85" max="85" width="16.42578125" style="207" customWidth="1"/>
    <col min="86" max="86" width="15" style="209" customWidth="1"/>
    <col min="87" max="87" width="17.85546875" style="209" bestFit="1" customWidth="1"/>
    <col min="88" max="88" width="9.42578125" style="207" bestFit="1" customWidth="1"/>
    <col min="89" max="89" width="11.85546875" style="207" bestFit="1" customWidth="1"/>
    <col min="90" max="91" width="9.42578125" style="207" bestFit="1" customWidth="1"/>
    <col min="92" max="16384" width="8.85546875" style="207"/>
  </cols>
  <sheetData>
    <row r="1" spans="1:87" ht="20.25" customHeight="1"/>
    <row r="2" spans="1:87" s="488" customFormat="1" ht="20.25" customHeight="1">
      <c r="A2" s="1081" t="str">
        <f>'1-B Financial'!D2</f>
        <v>1-B</v>
      </c>
      <c r="B2" s="775"/>
      <c r="C2" s="1092"/>
      <c r="D2" s="1092"/>
      <c r="E2" s="1082" t="str">
        <f>'Development Program'!C65</f>
        <v>Pre-Development</v>
      </c>
      <c r="F2" s="1083"/>
      <c r="G2" s="1083"/>
      <c r="H2" s="1082" t="str">
        <f>'Development Program'!F65</f>
        <v>Construction</v>
      </c>
      <c r="I2" s="1083"/>
      <c r="J2" s="1083"/>
      <c r="K2" s="1082" t="str">
        <f>'Development Program'!I65</f>
        <v>Close-Out</v>
      </c>
      <c r="L2" s="1083"/>
      <c r="M2" s="1084"/>
      <c r="N2" s="420" t="s">
        <v>202</v>
      </c>
      <c r="O2" s="1092"/>
      <c r="P2" s="1092"/>
      <c r="Q2" s="1092"/>
      <c r="R2" s="1092"/>
      <c r="S2" s="1092"/>
      <c r="T2" s="1092"/>
      <c r="U2" s="1092"/>
      <c r="V2" s="1092"/>
      <c r="W2" s="1092"/>
      <c r="X2" s="1092"/>
      <c r="Y2" s="1092"/>
      <c r="Z2" s="1092"/>
      <c r="AA2" s="1092"/>
      <c r="AB2" s="1092"/>
      <c r="AC2" s="1092"/>
      <c r="AD2" s="1092"/>
      <c r="AE2" s="1092"/>
      <c r="AF2" s="1092"/>
      <c r="AG2" s="1092"/>
      <c r="AH2" s="1092"/>
      <c r="AI2" s="1092"/>
      <c r="AJ2" s="1092"/>
      <c r="AK2" s="1092"/>
      <c r="AL2" s="1092"/>
      <c r="AM2" s="1092"/>
      <c r="AN2" s="1092"/>
      <c r="AO2" s="1092"/>
      <c r="AP2" s="1092"/>
      <c r="AQ2" s="1092"/>
      <c r="AR2" s="775"/>
      <c r="AS2" s="1092"/>
      <c r="AT2" s="1092"/>
      <c r="AU2" s="1092"/>
      <c r="AV2" s="1092"/>
      <c r="AW2" s="1092"/>
      <c r="AX2" s="1092"/>
      <c r="AY2" s="1092"/>
      <c r="AZ2" s="1092"/>
      <c r="BA2" s="1092"/>
      <c r="BB2" s="1092"/>
      <c r="BC2" s="1092"/>
      <c r="BD2" s="1092"/>
      <c r="BE2" s="1092"/>
      <c r="BF2" s="1092"/>
      <c r="BG2" s="1092"/>
      <c r="BH2" s="1092"/>
      <c r="BI2" s="1092"/>
      <c r="BJ2" s="1092"/>
      <c r="BK2" s="1092"/>
      <c r="BL2" s="1092"/>
      <c r="BM2" s="1092"/>
      <c r="BN2" s="1092"/>
      <c r="BO2" s="1092"/>
      <c r="BP2" s="1092"/>
      <c r="BQ2" s="1092"/>
      <c r="BR2" s="1092"/>
      <c r="BS2" s="1092"/>
      <c r="BT2" s="1092"/>
      <c r="BU2" s="1092"/>
      <c r="BV2" s="1092"/>
      <c r="BW2" s="1092"/>
      <c r="BX2" s="1092"/>
      <c r="BY2" s="1092"/>
      <c r="BZ2" s="1092"/>
      <c r="CA2" s="1092"/>
      <c r="CB2" s="1092"/>
      <c r="CC2" s="1092"/>
      <c r="CD2" s="1092"/>
      <c r="CE2" s="1092"/>
      <c r="CF2" s="1092"/>
      <c r="CG2" s="1092"/>
      <c r="CH2" s="1093"/>
      <c r="CI2" s="1093"/>
    </row>
    <row r="3" spans="1:87" ht="20.25" customHeight="1">
      <c r="A3" s="1081"/>
      <c r="B3" s="248" t="s">
        <v>482</v>
      </c>
      <c r="E3" s="765" t="str">
        <f>'Development Program'!C66</f>
        <v>PD Start</v>
      </c>
      <c r="F3" s="1094" t="str">
        <f>'Development Program'!D66</f>
        <v>PD End</v>
      </c>
      <c r="G3" s="766" t="str">
        <f>'Development Program'!E66</f>
        <v>PD Duration</v>
      </c>
      <c r="H3" s="765" t="str">
        <f>'Development Program'!F66</f>
        <v>CS Start</v>
      </c>
      <c r="I3" s="1094" t="str">
        <f>'Development Program'!G66</f>
        <v>CS End</v>
      </c>
      <c r="J3" s="766" t="str">
        <f>'Development Program'!H66</f>
        <v>CS Duration</v>
      </c>
      <c r="K3" s="1025" t="str">
        <f>'Development Program'!I66</f>
        <v>CO Start</v>
      </c>
      <c r="L3" s="767" t="str">
        <f>'Development Program'!J66</f>
        <v>CO End</v>
      </c>
      <c r="M3" s="266" t="str">
        <f>'Development Program'!K66</f>
        <v>CO Duration</v>
      </c>
      <c r="N3" s="262"/>
    </row>
    <row r="4" spans="1:87" s="768" customFormat="1" ht="20.25" customHeight="1">
      <c r="A4" s="1081"/>
      <c r="B4" s="776" t="s">
        <v>483</v>
      </c>
      <c r="E4" s="263">
        <f>INDEX('Development Program'!$B$66:$K$76,MATCH($A$2,'Development Program'!$B$66:$B$76,0),MATCH(E3,'Development Program'!$B$66:$K$66,0))</f>
        <v>46023</v>
      </c>
      <c r="F4" s="264">
        <f>INDEX('Development Program'!$B$66:$K$76,MATCH($A$2,'Development Program'!$B$66:$B$76,0),MATCH(F3,'Development Program'!$B$66:$K$66,0))</f>
        <v>46477</v>
      </c>
      <c r="G4" s="265">
        <f>INDEX('Development Program'!$B$66:$K$76,MATCH($A$2,'Development Program'!$B$66:$B$76,0),MATCH(G3,'Development Program'!$B$66:$K$66,0))</f>
        <v>15</v>
      </c>
      <c r="H4" s="263">
        <f>INDEX('Development Program'!$B$66:$K$76,MATCH($A$2,'Development Program'!$B$66:$B$76,0),MATCH(H3,'Development Program'!$B$66:$K$66,0))</f>
        <v>46478</v>
      </c>
      <c r="I4" s="264">
        <f>INDEX('Development Program'!$B$66:$K$76,MATCH($A$2,'Development Program'!$B$66:$B$76,0),MATCH(I3,'Development Program'!$B$66:$K$66,0))</f>
        <v>47573</v>
      </c>
      <c r="J4" s="265">
        <f>INDEX('Development Program'!$B$66:$K$76,MATCH($A$2,'Development Program'!$B$66:$B$76,0),MATCH(J3,'Development Program'!$B$66:$K$66,0))</f>
        <v>36</v>
      </c>
      <c r="K4" s="263">
        <f>INDEX('Development Program'!$B$66:$K$76,MATCH($A$2,'Development Program'!$B$66:$B$76,0),MATCH(K3,'Development Program'!$B$66:$K$66,0))</f>
        <v>47574</v>
      </c>
      <c r="L4" s="264">
        <f>INDEX('Development Program'!$B$66:$K$76,MATCH($A$2,'Development Program'!$B$66:$B$76,0),MATCH(L3,'Development Program'!$B$66:$K$66,0))</f>
        <v>47756</v>
      </c>
      <c r="M4" s="265">
        <f>INDEX('Development Program'!$B$66:$K$76,MATCH($A$2,'Development Program'!$B$66:$B$76,0),MATCH(M3,'Development Program'!$B$66:$K$66,0))</f>
        <v>6</v>
      </c>
      <c r="N4" s="265">
        <f>INDEX('Development Program'!$B$66:$L$76,MATCH($A$2,'Development Program'!$B$66:$B$76,0),MATCH(N2,'Development Program'!$B$65:$L$65,0))</f>
        <v>57</v>
      </c>
      <c r="O4" s="769"/>
      <c r="U4" s="770"/>
      <c r="AR4" s="771"/>
      <c r="AS4" s="772"/>
      <c r="AT4" s="772"/>
      <c r="AU4" s="772"/>
      <c r="BA4" s="1085" t="s">
        <v>484</v>
      </c>
      <c r="BB4" s="1085"/>
      <c r="BC4" s="1085"/>
      <c r="BD4" s="1085"/>
      <c r="BE4" s="1085"/>
      <c r="BF4" s="773"/>
      <c r="BG4" s="1080" t="s">
        <v>485</v>
      </c>
      <c r="BH4" s="1080"/>
      <c r="BI4" s="1080"/>
      <c r="CH4" s="774"/>
      <c r="CI4" s="774"/>
    </row>
    <row r="5" spans="1:87" s="210" customFormat="1" ht="20.25" customHeight="1">
      <c r="A5" s="261"/>
      <c r="B5" s="249"/>
      <c r="C5" s="258" t="str">
        <f>IFERROR(INDEX($E$2:$N$4,2,MATCH(#REF!+1,$E$4:$N$4,0)),"")</f>
        <v/>
      </c>
      <c r="D5" s="258" t="str">
        <f>IFERROR(INDEX($E$2:$N$4,2,MATCH(C9+1,$E$4:$N$4,0)),"")</f>
        <v/>
      </c>
      <c r="E5" s="258"/>
      <c r="F5" s="258" t="str">
        <f t="shared" ref="F5:X5" si="0">IFERROR(INDEX($E$2:$N$4,2,MATCH(E9+1,$E$4:$N$4,0)),"")</f>
        <v>PD Start</v>
      </c>
      <c r="G5" s="258" t="str">
        <f t="shared" si="0"/>
        <v/>
      </c>
      <c r="H5" s="258" t="str">
        <f t="shared" si="0"/>
        <v/>
      </c>
      <c r="I5" s="258" t="str">
        <f t="shared" si="0"/>
        <v/>
      </c>
      <c r="J5" s="258" t="str">
        <f t="shared" si="0"/>
        <v/>
      </c>
      <c r="K5" s="258" t="str">
        <f t="shared" si="0"/>
        <v>CS Start</v>
      </c>
      <c r="L5" s="258" t="str">
        <f t="shared" si="0"/>
        <v/>
      </c>
      <c r="M5" s="258" t="str">
        <f t="shared" si="0"/>
        <v/>
      </c>
      <c r="N5" s="258" t="str">
        <f t="shared" si="0"/>
        <v/>
      </c>
      <c r="O5" s="258" t="str">
        <f t="shared" si="0"/>
        <v/>
      </c>
      <c r="P5" s="258" t="str">
        <f t="shared" si="0"/>
        <v/>
      </c>
      <c r="Q5" s="258" t="str">
        <f t="shared" si="0"/>
        <v/>
      </c>
      <c r="R5" s="258" t="str">
        <f t="shared" si="0"/>
        <v/>
      </c>
      <c r="S5" s="258" t="str">
        <f t="shared" si="0"/>
        <v/>
      </c>
      <c r="T5" s="258" t="str">
        <f t="shared" si="0"/>
        <v/>
      </c>
      <c r="U5" s="258" t="str">
        <f t="shared" si="0"/>
        <v/>
      </c>
      <c r="V5" s="258" t="str">
        <f t="shared" si="0"/>
        <v/>
      </c>
      <c r="W5" s="258" t="str">
        <f t="shared" si="0"/>
        <v>CO Start</v>
      </c>
      <c r="X5" s="258" t="str">
        <f t="shared" si="0"/>
        <v/>
      </c>
      <c r="Y5" s="246">
        <v>1</v>
      </c>
      <c r="Z5" s="246">
        <v>1</v>
      </c>
      <c r="AA5" s="246">
        <v>1</v>
      </c>
      <c r="AB5" s="246">
        <v>1</v>
      </c>
      <c r="AC5" s="246">
        <v>2</v>
      </c>
      <c r="AD5" s="246">
        <v>2</v>
      </c>
      <c r="AE5" s="246">
        <v>2</v>
      </c>
      <c r="AF5" s="246">
        <v>2</v>
      </c>
      <c r="AG5" s="246">
        <v>3</v>
      </c>
      <c r="AH5" s="246">
        <v>3</v>
      </c>
      <c r="AI5" s="246">
        <v>3</v>
      </c>
      <c r="AJ5" s="246">
        <v>3</v>
      </c>
      <c r="AK5" s="246">
        <v>4</v>
      </c>
      <c r="AL5" s="246">
        <v>4</v>
      </c>
      <c r="AM5" s="246">
        <v>4</v>
      </c>
      <c r="AN5" s="246">
        <v>4</v>
      </c>
      <c r="AO5" s="246">
        <v>5</v>
      </c>
      <c r="AP5" s="246">
        <v>5</v>
      </c>
      <c r="AQ5" s="246">
        <v>5</v>
      </c>
      <c r="AR5" s="247">
        <v>5</v>
      </c>
      <c r="AS5" s="211"/>
      <c r="AT5" s="211"/>
      <c r="AU5" s="211"/>
      <c r="BA5" s="212"/>
      <c r="BB5" s="212"/>
      <c r="BC5" s="212"/>
      <c r="BD5" s="212"/>
      <c r="BE5" s="212"/>
      <c r="BF5" s="212"/>
      <c r="BG5" s="213"/>
      <c r="BH5" s="213"/>
      <c r="BI5" s="213"/>
      <c r="CH5" s="214"/>
      <c r="CI5" s="214"/>
    </row>
    <row r="6" spans="1:87" s="210" customFormat="1" ht="20.25" customHeight="1">
      <c r="A6" s="261"/>
      <c r="B6" s="249"/>
      <c r="C6" s="258"/>
      <c r="D6" s="258"/>
      <c r="E6" s="258" t="str">
        <f t="shared" ref="E6:X6" si="1">IFERROR(INDEX($E$2:$N$4,2,MATCH(E9,$E$4:$N$4,0)),"")</f>
        <v/>
      </c>
      <c r="F6" s="258" t="str">
        <f t="shared" si="1"/>
        <v/>
      </c>
      <c r="G6" s="258" t="str">
        <f t="shared" si="1"/>
        <v/>
      </c>
      <c r="H6" s="258" t="str">
        <f t="shared" si="1"/>
        <v/>
      </c>
      <c r="I6" s="258" t="str">
        <f t="shared" si="1"/>
        <v/>
      </c>
      <c r="J6" s="258" t="str">
        <f t="shared" si="1"/>
        <v>PD End</v>
      </c>
      <c r="K6" s="258" t="str">
        <f t="shared" si="1"/>
        <v/>
      </c>
      <c r="L6" s="258" t="str">
        <f t="shared" si="1"/>
        <v/>
      </c>
      <c r="M6" s="258" t="str">
        <f t="shared" si="1"/>
        <v/>
      </c>
      <c r="N6" s="258" t="str">
        <f t="shared" si="1"/>
        <v/>
      </c>
      <c r="O6" s="258" t="str">
        <f t="shared" si="1"/>
        <v/>
      </c>
      <c r="P6" s="258" t="str">
        <f t="shared" si="1"/>
        <v/>
      </c>
      <c r="Q6" s="258" t="str">
        <f t="shared" si="1"/>
        <v/>
      </c>
      <c r="R6" s="258" t="str">
        <f t="shared" si="1"/>
        <v/>
      </c>
      <c r="S6" s="258" t="str">
        <f t="shared" si="1"/>
        <v/>
      </c>
      <c r="T6" s="258" t="str">
        <f t="shared" si="1"/>
        <v/>
      </c>
      <c r="U6" s="258" t="str">
        <f t="shared" si="1"/>
        <v/>
      </c>
      <c r="V6" s="258" t="str">
        <f t="shared" si="1"/>
        <v>CS End</v>
      </c>
      <c r="W6" s="258" t="str">
        <f t="shared" si="1"/>
        <v/>
      </c>
      <c r="X6" s="258" t="str">
        <f t="shared" si="1"/>
        <v>CO End</v>
      </c>
      <c r="Y6" s="828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247"/>
      <c r="AS6" s="211"/>
      <c r="AT6" s="211"/>
      <c r="AU6" s="211"/>
      <c r="BA6" s="212"/>
      <c r="BB6" s="212"/>
      <c r="BC6" s="212"/>
      <c r="BD6" s="212"/>
      <c r="BE6" s="212"/>
      <c r="BF6" s="212"/>
      <c r="BG6" s="213"/>
      <c r="BH6" s="213"/>
      <c r="BI6" s="213"/>
      <c r="CH6" s="214"/>
      <c r="CI6" s="214"/>
    </row>
    <row r="7" spans="1:87" s="210" customFormat="1" ht="20.25" customHeight="1">
      <c r="A7" s="261"/>
      <c r="B7" s="249" t="s">
        <v>486</v>
      </c>
      <c r="C7" s="258"/>
      <c r="D7" s="258"/>
      <c r="E7" s="258">
        <v>0</v>
      </c>
      <c r="F7" s="258">
        <f t="shared" ref="F7:X7" si="2">IF(OR($H$4&gt;F9,$K$4&lt;F9),0,E7+1)</f>
        <v>0</v>
      </c>
      <c r="G7" s="258">
        <f t="shared" si="2"/>
        <v>0</v>
      </c>
      <c r="H7" s="258">
        <f t="shared" si="2"/>
        <v>0</v>
      </c>
      <c r="I7" s="258">
        <f t="shared" si="2"/>
        <v>0</v>
      </c>
      <c r="J7" s="258">
        <f t="shared" si="2"/>
        <v>0</v>
      </c>
      <c r="K7" s="258">
        <f t="shared" si="2"/>
        <v>1</v>
      </c>
      <c r="L7" s="258">
        <f t="shared" si="2"/>
        <v>2</v>
      </c>
      <c r="M7" s="258">
        <f t="shared" si="2"/>
        <v>3</v>
      </c>
      <c r="N7" s="258">
        <f t="shared" si="2"/>
        <v>4</v>
      </c>
      <c r="O7" s="258">
        <f t="shared" si="2"/>
        <v>5</v>
      </c>
      <c r="P7" s="258">
        <f t="shared" si="2"/>
        <v>6</v>
      </c>
      <c r="Q7" s="258">
        <f t="shared" si="2"/>
        <v>7</v>
      </c>
      <c r="R7" s="258">
        <f t="shared" si="2"/>
        <v>8</v>
      </c>
      <c r="S7" s="258">
        <f t="shared" si="2"/>
        <v>9</v>
      </c>
      <c r="T7" s="258">
        <f t="shared" si="2"/>
        <v>10</v>
      </c>
      <c r="U7" s="258">
        <f t="shared" si="2"/>
        <v>11</v>
      </c>
      <c r="V7" s="258">
        <f t="shared" si="2"/>
        <v>12</v>
      </c>
      <c r="W7" s="258">
        <f t="shared" si="2"/>
        <v>0</v>
      </c>
      <c r="X7" s="258">
        <f t="shared" si="2"/>
        <v>0</v>
      </c>
      <c r="Y7" s="829">
        <v>1</v>
      </c>
      <c r="Z7" s="829">
        <v>2</v>
      </c>
      <c r="AA7" s="829">
        <v>3</v>
      </c>
      <c r="AB7" s="829">
        <v>4</v>
      </c>
      <c r="AC7" s="829">
        <v>1</v>
      </c>
      <c r="AD7" s="829">
        <v>2</v>
      </c>
      <c r="AE7" s="829">
        <v>3</v>
      </c>
      <c r="AF7" s="829">
        <v>4</v>
      </c>
      <c r="AG7" s="829">
        <v>1</v>
      </c>
      <c r="AH7" s="829">
        <v>2</v>
      </c>
      <c r="AI7" s="829">
        <v>3</v>
      </c>
      <c r="AJ7" s="829">
        <v>4</v>
      </c>
      <c r="AK7" s="829">
        <v>1</v>
      </c>
      <c r="AL7" s="829">
        <v>2</v>
      </c>
      <c r="AM7" s="829">
        <v>3</v>
      </c>
      <c r="AN7" s="829">
        <v>4</v>
      </c>
      <c r="AO7" s="829">
        <v>1</v>
      </c>
      <c r="AP7" s="829">
        <v>2</v>
      </c>
      <c r="AQ7" s="829">
        <v>3</v>
      </c>
      <c r="AR7" s="830">
        <v>4</v>
      </c>
      <c r="AS7" s="211"/>
      <c r="AT7" s="211"/>
      <c r="AU7" s="211"/>
      <c r="BA7" s="212"/>
      <c r="BB7" s="212"/>
      <c r="BC7" s="212"/>
      <c r="BD7" s="212"/>
      <c r="BE7" s="212"/>
      <c r="BF7" s="212"/>
      <c r="BG7" s="213"/>
      <c r="BH7" s="213"/>
      <c r="BI7" s="213"/>
      <c r="CH7" s="214"/>
      <c r="CI7" s="214"/>
    </row>
    <row r="8" spans="1:87" s="210" customFormat="1" ht="20.25" customHeight="1">
      <c r="A8" s="261"/>
      <c r="B8" s="249" t="s">
        <v>487</v>
      </c>
      <c r="C8" s="258"/>
      <c r="D8" s="258"/>
      <c r="E8" s="258">
        <v>0</v>
      </c>
      <c r="F8" s="258">
        <f>IF(OR(G6=$I$3,F6=$I$3,F5=$K$3),1,0)</f>
        <v>0</v>
      </c>
      <c r="G8" s="258">
        <f t="shared" ref="G8:W8" si="3">IF(OR(H6=$I$3,G6=$I$3,G5=$K$3),1,0)</f>
        <v>0</v>
      </c>
      <c r="H8" s="258">
        <f t="shared" si="3"/>
        <v>0</v>
      </c>
      <c r="I8" s="258">
        <f t="shared" si="3"/>
        <v>0</v>
      </c>
      <c r="J8" s="258">
        <f t="shared" si="3"/>
        <v>0</v>
      </c>
      <c r="K8" s="258">
        <f t="shared" si="3"/>
        <v>0</v>
      </c>
      <c r="L8" s="258">
        <f t="shared" si="3"/>
        <v>0</v>
      </c>
      <c r="M8" s="258">
        <f t="shared" si="3"/>
        <v>0</v>
      </c>
      <c r="N8" s="258">
        <f t="shared" si="3"/>
        <v>0</v>
      </c>
      <c r="O8" s="258">
        <f t="shared" si="3"/>
        <v>0</v>
      </c>
      <c r="P8" s="258">
        <f t="shared" si="3"/>
        <v>0</v>
      </c>
      <c r="Q8" s="258">
        <f t="shared" si="3"/>
        <v>0</v>
      </c>
      <c r="R8" s="258">
        <f t="shared" si="3"/>
        <v>0</v>
      </c>
      <c r="S8" s="258">
        <f t="shared" si="3"/>
        <v>0</v>
      </c>
      <c r="T8" s="258">
        <f t="shared" si="3"/>
        <v>0</v>
      </c>
      <c r="U8" s="258">
        <f t="shared" si="3"/>
        <v>1</v>
      </c>
      <c r="V8" s="258">
        <f t="shared" si="3"/>
        <v>1</v>
      </c>
      <c r="W8" s="258">
        <f t="shared" si="3"/>
        <v>1</v>
      </c>
      <c r="X8" s="258">
        <f>IF(OR(Y6=$I$3,X6=$I$3,X5=$K$3),1,0)</f>
        <v>0</v>
      </c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7"/>
      <c r="AS8" s="211"/>
      <c r="AT8" s="211"/>
      <c r="AU8" s="211"/>
      <c r="BA8" s="212"/>
      <c r="BB8" s="212"/>
      <c r="BC8" s="212"/>
      <c r="BD8" s="212"/>
      <c r="BE8" s="212"/>
      <c r="BF8" s="212"/>
      <c r="BG8" s="213"/>
      <c r="BH8" s="213"/>
      <c r="BI8" s="213"/>
      <c r="CH8" s="214"/>
      <c r="CI8" s="214"/>
    </row>
    <row r="9" spans="1:87" s="215" customFormat="1" ht="20.25" customHeight="1">
      <c r="A9" s="261"/>
      <c r="B9" s="250" t="s">
        <v>373</v>
      </c>
      <c r="C9" s="218" t="s">
        <v>488</v>
      </c>
      <c r="D9" s="218" t="s">
        <v>489</v>
      </c>
      <c r="E9" s="216">
        <f>E4-1</f>
        <v>46022</v>
      </c>
      <c r="F9" s="216">
        <f>EOMONTH(E9,3)</f>
        <v>46112</v>
      </c>
      <c r="G9" s="216">
        <f t="shared" ref="G9:V9" si="4">EOMONTH(F9,3)</f>
        <v>46203</v>
      </c>
      <c r="H9" s="216">
        <f t="shared" si="4"/>
        <v>46295</v>
      </c>
      <c r="I9" s="216">
        <f t="shared" si="4"/>
        <v>46387</v>
      </c>
      <c r="J9" s="216">
        <f t="shared" si="4"/>
        <v>46477</v>
      </c>
      <c r="K9" s="216">
        <f t="shared" si="4"/>
        <v>46568</v>
      </c>
      <c r="L9" s="216">
        <f t="shared" si="4"/>
        <v>46660</v>
      </c>
      <c r="M9" s="216">
        <f t="shared" si="4"/>
        <v>46752</v>
      </c>
      <c r="N9" s="216">
        <f t="shared" si="4"/>
        <v>46843</v>
      </c>
      <c r="O9" s="216">
        <f t="shared" si="4"/>
        <v>46934</v>
      </c>
      <c r="P9" s="216">
        <f t="shared" si="4"/>
        <v>47026</v>
      </c>
      <c r="Q9" s="216">
        <f t="shared" si="4"/>
        <v>47118</v>
      </c>
      <c r="R9" s="216">
        <f t="shared" si="4"/>
        <v>47208</v>
      </c>
      <c r="S9" s="216">
        <f t="shared" si="4"/>
        <v>47299</v>
      </c>
      <c r="T9" s="216">
        <f t="shared" si="4"/>
        <v>47391</v>
      </c>
      <c r="U9" s="216">
        <f t="shared" si="4"/>
        <v>47483</v>
      </c>
      <c r="V9" s="216">
        <f t="shared" si="4"/>
        <v>47573</v>
      </c>
      <c r="W9" s="216">
        <f>EOMONTH(V9,3)</f>
        <v>47664</v>
      </c>
      <c r="X9" s="216">
        <f>EOMONTH(W9,3)</f>
        <v>47756</v>
      </c>
      <c r="Y9" s="216">
        <f>EOMONTH(X9,3)</f>
        <v>47848</v>
      </c>
      <c r="Z9" s="216">
        <f t="shared" ref="Z9:AR9" si="5">EOMONTH(Y9,3)</f>
        <v>47938</v>
      </c>
      <c r="AA9" s="216">
        <f t="shared" si="5"/>
        <v>48029</v>
      </c>
      <c r="AB9" s="216">
        <f t="shared" si="5"/>
        <v>48121</v>
      </c>
      <c r="AC9" s="216">
        <f t="shared" si="5"/>
        <v>48213</v>
      </c>
      <c r="AD9" s="216">
        <f t="shared" si="5"/>
        <v>48304</v>
      </c>
      <c r="AE9" s="216">
        <f t="shared" si="5"/>
        <v>48395</v>
      </c>
      <c r="AF9" s="216">
        <f t="shared" si="5"/>
        <v>48487</v>
      </c>
      <c r="AG9" s="216">
        <f t="shared" si="5"/>
        <v>48579</v>
      </c>
      <c r="AH9" s="216">
        <f t="shared" si="5"/>
        <v>48669</v>
      </c>
      <c r="AI9" s="216">
        <f t="shared" si="5"/>
        <v>48760</v>
      </c>
      <c r="AJ9" s="216">
        <f t="shared" si="5"/>
        <v>48852</v>
      </c>
      <c r="AK9" s="216">
        <f t="shared" si="5"/>
        <v>48944</v>
      </c>
      <c r="AL9" s="216">
        <f t="shared" si="5"/>
        <v>49034</v>
      </c>
      <c r="AM9" s="216">
        <f t="shared" si="5"/>
        <v>49125</v>
      </c>
      <c r="AN9" s="216">
        <f t="shared" si="5"/>
        <v>49217</v>
      </c>
      <c r="AO9" s="216">
        <f t="shared" si="5"/>
        <v>49309</v>
      </c>
      <c r="AP9" s="216">
        <f t="shared" si="5"/>
        <v>49399</v>
      </c>
      <c r="AQ9" s="216">
        <f t="shared" si="5"/>
        <v>49490</v>
      </c>
      <c r="AR9" s="217">
        <f t="shared" si="5"/>
        <v>49582</v>
      </c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</row>
    <row r="10" spans="1:87" ht="20.25" customHeight="1">
      <c r="A10" s="207" t="s">
        <v>490</v>
      </c>
      <c r="B10" s="251"/>
      <c r="C10" s="220"/>
      <c r="D10" s="222"/>
      <c r="E10" s="271">
        <f>IF(E7&gt;0,NORMSDIST((E7-(($J$4)/6))/1.8),0)</f>
        <v>0</v>
      </c>
      <c r="F10" s="220">
        <f t="shared" ref="F10:X10" si="6">IF(F7&gt;0,NORMSDIST((F7-(($J$4)/6))/1.8),0)</f>
        <v>0</v>
      </c>
      <c r="G10" s="220">
        <f t="shared" si="6"/>
        <v>0</v>
      </c>
      <c r="H10" s="220">
        <f t="shared" si="6"/>
        <v>0</v>
      </c>
      <c r="I10" s="220">
        <f t="shared" si="6"/>
        <v>0</v>
      </c>
      <c r="J10" s="220">
        <f t="shared" si="6"/>
        <v>0</v>
      </c>
      <c r="K10" s="220">
        <f t="shared" si="6"/>
        <v>2.7366017862441431E-3</v>
      </c>
      <c r="L10" s="220">
        <f t="shared" si="6"/>
        <v>1.3134145691021117E-2</v>
      </c>
      <c r="M10" s="220">
        <f t="shared" si="6"/>
        <v>4.7790352272814703E-2</v>
      </c>
      <c r="N10" s="220">
        <f t="shared" si="6"/>
        <v>0.13326026290250542</v>
      </c>
      <c r="O10" s="220">
        <f t="shared" si="6"/>
        <v>0.28925736075397196</v>
      </c>
      <c r="P10" s="220">
        <f t="shared" si="6"/>
        <v>0.5</v>
      </c>
      <c r="Q10" s="220">
        <f t="shared" si="6"/>
        <v>0.7107426392460281</v>
      </c>
      <c r="R10" s="220">
        <f t="shared" si="6"/>
        <v>0.86673973709749452</v>
      </c>
      <c r="S10" s="220">
        <f t="shared" si="6"/>
        <v>0.9522096477271853</v>
      </c>
      <c r="T10" s="220">
        <f t="shared" si="6"/>
        <v>0.98686585430897888</v>
      </c>
      <c r="U10" s="220">
        <f t="shared" si="6"/>
        <v>0.99726339821375587</v>
      </c>
      <c r="V10" s="220">
        <f t="shared" si="6"/>
        <v>0.99957093966680322</v>
      </c>
      <c r="W10" s="220">
        <f t="shared" si="6"/>
        <v>0</v>
      </c>
      <c r="X10" s="220">
        <f t="shared" si="6"/>
        <v>0</v>
      </c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1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CH10" s="207"/>
      <c r="CI10" s="207"/>
    </row>
    <row r="11" spans="1:87" ht="20.25" customHeight="1">
      <c r="A11" s="207" t="s">
        <v>491</v>
      </c>
      <c r="B11" s="268">
        <f>SUM(E11:W11)</f>
        <v>0.99957093966680322</v>
      </c>
      <c r="C11" s="220">
        <f>SUM(E11:X11)</f>
        <v>0.99957093966680322</v>
      </c>
      <c r="D11" s="222"/>
      <c r="E11" s="271">
        <f>IF(E10-B10&lt;0,0,E10-B10)</f>
        <v>0</v>
      </c>
      <c r="F11" s="220">
        <f t="shared" ref="F11:X11" si="7">IF(F10-E10&lt;0,0,F10-E10)</f>
        <v>0</v>
      </c>
      <c r="G11" s="220">
        <f t="shared" si="7"/>
        <v>0</v>
      </c>
      <c r="H11" s="220">
        <f t="shared" si="7"/>
        <v>0</v>
      </c>
      <c r="I11" s="220">
        <f t="shared" si="7"/>
        <v>0</v>
      </c>
      <c r="J11" s="220">
        <f t="shared" si="7"/>
        <v>0</v>
      </c>
      <c r="K11" s="220">
        <f t="shared" si="7"/>
        <v>2.7366017862441431E-3</v>
      </c>
      <c r="L11" s="220">
        <f t="shared" si="7"/>
        <v>1.0397543904776974E-2</v>
      </c>
      <c r="M11" s="220">
        <f t="shared" si="7"/>
        <v>3.4656206581793587E-2</v>
      </c>
      <c r="N11" s="220">
        <f t="shared" si="7"/>
        <v>8.5469910629690726E-2</v>
      </c>
      <c r="O11" s="220">
        <f t="shared" si="7"/>
        <v>0.15599709785146654</v>
      </c>
      <c r="P11" s="220">
        <f t="shared" si="7"/>
        <v>0.21074263924602804</v>
      </c>
      <c r="Q11" s="220">
        <f t="shared" si="7"/>
        <v>0.2107426392460281</v>
      </c>
      <c r="R11" s="220">
        <f t="shared" si="7"/>
        <v>0.15599709785146643</v>
      </c>
      <c r="S11" s="220">
        <f t="shared" si="7"/>
        <v>8.5469910629690782E-2</v>
      </c>
      <c r="T11" s="220">
        <f t="shared" si="7"/>
        <v>3.465620658179358E-2</v>
      </c>
      <c r="U11" s="220">
        <f t="shared" si="7"/>
        <v>1.0397543904776985E-2</v>
      </c>
      <c r="V11" s="220">
        <f t="shared" si="7"/>
        <v>2.3075414530473459E-3</v>
      </c>
      <c r="W11" s="220">
        <f t="shared" si="7"/>
        <v>0</v>
      </c>
      <c r="X11" s="220">
        <f t="shared" si="7"/>
        <v>0</v>
      </c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1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CH11" s="207"/>
      <c r="CI11" s="207"/>
    </row>
    <row r="12" spans="1:87" ht="20.25" customHeight="1">
      <c r="A12" s="207" t="s">
        <v>492</v>
      </c>
      <c r="B12" s="268">
        <f>SUM(E12:W12)</f>
        <v>4.290603331967846E-4</v>
      </c>
      <c r="C12" s="220">
        <f>SUM(E12:X12)</f>
        <v>4.290603331967846E-4</v>
      </c>
      <c r="D12" s="487">
        <f>B12-C12</f>
        <v>0</v>
      </c>
      <c r="E12" s="269">
        <f t="shared" ref="E12:X12" si="8">IF(E6=$I$3,100%-E10,0)</f>
        <v>0</v>
      </c>
      <c r="F12" s="267">
        <f t="shared" si="8"/>
        <v>0</v>
      </c>
      <c r="G12" s="267">
        <f t="shared" si="8"/>
        <v>0</v>
      </c>
      <c r="H12" s="267">
        <f t="shared" si="8"/>
        <v>0</v>
      </c>
      <c r="I12" s="267">
        <f t="shared" si="8"/>
        <v>0</v>
      </c>
      <c r="J12" s="267">
        <f t="shared" si="8"/>
        <v>0</v>
      </c>
      <c r="K12" s="267">
        <f t="shared" si="8"/>
        <v>0</v>
      </c>
      <c r="L12" s="267">
        <f t="shared" si="8"/>
        <v>0</v>
      </c>
      <c r="M12" s="267">
        <f t="shared" si="8"/>
        <v>0</v>
      </c>
      <c r="N12" s="267">
        <f t="shared" si="8"/>
        <v>0</v>
      </c>
      <c r="O12" s="267">
        <f t="shared" si="8"/>
        <v>0</v>
      </c>
      <c r="P12" s="267">
        <f t="shared" si="8"/>
        <v>0</v>
      </c>
      <c r="Q12" s="267">
        <f t="shared" si="8"/>
        <v>0</v>
      </c>
      <c r="R12" s="267">
        <f t="shared" si="8"/>
        <v>0</v>
      </c>
      <c r="S12" s="267">
        <f t="shared" si="8"/>
        <v>0</v>
      </c>
      <c r="T12" s="267">
        <f t="shared" si="8"/>
        <v>0</v>
      </c>
      <c r="U12" s="267">
        <f t="shared" si="8"/>
        <v>0</v>
      </c>
      <c r="V12" s="267">
        <f t="shared" si="8"/>
        <v>4.290603331967846E-4</v>
      </c>
      <c r="W12" s="267">
        <f t="shared" si="8"/>
        <v>0</v>
      </c>
      <c r="X12" s="267">
        <f t="shared" si="8"/>
        <v>0</v>
      </c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1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CH12" s="207"/>
      <c r="CI12" s="207"/>
    </row>
    <row r="13" spans="1:87" ht="20.25" customHeight="1">
      <c r="A13" s="207" t="s">
        <v>491</v>
      </c>
      <c r="B13" s="251">
        <f>SUM(E13:W13)</f>
        <v>1</v>
      </c>
      <c r="C13" s="220">
        <f>SUM(E13:X13)</f>
        <v>1</v>
      </c>
      <c r="D13" s="222"/>
      <c r="E13" s="269">
        <f t="shared" ref="E13:X13" si="9">SUM(E11:E12)</f>
        <v>0</v>
      </c>
      <c r="F13" s="267">
        <f t="shared" si="9"/>
        <v>0</v>
      </c>
      <c r="G13" s="267">
        <f t="shared" si="9"/>
        <v>0</v>
      </c>
      <c r="H13" s="267">
        <f t="shared" si="9"/>
        <v>0</v>
      </c>
      <c r="I13" s="267">
        <f t="shared" si="9"/>
        <v>0</v>
      </c>
      <c r="J13" s="267">
        <f t="shared" si="9"/>
        <v>0</v>
      </c>
      <c r="K13" s="267">
        <f t="shared" si="9"/>
        <v>2.7366017862441431E-3</v>
      </c>
      <c r="L13" s="267">
        <f t="shared" si="9"/>
        <v>1.0397543904776974E-2</v>
      </c>
      <c r="M13" s="267">
        <f t="shared" si="9"/>
        <v>3.4656206581793587E-2</v>
      </c>
      <c r="N13" s="267">
        <f t="shared" si="9"/>
        <v>8.5469910629690726E-2</v>
      </c>
      <c r="O13" s="267">
        <f t="shared" si="9"/>
        <v>0.15599709785146654</v>
      </c>
      <c r="P13" s="267">
        <f t="shared" si="9"/>
        <v>0.21074263924602804</v>
      </c>
      <c r="Q13" s="267">
        <f t="shared" si="9"/>
        <v>0.2107426392460281</v>
      </c>
      <c r="R13" s="267">
        <f t="shared" si="9"/>
        <v>0.15599709785146643</v>
      </c>
      <c r="S13" s="267">
        <f t="shared" si="9"/>
        <v>8.5469910629690782E-2</v>
      </c>
      <c r="T13" s="267">
        <f t="shared" si="9"/>
        <v>3.465620658179358E-2</v>
      </c>
      <c r="U13" s="267">
        <f t="shared" si="9"/>
        <v>1.0397543904776985E-2</v>
      </c>
      <c r="V13" s="267">
        <f t="shared" si="9"/>
        <v>2.7366017862441305E-3</v>
      </c>
      <c r="W13" s="267">
        <f t="shared" si="9"/>
        <v>0</v>
      </c>
      <c r="X13" s="267">
        <f t="shared" si="9"/>
        <v>0</v>
      </c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1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CH13" s="207"/>
      <c r="CI13" s="207"/>
    </row>
    <row r="14" spans="1:87" s="488" customFormat="1" ht="20.25" customHeight="1">
      <c r="A14" s="1092" t="s">
        <v>387</v>
      </c>
      <c r="B14" s="764">
        <f t="shared" ref="B14:B31" si="10">SUM(E14:X14)</f>
        <v>67040319</v>
      </c>
      <c r="C14" s="1095">
        <f>'1-B Financial'!$B7</f>
        <v>67040319</v>
      </c>
      <c r="D14" s="1095">
        <f t="shared" ref="D14:D31" si="11">B14-C14</f>
        <v>0</v>
      </c>
      <c r="E14" s="1096">
        <v>0</v>
      </c>
      <c r="F14" s="1095">
        <f>$C$14*F13</f>
        <v>0</v>
      </c>
      <c r="G14" s="1095">
        <f t="shared" ref="G14:X14" si="12">$C$14*G13</f>
        <v>0</v>
      </c>
      <c r="H14" s="1095">
        <f t="shared" si="12"/>
        <v>0</v>
      </c>
      <c r="I14" s="1095">
        <f t="shared" si="12"/>
        <v>0</v>
      </c>
      <c r="J14" s="1095">
        <f t="shared" si="12"/>
        <v>0</v>
      </c>
      <c r="K14" s="1095">
        <f t="shared" si="12"/>
        <v>183462.65672577717</v>
      </c>
      <c r="L14" s="1095">
        <f t="shared" si="12"/>
        <v>697054.660192754</v>
      </c>
      <c r="M14" s="1095">
        <f t="shared" si="12"/>
        <v>2323363.1445733416</v>
      </c>
      <c r="N14" s="1095">
        <f t="shared" si="12"/>
        <v>5729930.0735159572</v>
      </c>
      <c r="O14" s="1095">
        <f t="shared" si="12"/>
        <v>10458095.203036532</v>
      </c>
      <c r="P14" s="1095">
        <f t="shared" si="12"/>
        <v>14128253.761955639</v>
      </c>
      <c r="Q14" s="1095">
        <f t="shared" si="12"/>
        <v>14128253.761955643</v>
      </c>
      <c r="R14" s="1095">
        <f t="shared" si="12"/>
        <v>10458095.203036524</v>
      </c>
      <c r="S14" s="1095">
        <f t="shared" si="12"/>
        <v>5729930.0735159609</v>
      </c>
      <c r="T14" s="1095">
        <f t="shared" si="12"/>
        <v>2323363.1445733411</v>
      </c>
      <c r="U14" s="1095">
        <f t="shared" si="12"/>
        <v>697054.6601927547</v>
      </c>
      <c r="V14" s="1095">
        <f t="shared" si="12"/>
        <v>183462.65672577632</v>
      </c>
      <c r="W14" s="1095">
        <f t="shared" si="12"/>
        <v>0</v>
      </c>
      <c r="X14" s="1095">
        <f t="shared" si="12"/>
        <v>0</v>
      </c>
      <c r="Y14" s="1095"/>
      <c r="Z14" s="1095"/>
      <c r="AA14" s="1095"/>
      <c r="AB14" s="1095"/>
      <c r="AC14" s="1095"/>
      <c r="AD14" s="1095"/>
      <c r="AE14" s="1095"/>
      <c r="AF14" s="1095"/>
      <c r="AG14" s="1095"/>
      <c r="AH14" s="1095"/>
      <c r="AI14" s="1095"/>
      <c r="AJ14" s="1095"/>
      <c r="AK14" s="1095"/>
      <c r="AL14" s="1095"/>
      <c r="AM14" s="1095"/>
      <c r="AN14" s="1095"/>
      <c r="AO14" s="1095"/>
      <c r="AP14" s="1095"/>
      <c r="AQ14" s="1095"/>
      <c r="AR14" s="764"/>
      <c r="AS14" s="1092"/>
      <c r="AT14" s="1092"/>
      <c r="AU14" s="1092"/>
      <c r="AV14" s="1093"/>
      <c r="AW14" s="1093"/>
      <c r="AX14" s="1093"/>
      <c r="AY14" s="1093"/>
      <c r="AZ14" s="1093"/>
      <c r="BA14" s="1093"/>
      <c r="BB14" s="1093"/>
      <c r="BC14" s="1093"/>
      <c r="BD14" s="1093"/>
      <c r="BE14" s="1093"/>
      <c r="BF14" s="1093"/>
      <c r="BG14" s="1093"/>
      <c r="BH14" s="1093"/>
      <c r="BI14" s="1093"/>
      <c r="BJ14" s="1093"/>
      <c r="BK14" s="1093"/>
      <c r="BL14" s="1093"/>
      <c r="BM14" s="1093"/>
      <c r="BN14" s="1093"/>
      <c r="BO14" s="1093"/>
      <c r="BP14" s="1093"/>
      <c r="BQ14" s="1093"/>
      <c r="BR14" s="1093"/>
      <c r="BS14" s="1093"/>
      <c r="BT14" s="1093"/>
      <c r="BU14" s="1093"/>
      <c r="BV14" s="1092"/>
      <c r="BW14" s="1092"/>
      <c r="BX14" s="1092"/>
      <c r="BY14" s="1092"/>
      <c r="BZ14" s="1092"/>
      <c r="CA14" s="1092"/>
      <c r="CB14" s="1092"/>
      <c r="CC14" s="1092"/>
      <c r="CD14" s="1092"/>
      <c r="CE14" s="1092"/>
      <c r="CF14" s="1092"/>
      <c r="CG14" s="1092"/>
      <c r="CH14" s="1092"/>
      <c r="CI14" s="1092"/>
    </row>
    <row r="15" spans="1:87" ht="20.25" customHeight="1">
      <c r="A15" s="207" t="s">
        <v>77</v>
      </c>
      <c r="B15" s="224">
        <f t="shared" si="10"/>
        <v>3352015.95</v>
      </c>
      <c r="C15" s="223">
        <f>'1-B Financial'!$B8</f>
        <v>3352015.95</v>
      </c>
      <c r="D15" s="223">
        <f t="shared" si="11"/>
        <v>0</v>
      </c>
      <c r="E15" s="270">
        <v>0</v>
      </c>
      <c r="F15" s="223">
        <f>$C15*F$13</f>
        <v>0</v>
      </c>
      <c r="G15" s="223">
        <f t="shared" ref="G15:X15" si="13">$C15*G$13</f>
        <v>0</v>
      </c>
      <c r="H15" s="223">
        <f t="shared" si="13"/>
        <v>0</v>
      </c>
      <c r="I15" s="223">
        <f t="shared" si="13"/>
        <v>0</v>
      </c>
      <c r="J15" s="223">
        <f t="shared" si="13"/>
        <v>0</v>
      </c>
      <c r="K15" s="223">
        <f t="shared" si="13"/>
        <v>9173.132836288858</v>
      </c>
      <c r="L15" s="223">
        <f t="shared" si="13"/>
        <v>34852.733009637697</v>
      </c>
      <c r="M15" s="223">
        <f t="shared" si="13"/>
        <v>116168.15722866709</v>
      </c>
      <c r="N15" s="223">
        <f t="shared" si="13"/>
        <v>286496.5036757979</v>
      </c>
      <c r="O15" s="223">
        <f t="shared" si="13"/>
        <v>522904.7601518266</v>
      </c>
      <c r="P15" s="223">
        <f t="shared" si="13"/>
        <v>706412.68809778197</v>
      </c>
      <c r="Q15" s="223">
        <f t="shared" si="13"/>
        <v>706412.6880977822</v>
      </c>
      <c r="R15" s="223">
        <f t="shared" si="13"/>
        <v>522904.76015182619</v>
      </c>
      <c r="S15" s="223">
        <f t="shared" si="13"/>
        <v>286496.50367579807</v>
      </c>
      <c r="T15" s="223">
        <f t="shared" si="13"/>
        <v>116168.15722866707</v>
      </c>
      <c r="U15" s="223">
        <f t="shared" si="13"/>
        <v>34852.733009637734</v>
      </c>
      <c r="V15" s="223">
        <f t="shared" si="13"/>
        <v>9173.1328362888162</v>
      </c>
      <c r="W15" s="223">
        <f t="shared" si="13"/>
        <v>0</v>
      </c>
      <c r="X15" s="223">
        <f t="shared" si="13"/>
        <v>0</v>
      </c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4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CH15" s="207"/>
      <c r="CI15" s="207"/>
    </row>
    <row r="16" spans="1:87" ht="20.25" customHeight="1">
      <c r="A16" s="207" t="s">
        <v>389</v>
      </c>
      <c r="B16" s="224">
        <f t="shared" si="10"/>
        <v>0</v>
      </c>
      <c r="C16" s="223">
        <f>'1-B Financial'!$B9</f>
        <v>0</v>
      </c>
      <c r="D16" s="223">
        <f t="shared" si="11"/>
        <v>0</v>
      </c>
      <c r="E16" s="270">
        <v>0</v>
      </c>
      <c r="F16" s="223">
        <f>IF(AND(F$9&gt;$E$4,F$9&lt;$H$4),$C16/(($G$4)/3),0)</f>
        <v>0</v>
      </c>
      <c r="G16" s="223">
        <f t="shared" ref="G16:X16" si="14">IF(AND(G$9&gt;$E$4,G$9&lt;$H$4),$C16/(($G$4)/3),0)</f>
        <v>0</v>
      </c>
      <c r="H16" s="223">
        <f t="shared" si="14"/>
        <v>0</v>
      </c>
      <c r="I16" s="223">
        <f t="shared" si="14"/>
        <v>0</v>
      </c>
      <c r="J16" s="223">
        <f t="shared" si="14"/>
        <v>0</v>
      </c>
      <c r="K16" s="223">
        <f t="shared" si="14"/>
        <v>0</v>
      </c>
      <c r="L16" s="223">
        <f t="shared" si="14"/>
        <v>0</v>
      </c>
      <c r="M16" s="223">
        <f t="shared" si="14"/>
        <v>0</v>
      </c>
      <c r="N16" s="223">
        <f t="shared" si="14"/>
        <v>0</v>
      </c>
      <c r="O16" s="223">
        <f t="shared" si="14"/>
        <v>0</v>
      </c>
      <c r="P16" s="223">
        <f t="shared" si="14"/>
        <v>0</v>
      </c>
      <c r="Q16" s="223">
        <f t="shared" si="14"/>
        <v>0</v>
      </c>
      <c r="R16" s="223">
        <f t="shared" si="14"/>
        <v>0</v>
      </c>
      <c r="S16" s="223">
        <f t="shared" si="14"/>
        <v>0</v>
      </c>
      <c r="T16" s="223">
        <f t="shared" si="14"/>
        <v>0</v>
      </c>
      <c r="U16" s="223">
        <f t="shared" si="14"/>
        <v>0</v>
      </c>
      <c r="V16" s="223">
        <f t="shared" si="14"/>
        <v>0</v>
      </c>
      <c r="W16" s="223">
        <f t="shared" si="14"/>
        <v>0</v>
      </c>
      <c r="X16" s="223">
        <f t="shared" si="14"/>
        <v>0</v>
      </c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4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CH16" s="207"/>
      <c r="CI16" s="207"/>
    </row>
    <row r="17" spans="1:87" ht="20.25" customHeight="1">
      <c r="A17" s="207" t="s">
        <v>391</v>
      </c>
      <c r="B17" s="224">
        <f t="shared" si="10"/>
        <v>808909.2</v>
      </c>
      <c r="C17" s="223">
        <f>'1-B Financial'!$B10</f>
        <v>808909.2</v>
      </c>
      <c r="D17" s="223">
        <f t="shared" si="11"/>
        <v>0</v>
      </c>
      <c r="E17" s="270">
        <v>0</v>
      </c>
      <c r="F17" s="223">
        <f>IF(F6=$F$3,$C$17,0)</f>
        <v>0</v>
      </c>
      <c r="G17" s="223">
        <f t="shared" ref="G17:X17" si="15">IF(G6=$F$3,$C$17,0)</f>
        <v>0</v>
      </c>
      <c r="H17" s="223">
        <f t="shared" si="15"/>
        <v>0</v>
      </c>
      <c r="I17" s="223">
        <f t="shared" si="15"/>
        <v>0</v>
      </c>
      <c r="J17" s="223">
        <f t="shared" si="15"/>
        <v>808909.2</v>
      </c>
      <c r="K17" s="223">
        <f t="shared" si="15"/>
        <v>0</v>
      </c>
      <c r="L17" s="223">
        <f t="shared" si="15"/>
        <v>0</v>
      </c>
      <c r="M17" s="223">
        <f t="shared" si="15"/>
        <v>0</v>
      </c>
      <c r="N17" s="223">
        <f t="shared" si="15"/>
        <v>0</v>
      </c>
      <c r="O17" s="223">
        <f t="shared" si="15"/>
        <v>0</v>
      </c>
      <c r="P17" s="223">
        <f t="shared" si="15"/>
        <v>0</v>
      </c>
      <c r="Q17" s="223">
        <f t="shared" si="15"/>
        <v>0</v>
      </c>
      <c r="R17" s="223">
        <f t="shared" si="15"/>
        <v>0</v>
      </c>
      <c r="S17" s="223">
        <f t="shared" si="15"/>
        <v>0</v>
      </c>
      <c r="T17" s="223">
        <f t="shared" si="15"/>
        <v>0</v>
      </c>
      <c r="U17" s="223">
        <f t="shared" si="15"/>
        <v>0</v>
      </c>
      <c r="V17" s="223">
        <f t="shared" si="15"/>
        <v>0</v>
      </c>
      <c r="W17" s="223">
        <f t="shared" si="15"/>
        <v>0</v>
      </c>
      <c r="X17" s="223">
        <f t="shared" si="15"/>
        <v>0</v>
      </c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4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CH17" s="207"/>
      <c r="CI17" s="207"/>
    </row>
    <row r="18" spans="1:87" ht="20.25" customHeight="1">
      <c r="A18" s="207" t="s">
        <v>393</v>
      </c>
      <c r="B18" s="224">
        <f t="shared" si="10"/>
        <v>14730000</v>
      </c>
      <c r="C18" s="223">
        <f>'1-B Financial'!$B11</f>
        <v>14730000</v>
      </c>
      <c r="D18" s="223">
        <f t="shared" si="11"/>
        <v>0</v>
      </c>
      <c r="E18" s="270">
        <v>0</v>
      </c>
      <c r="F18" s="223">
        <f>$C18*F$13</f>
        <v>0</v>
      </c>
      <c r="G18" s="223">
        <f t="shared" ref="G18:X19" si="16">$C18*G$13</f>
        <v>0</v>
      </c>
      <c r="H18" s="223">
        <f t="shared" si="16"/>
        <v>0</v>
      </c>
      <c r="I18" s="223">
        <f t="shared" si="16"/>
        <v>0</v>
      </c>
      <c r="J18" s="223">
        <f t="shared" si="16"/>
        <v>0</v>
      </c>
      <c r="K18" s="223">
        <f t="shared" si="16"/>
        <v>40310.144311376229</v>
      </c>
      <c r="L18" s="223">
        <f t="shared" si="16"/>
        <v>153155.82171736483</v>
      </c>
      <c r="M18" s="223">
        <f t="shared" si="16"/>
        <v>510485.92294981953</v>
      </c>
      <c r="N18" s="223">
        <f t="shared" si="16"/>
        <v>1258971.7835753444</v>
      </c>
      <c r="O18" s="223">
        <f t="shared" si="16"/>
        <v>2297837.251352102</v>
      </c>
      <c r="P18" s="223">
        <f t="shared" si="16"/>
        <v>3104239.0760939931</v>
      </c>
      <c r="Q18" s="223">
        <f t="shared" si="16"/>
        <v>3104239.0760939941</v>
      </c>
      <c r="R18" s="223">
        <f t="shared" si="16"/>
        <v>2297837.2513521006</v>
      </c>
      <c r="S18" s="223">
        <f t="shared" si="16"/>
        <v>1258971.7835753453</v>
      </c>
      <c r="T18" s="223">
        <f t="shared" si="16"/>
        <v>510485.92294981942</v>
      </c>
      <c r="U18" s="223">
        <f t="shared" si="16"/>
        <v>153155.82171736498</v>
      </c>
      <c r="V18" s="223">
        <f t="shared" si="16"/>
        <v>40310.14431137604</v>
      </c>
      <c r="W18" s="223">
        <f t="shared" si="16"/>
        <v>0</v>
      </c>
      <c r="X18" s="223">
        <f t="shared" si="16"/>
        <v>0</v>
      </c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4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CH18" s="207"/>
      <c r="CI18" s="207"/>
    </row>
    <row r="19" spans="1:87" ht="20.25" customHeight="1">
      <c r="A19" s="207" t="s">
        <v>79</v>
      </c>
      <c r="B19" s="224">
        <f t="shared" si="10"/>
        <v>1340806.3800000001</v>
      </c>
      <c r="C19" s="223">
        <f>'1-B Financial'!$B12</f>
        <v>1340806.3800000001</v>
      </c>
      <c r="D19" s="223">
        <f t="shared" si="11"/>
        <v>0</v>
      </c>
      <c r="E19" s="270">
        <v>0</v>
      </c>
      <c r="F19" s="223">
        <f>$C19*F$13</f>
        <v>0</v>
      </c>
      <c r="G19" s="223">
        <f t="shared" si="16"/>
        <v>0</v>
      </c>
      <c r="H19" s="223">
        <f t="shared" si="16"/>
        <v>0</v>
      </c>
      <c r="I19" s="223">
        <f t="shared" si="16"/>
        <v>0</v>
      </c>
      <c r="J19" s="223">
        <f t="shared" si="16"/>
        <v>0</v>
      </c>
      <c r="K19" s="223">
        <f t="shared" si="16"/>
        <v>3669.2531345155435</v>
      </c>
      <c r="L19" s="223">
        <f t="shared" si="16"/>
        <v>13941.09320385508</v>
      </c>
      <c r="M19" s="223">
        <f t="shared" si="16"/>
        <v>46467.262891466838</v>
      </c>
      <c r="N19" s="223">
        <f t="shared" si="16"/>
        <v>114598.60147031915</v>
      </c>
      <c r="O19" s="223">
        <f t="shared" si="16"/>
        <v>209161.90406073065</v>
      </c>
      <c r="P19" s="223">
        <f t="shared" si="16"/>
        <v>282565.07523911283</v>
      </c>
      <c r="Q19" s="223">
        <f t="shared" si="16"/>
        <v>282565.07523911289</v>
      </c>
      <c r="R19" s="223">
        <f t="shared" si="16"/>
        <v>209161.90406073051</v>
      </c>
      <c r="S19" s="223">
        <f t="shared" si="16"/>
        <v>114598.60147031923</v>
      </c>
      <c r="T19" s="223">
        <f t="shared" si="16"/>
        <v>46467.262891466831</v>
      </c>
      <c r="U19" s="223">
        <f t="shared" si="16"/>
        <v>13941.093203855095</v>
      </c>
      <c r="V19" s="223">
        <f t="shared" si="16"/>
        <v>3669.2531345155267</v>
      </c>
      <c r="W19" s="223">
        <f t="shared" si="16"/>
        <v>0</v>
      </c>
      <c r="X19" s="223">
        <f t="shared" si="16"/>
        <v>0</v>
      </c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4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CH19" s="207"/>
      <c r="CI19" s="207"/>
    </row>
    <row r="20" spans="1:87" ht="20.25" customHeight="1">
      <c r="A20" s="207" t="s">
        <v>83</v>
      </c>
      <c r="B20" s="224">
        <f t="shared" si="10"/>
        <v>1005604.7850000001</v>
      </c>
      <c r="C20" s="223">
        <f>'1-B Financial'!$B13</f>
        <v>1005604.785</v>
      </c>
      <c r="D20" s="223">
        <f t="shared" si="11"/>
        <v>0</v>
      </c>
      <c r="E20" s="270">
        <v>0</v>
      </c>
      <c r="F20" s="223">
        <f>IF(AND(F9&gt;$E$4,F9&lt;$H$4), (($C20)*60%/(($G$4)/3)),IF(OR(F7=1,F7=2,F7=3,F7=4,F7=5,F7=6),(($C20)*40%/6),0))</f>
        <v>120672.5742</v>
      </c>
      <c r="G20" s="223">
        <f t="shared" ref="G20:X20" si="17">IF(AND(G9&gt;$E$4,G9&lt;$H$4), (($C20)*60%/(($G$4)/3)),IF(OR(G7=1,G7=2,G7=3,G7=4,G7=5,G7=6),(($C20)*40%/6),0))</f>
        <v>120672.5742</v>
      </c>
      <c r="H20" s="223">
        <f t="shared" si="17"/>
        <v>120672.5742</v>
      </c>
      <c r="I20" s="223">
        <f t="shared" si="17"/>
        <v>120672.5742</v>
      </c>
      <c r="J20" s="223">
        <f t="shared" si="17"/>
        <v>120672.5742</v>
      </c>
      <c r="K20" s="223">
        <f t="shared" si="17"/>
        <v>67040.319000000003</v>
      </c>
      <c r="L20" s="223">
        <f t="shared" si="17"/>
        <v>67040.319000000003</v>
      </c>
      <c r="M20" s="223">
        <f t="shared" si="17"/>
        <v>67040.319000000003</v>
      </c>
      <c r="N20" s="223">
        <f t="shared" si="17"/>
        <v>67040.319000000003</v>
      </c>
      <c r="O20" s="223">
        <f t="shared" si="17"/>
        <v>67040.319000000003</v>
      </c>
      <c r="P20" s="223">
        <f t="shared" si="17"/>
        <v>67040.319000000003</v>
      </c>
      <c r="Q20" s="223">
        <f t="shared" si="17"/>
        <v>0</v>
      </c>
      <c r="R20" s="223">
        <f t="shared" si="17"/>
        <v>0</v>
      </c>
      <c r="S20" s="223">
        <f t="shared" si="17"/>
        <v>0</v>
      </c>
      <c r="T20" s="223">
        <f t="shared" si="17"/>
        <v>0</v>
      </c>
      <c r="U20" s="223">
        <f t="shared" si="17"/>
        <v>0</v>
      </c>
      <c r="V20" s="223">
        <f t="shared" si="17"/>
        <v>0</v>
      </c>
      <c r="W20" s="223">
        <f t="shared" si="17"/>
        <v>0</v>
      </c>
      <c r="X20" s="223">
        <f t="shared" si="17"/>
        <v>0</v>
      </c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4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CH20" s="207"/>
      <c r="CI20" s="207"/>
    </row>
    <row r="21" spans="1:87" ht="20.25" customHeight="1">
      <c r="A21" s="207" t="s">
        <v>84</v>
      </c>
      <c r="B21" s="224">
        <f t="shared" si="10"/>
        <v>60668.19</v>
      </c>
      <c r="C21" s="223">
        <f>'1-B Financial'!$B14</f>
        <v>60668.19</v>
      </c>
      <c r="D21" s="223">
        <f t="shared" si="11"/>
        <v>0</v>
      </c>
      <c r="E21" s="270">
        <v>0</v>
      </c>
      <c r="F21" s="223">
        <f>IF(F17=0,0,$C$21)</f>
        <v>0</v>
      </c>
      <c r="G21" s="223">
        <f t="shared" ref="G21:X21" si="18">IF(G17=0,0,$C$21)</f>
        <v>0</v>
      </c>
      <c r="H21" s="223">
        <f t="shared" si="18"/>
        <v>0</v>
      </c>
      <c r="I21" s="223">
        <f t="shared" si="18"/>
        <v>0</v>
      </c>
      <c r="J21" s="223">
        <f t="shared" si="18"/>
        <v>60668.19</v>
      </c>
      <c r="K21" s="223">
        <f t="shared" si="18"/>
        <v>0</v>
      </c>
      <c r="L21" s="223">
        <f t="shared" si="18"/>
        <v>0</v>
      </c>
      <c r="M21" s="223">
        <f t="shared" si="18"/>
        <v>0</v>
      </c>
      <c r="N21" s="223">
        <f t="shared" si="18"/>
        <v>0</v>
      </c>
      <c r="O21" s="223">
        <f t="shared" si="18"/>
        <v>0</v>
      </c>
      <c r="P21" s="223">
        <f t="shared" si="18"/>
        <v>0</v>
      </c>
      <c r="Q21" s="223">
        <f t="shared" si="18"/>
        <v>0</v>
      </c>
      <c r="R21" s="223">
        <f t="shared" si="18"/>
        <v>0</v>
      </c>
      <c r="S21" s="223">
        <f t="shared" si="18"/>
        <v>0</v>
      </c>
      <c r="T21" s="223">
        <f t="shared" si="18"/>
        <v>0</v>
      </c>
      <c r="U21" s="223">
        <f t="shared" si="18"/>
        <v>0</v>
      </c>
      <c r="V21" s="223">
        <f t="shared" si="18"/>
        <v>0</v>
      </c>
      <c r="W21" s="223">
        <f t="shared" si="18"/>
        <v>0</v>
      </c>
      <c r="X21" s="223">
        <f t="shared" si="18"/>
        <v>0</v>
      </c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4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CH21" s="207"/>
      <c r="CI21" s="207"/>
    </row>
    <row r="22" spans="1:87" ht="20.25" customHeight="1">
      <c r="A22" s="207" t="s">
        <v>85</v>
      </c>
      <c r="B22" s="224">
        <f t="shared" si="10"/>
        <v>1340806.3799999999</v>
      </c>
      <c r="C22" s="223">
        <f>'1-B Financial'!$B15</f>
        <v>1340806.3800000001</v>
      </c>
      <c r="D22" s="223">
        <f t="shared" si="11"/>
        <v>0</v>
      </c>
      <c r="E22" s="270">
        <v>0</v>
      </c>
      <c r="F22" s="223">
        <f>IF(AND(F9&gt;$E$4,F9&lt;$H$4), (($C22)*60%/(($G$4)/3)),IF(OR(F7=1,F7=2,F7=3,F7=4,F7=5,F7=6),(($C22)*40%/6),0))</f>
        <v>160896.76560000001</v>
      </c>
      <c r="G22" s="223">
        <f t="shared" ref="G22:X22" si="19">IF(AND(G9&gt;$E$4,G9&lt;$H$4), (($C22)*60%/(($G$4)/3)),IF(OR(G7=1,G7=2,G7=3,G7=4,G7=5,G7=6),(($C22)*40%/6),0))</f>
        <v>160896.76560000001</v>
      </c>
      <c r="H22" s="223">
        <f t="shared" si="19"/>
        <v>160896.76560000001</v>
      </c>
      <c r="I22" s="223">
        <f t="shared" si="19"/>
        <v>160896.76560000001</v>
      </c>
      <c r="J22" s="223">
        <f t="shared" si="19"/>
        <v>160896.76560000001</v>
      </c>
      <c r="K22" s="223">
        <f t="shared" si="19"/>
        <v>89387.092000000004</v>
      </c>
      <c r="L22" s="223">
        <f t="shared" si="19"/>
        <v>89387.092000000004</v>
      </c>
      <c r="M22" s="223">
        <f t="shared" si="19"/>
        <v>89387.092000000004</v>
      </c>
      <c r="N22" s="223">
        <f t="shared" si="19"/>
        <v>89387.092000000004</v>
      </c>
      <c r="O22" s="223">
        <f t="shared" si="19"/>
        <v>89387.092000000004</v>
      </c>
      <c r="P22" s="223">
        <f t="shared" si="19"/>
        <v>89387.092000000004</v>
      </c>
      <c r="Q22" s="223">
        <f t="shared" si="19"/>
        <v>0</v>
      </c>
      <c r="R22" s="223">
        <f t="shared" si="19"/>
        <v>0</v>
      </c>
      <c r="S22" s="223">
        <f t="shared" si="19"/>
        <v>0</v>
      </c>
      <c r="T22" s="223">
        <f t="shared" si="19"/>
        <v>0</v>
      </c>
      <c r="U22" s="223">
        <f t="shared" si="19"/>
        <v>0</v>
      </c>
      <c r="V22" s="223">
        <f t="shared" si="19"/>
        <v>0</v>
      </c>
      <c r="W22" s="223">
        <f t="shared" si="19"/>
        <v>0</v>
      </c>
      <c r="X22" s="223">
        <f t="shared" si="19"/>
        <v>0</v>
      </c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4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CH22" s="207"/>
      <c r="CI22" s="207"/>
    </row>
    <row r="23" spans="1:87" ht="20.25" customHeight="1">
      <c r="A23" s="207" t="s">
        <v>86</v>
      </c>
      <c r="B23" s="224">
        <f t="shared" si="10"/>
        <v>2346411.165</v>
      </c>
      <c r="C23" s="223">
        <f>'1-B Financial'!$B16</f>
        <v>2346411.1650000005</v>
      </c>
      <c r="D23" s="223">
        <f t="shared" si="11"/>
        <v>0</v>
      </c>
      <c r="E23" s="270">
        <v>0</v>
      </c>
      <c r="F23" s="223">
        <f>IF(AND(F$9&gt;$F$4,F9&lt;$K$4),$C23/(($J$4)/3),0)</f>
        <v>0</v>
      </c>
      <c r="G23" s="223">
        <f t="shared" ref="G23:X23" si="20">IF(AND(G$9&gt;$F$4,G9&lt;$K$4),$C23/(($J$4)/3),0)</f>
        <v>0</v>
      </c>
      <c r="H23" s="223">
        <f t="shared" si="20"/>
        <v>0</v>
      </c>
      <c r="I23" s="223">
        <f t="shared" si="20"/>
        <v>0</v>
      </c>
      <c r="J23" s="223">
        <f t="shared" si="20"/>
        <v>0</v>
      </c>
      <c r="K23" s="223">
        <f t="shared" si="20"/>
        <v>195534.26375000004</v>
      </c>
      <c r="L23" s="223">
        <f t="shared" si="20"/>
        <v>195534.26375000004</v>
      </c>
      <c r="M23" s="223">
        <f t="shared" si="20"/>
        <v>195534.26375000004</v>
      </c>
      <c r="N23" s="223">
        <f t="shared" si="20"/>
        <v>195534.26375000004</v>
      </c>
      <c r="O23" s="223">
        <f t="shared" si="20"/>
        <v>195534.26375000004</v>
      </c>
      <c r="P23" s="223">
        <f t="shared" si="20"/>
        <v>195534.26375000004</v>
      </c>
      <c r="Q23" s="223">
        <f t="shared" si="20"/>
        <v>195534.26375000004</v>
      </c>
      <c r="R23" s="223">
        <f t="shared" si="20"/>
        <v>195534.26375000004</v>
      </c>
      <c r="S23" s="223">
        <f t="shared" si="20"/>
        <v>195534.26375000004</v>
      </c>
      <c r="T23" s="223">
        <f t="shared" si="20"/>
        <v>195534.26375000004</v>
      </c>
      <c r="U23" s="223">
        <f t="shared" si="20"/>
        <v>195534.26375000004</v>
      </c>
      <c r="V23" s="223">
        <f t="shared" si="20"/>
        <v>195534.26375000004</v>
      </c>
      <c r="W23" s="223">
        <f t="shared" si="20"/>
        <v>0</v>
      </c>
      <c r="X23" s="223">
        <f t="shared" si="20"/>
        <v>0</v>
      </c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4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CH23" s="207"/>
      <c r="CI23" s="207"/>
    </row>
    <row r="24" spans="1:87" ht="20.25" customHeight="1">
      <c r="A24" s="207" t="s">
        <v>88</v>
      </c>
      <c r="B24" s="224">
        <f t="shared" si="10"/>
        <v>1340806.3800000001</v>
      </c>
      <c r="C24" s="223">
        <f>'1-B Financial'!$B17</f>
        <v>1340806.3800000001</v>
      </c>
      <c r="D24" s="223">
        <f t="shared" si="11"/>
        <v>0</v>
      </c>
      <c r="E24" s="270">
        <v>0</v>
      </c>
      <c r="F24" s="223">
        <f>IF(AND(F$9&gt;$F$4,F$9&lt;$K$4),$C24/(($J$4)/3),0)</f>
        <v>0</v>
      </c>
      <c r="G24" s="223">
        <f t="shared" ref="G24:X24" si="21">IF(AND(G$9&gt;$F$4,G$9&lt;$K$4),$C24/(($J$4)/3),0)</f>
        <v>0</v>
      </c>
      <c r="H24" s="223">
        <f t="shared" si="21"/>
        <v>0</v>
      </c>
      <c r="I24" s="223">
        <f t="shared" si="21"/>
        <v>0</v>
      </c>
      <c r="J24" s="223">
        <f t="shared" si="21"/>
        <v>0</v>
      </c>
      <c r="K24" s="223">
        <f t="shared" si="21"/>
        <v>111733.86500000001</v>
      </c>
      <c r="L24" s="223">
        <f t="shared" si="21"/>
        <v>111733.86500000001</v>
      </c>
      <c r="M24" s="223">
        <f t="shared" si="21"/>
        <v>111733.86500000001</v>
      </c>
      <c r="N24" s="223">
        <f t="shared" si="21"/>
        <v>111733.86500000001</v>
      </c>
      <c r="O24" s="223">
        <f t="shared" si="21"/>
        <v>111733.86500000001</v>
      </c>
      <c r="P24" s="223">
        <f t="shared" si="21"/>
        <v>111733.86500000001</v>
      </c>
      <c r="Q24" s="223">
        <f t="shared" si="21"/>
        <v>111733.86500000001</v>
      </c>
      <c r="R24" s="223">
        <f t="shared" si="21"/>
        <v>111733.86500000001</v>
      </c>
      <c r="S24" s="223">
        <f t="shared" si="21"/>
        <v>111733.86500000001</v>
      </c>
      <c r="T24" s="223">
        <f t="shared" si="21"/>
        <v>111733.86500000001</v>
      </c>
      <c r="U24" s="223">
        <f t="shared" si="21"/>
        <v>111733.86500000001</v>
      </c>
      <c r="V24" s="223">
        <f t="shared" si="21"/>
        <v>111733.86500000001</v>
      </c>
      <c r="W24" s="223">
        <f t="shared" si="21"/>
        <v>0</v>
      </c>
      <c r="X24" s="223">
        <f t="shared" si="21"/>
        <v>0</v>
      </c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4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CH24" s="207"/>
      <c r="CI24" s="207"/>
    </row>
    <row r="25" spans="1:87" ht="20.25" customHeight="1">
      <c r="A25" s="207" t="s">
        <v>93</v>
      </c>
      <c r="B25" s="224">
        <f t="shared" si="10"/>
        <v>3352015.95</v>
      </c>
      <c r="C25" s="223">
        <f>'1-B Financial'!$B18</f>
        <v>3352015.95</v>
      </c>
      <c r="D25" s="223">
        <f t="shared" si="11"/>
        <v>0</v>
      </c>
      <c r="E25" s="270">
        <v>0</v>
      </c>
      <c r="F25" s="223">
        <f>$C25*F$13</f>
        <v>0</v>
      </c>
      <c r="G25" s="223">
        <f t="shared" ref="G25:X25" si="22">$C25*G$13</f>
        <v>0</v>
      </c>
      <c r="H25" s="223">
        <f t="shared" si="22"/>
        <v>0</v>
      </c>
      <c r="I25" s="223">
        <f t="shared" si="22"/>
        <v>0</v>
      </c>
      <c r="J25" s="223">
        <f t="shared" si="22"/>
        <v>0</v>
      </c>
      <c r="K25" s="223">
        <f t="shared" si="22"/>
        <v>9173.132836288858</v>
      </c>
      <c r="L25" s="223">
        <f t="shared" si="22"/>
        <v>34852.733009637697</v>
      </c>
      <c r="M25" s="223">
        <f t="shared" si="22"/>
        <v>116168.15722866709</v>
      </c>
      <c r="N25" s="223">
        <f t="shared" si="22"/>
        <v>286496.5036757979</v>
      </c>
      <c r="O25" s="223">
        <f t="shared" si="22"/>
        <v>522904.7601518266</v>
      </c>
      <c r="P25" s="223">
        <f t="shared" si="22"/>
        <v>706412.68809778197</v>
      </c>
      <c r="Q25" s="223">
        <f t="shared" si="22"/>
        <v>706412.6880977822</v>
      </c>
      <c r="R25" s="223">
        <f t="shared" si="22"/>
        <v>522904.76015182619</v>
      </c>
      <c r="S25" s="223">
        <f t="shared" si="22"/>
        <v>286496.50367579807</v>
      </c>
      <c r="T25" s="223">
        <f t="shared" si="22"/>
        <v>116168.15722866707</v>
      </c>
      <c r="U25" s="223">
        <f t="shared" si="22"/>
        <v>34852.733009637734</v>
      </c>
      <c r="V25" s="223">
        <f t="shared" si="22"/>
        <v>9173.1328362888162</v>
      </c>
      <c r="W25" s="223">
        <f t="shared" si="22"/>
        <v>0</v>
      </c>
      <c r="X25" s="223">
        <f t="shared" si="22"/>
        <v>0</v>
      </c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4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CH25" s="207"/>
      <c r="CI25" s="207"/>
    </row>
    <row r="26" spans="1:87" ht="20.25" customHeight="1">
      <c r="A26" s="207" t="s">
        <v>97</v>
      </c>
      <c r="B26" s="224">
        <f t="shared" si="10"/>
        <v>1005604.7850000001</v>
      </c>
      <c r="C26" s="223">
        <f>'1-B Financial'!$B19</f>
        <v>1005604.785</v>
      </c>
      <c r="D26" s="223">
        <f t="shared" si="11"/>
        <v>0</v>
      </c>
      <c r="E26" s="270">
        <v>0</v>
      </c>
      <c r="F26" s="273">
        <f>IF(AND(F9&gt;$E$4,F9&lt;$H$4),(($C26)*20%/(($G$4)/3)),IF((F7=1),(($C26)*80%),0))</f>
        <v>40224.191400000003</v>
      </c>
      <c r="G26" s="273">
        <f t="shared" ref="G26:X26" si="23">IF(AND(G9&gt;$E$4,G9&lt;$H$4),(($C26)*20%/(($G$4)/3)),IF((G7=1),(($C26)*80%),0))</f>
        <v>40224.191400000003</v>
      </c>
      <c r="H26" s="273">
        <f t="shared" si="23"/>
        <v>40224.191400000003</v>
      </c>
      <c r="I26" s="273">
        <f t="shared" si="23"/>
        <v>40224.191400000003</v>
      </c>
      <c r="J26" s="273">
        <f t="shared" si="23"/>
        <v>40224.191400000003</v>
      </c>
      <c r="K26" s="273">
        <f t="shared" si="23"/>
        <v>804483.8280000001</v>
      </c>
      <c r="L26" s="273">
        <f t="shared" si="23"/>
        <v>0</v>
      </c>
      <c r="M26" s="273">
        <f t="shared" si="23"/>
        <v>0</v>
      </c>
      <c r="N26" s="273">
        <f t="shared" si="23"/>
        <v>0</v>
      </c>
      <c r="O26" s="273">
        <f t="shared" si="23"/>
        <v>0</v>
      </c>
      <c r="P26" s="273">
        <f t="shared" si="23"/>
        <v>0</v>
      </c>
      <c r="Q26" s="273">
        <f t="shared" si="23"/>
        <v>0</v>
      </c>
      <c r="R26" s="273">
        <f t="shared" si="23"/>
        <v>0</v>
      </c>
      <c r="S26" s="273">
        <f t="shared" si="23"/>
        <v>0</v>
      </c>
      <c r="T26" s="273">
        <f t="shared" si="23"/>
        <v>0</v>
      </c>
      <c r="U26" s="273">
        <f t="shared" si="23"/>
        <v>0</v>
      </c>
      <c r="V26" s="273">
        <f t="shared" si="23"/>
        <v>0</v>
      </c>
      <c r="W26" s="273">
        <f t="shared" si="23"/>
        <v>0</v>
      </c>
      <c r="X26" s="273">
        <f t="shared" si="23"/>
        <v>0</v>
      </c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4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CH26" s="207"/>
      <c r="CI26" s="207"/>
    </row>
    <row r="27" spans="1:87" ht="20.25" customHeight="1">
      <c r="A27" s="207" t="s">
        <v>100</v>
      </c>
      <c r="B27" s="224">
        <f t="shared" si="10"/>
        <v>300000</v>
      </c>
      <c r="C27" s="223">
        <f>'1-B Financial'!$B20</f>
        <v>300000</v>
      </c>
      <c r="D27" s="223">
        <f t="shared" si="11"/>
        <v>0</v>
      </c>
      <c r="E27" s="270">
        <v>0</v>
      </c>
      <c r="F27" s="223">
        <f>IF(F$8=1,$C27/COUNTIF($E$8:$X$8,"1"),0)</f>
        <v>0</v>
      </c>
      <c r="G27" s="223">
        <f t="shared" ref="G27:X27" si="24">IF(G$8=1,$C27/COUNTIF($E$8:$X$8,"1"),0)</f>
        <v>0</v>
      </c>
      <c r="H27" s="223">
        <f>IF(H$8=1,$C27/COUNTIF($E$8:$X$8,"1"),0)</f>
        <v>0</v>
      </c>
      <c r="I27" s="223">
        <f t="shared" si="24"/>
        <v>0</v>
      </c>
      <c r="J27" s="223">
        <f t="shared" si="24"/>
        <v>0</v>
      </c>
      <c r="K27" s="223">
        <f t="shared" si="24"/>
        <v>0</v>
      </c>
      <c r="L27" s="223">
        <f t="shared" si="24"/>
        <v>0</v>
      </c>
      <c r="M27" s="223">
        <f t="shared" si="24"/>
        <v>0</v>
      </c>
      <c r="N27" s="223">
        <f t="shared" si="24"/>
        <v>0</v>
      </c>
      <c r="O27" s="223">
        <f t="shared" si="24"/>
        <v>0</v>
      </c>
      <c r="P27" s="223">
        <f t="shared" si="24"/>
        <v>0</v>
      </c>
      <c r="Q27" s="223">
        <f t="shared" si="24"/>
        <v>0</v>
      </c>
      <c r="R27" s="223">
        <f t="shared" si="24"/>
        <v>0</v>
      </c>
      <c r="S27" s="223">
        <f t="shared" si="24"/>
        <v>0</v>
      </c>
      <c r="T27" s="223">
        <f t="shared" si="24"/>
        <v>0</v>
      </c>
      <c r="U27" s="223">
        <f t="shared" si="24"/>
        <v>100000</v>
      </c>
      <c r="V27" s="223">
        <f t="shared" si="24"/>
        <v>100000</v>
      </c>
      <c r="W27" s="223">
        <f t="shared" si="24"/>
        <v>100000</v>
      </c>
      <c r="X27" s="223">
        <f t="shared" si="24"/>
        <v>0</v>
      </c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4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CH27" s="207"/>
      <c r="CI27" s="207"/>
    </row>
    <row r="28" spans="1:87" ht="20.25" customHeight="1">
      <c r="A28" s="207" t="s">
        <v>103</v>
      </c>
      <c r="B28" s="224">
        <f t="shared" si="10"/>
        <v>1871863.92</v>
      </c>
      <c r="C28" s="223">
        <f>'1-B Financial'!$B21</f>
        <v>1871863.92</v>
      </c>
      <c r="D28" s="223">
        <f t="shared" si="11"/>
        <v>0</v>
      </c>
      <c r="E28" s="270">
        <v>0</v>
      </c>
      <c r="F28" s="223">
        <f>IF(AND(F9&gt;$I$4,F9&lt;=$L$4),$C28/(($M$4)/3),0)</f>
        <v>0</v>
      </c>
      <c r="G28" s="223">
        <f t="shared" ref="G28:X28" si="25">IF(AND(G9&gt;$I$4,G9&lt;=$L$4),$C28/(($M$4)/3),0)</f>
        <v>0</v>
      </c>
      <c r="H28" s="223">
        <f t="shared" si="25"/>
        <v>0</v>
      </c>
      <c r="I28" s="223">
        <f t="shared" si="25"/>
        <v>0</v>
      </c>
      <c r="J28" s="223">
        <f t="shared" si="25"/>
        <v>0</v>
      </c>
      <c r="K28" s="223">
        <f t="shared" si="25"/>
        <v>0</v>
      </c>
      <c r="L28" s="223">
        <f t="shared" si="25"/>
        <v>0</v>
      </c>
      <c r="M28" s="223">
        <f t="shared" si="25"/>
        <v>0</v>
      </c>
      <c r="N28" s="223">
        <f t="shared" si="25"/>
        <v>0</v>
      </c>
      <c r="O28" s="223">
        <f t="shared" si="25"/>
        <v>0</v>
      </c>
      <c r="P28" s="223">
        <f t="shared" si="25"/>
        <v>0</v>
      </c>
      <c r="Q28" s="223">
        <f t="shared" si="25"/>
        <v>0</v>
      </c>
      <c r="R28" s="223">
        <f t="shared" si="25"/>
        <v>0</v>
      </c>
      <c r="S28" s="223">
        <f t="shared" si="25"/>
        <v>0</v>
      </c>
      <c r="T28" s="223">
        <f t="shared" si="25"/>
        <v>0</v>
      </c>
      <c r="U28" s="223">
        <f t="shared" si="25"/>
        <v>0</v>
      </c>
      <c r="V28" s="223">
        <f t="shared" si="25"/>
        <v>0</v>
      </c>
      <c r="W28" s="223">
        <f t="shared" si="25"/>
        <v>935931.96</v>
      </c>
      <c r="X28" s="223">
        <f t="shared" si="25"/>
        <v>935931.96</v>
      </c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4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CH28" s="207"/>
      <c r="CI28" s="207"/>
    </row>
    <row r="29" spans="1:87" ht="20.25" customHeight="1">
      <c r="A29" s="207" t="s">
        <v>106</v>
      </c>
      <c r="B29" s="224">
        <f t="shared" si="10"/>
        <v>0</v>
      </c>
      <c r="C29" s="223">
        <f>'1-B Financial'!$B22</f>
        <v>0</v>
      </c>
      <c r="D29" s="223">
        <f t="shared" si="11"/>
        <v>0</v>
      </c>
      <c r="E29" s="270">
        <v>0</v>
      </c>
      <c r="F29" s="223">
        <f>IF(F$8=1,$C29/COUNTIF($E$8:$X$8,"1"),0)</f>
        <v>0</v>
      </c>
      <c r="G29" s="223">
        <f t="shared" ref="G29:X29" si="26">IF(G$8=1,$C29/COUNTIF($E$8:$X$8,"1"),0)</f>
        <v>0</v>
      </c>
      <c r="H29" s="223">
        <f t="shared" si="26"/>
        <v>0</v>
      </c>
      <c r="I29" s="223">
        <f t="shared" si="26"/>
        <v>0</v>
      </c>
      <c r="J29" s="223">
        <f t="shared" si="26"/>
        <v>0</v>
      </c>
      <c r="K29" s="223">
        <f t="shared" si="26"/>
        <v>0</v>
      </c>
      <c r="L29" s="223">
        <f t="shared" si="26"/>
        <v>0</v>
      </c>
      <c r="M29" s="223">
        <f t="shared" si="26"/>
        <v>0</v>
      </c>
      <c r="N29" s="223">
        <f t="shared" si="26"/>
        <v>0</v>
      </c>
      <c r="O29" s="223">
        <f t="shared" si="26"/>
        <v>0</v>
      </c>
      <c r="P29" s="223">
        <f t="shared" si="26"/>
        <v>0</v>
      </c>
      <c r="Q29" s="223">
        <f t="shared" si="26"/>
        <v>0</v>
      </c>
      <c r="R29" s="223">
        <f t="shared" si="26"/>
        <v>0</v>
      </c>
      <c r="S29" s="223">
        <f t="shared" si="26"/>
        <v>0</v>
      </c>
      <c r="T29" s="223">
        <f t="shared" si="26"/>
        <v>0</v>
      </c>
      <c r="U29" s="223">
        <f t="shared" si="26"/>
        <v>0</v>
      </c>
      <c r="V29" s="223">
        <f t="shared" si="26"/>
        <v>0</v>
      </c>
      <c r="W29" s="223">
        <f t="shared" si="26"/>
        <v>0</v>
      </c>
      <c r="X29" s="223">
        <f t="shared" si="26"/>
        <v>0</v>
      </c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4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CH29" s="207"/>
      <c r="CI29" s="207"/>
    </row>
    <row r="30" spans="1:87" ht="20.25" customHeight="1">
      <c r="A30" s="207" t="s">
        <v>403</v>
      </c>
      <c r="B30" s="224">
        <f t="shared" si="10"/>
        <v>0</v>
      </c>
      <c r="C30" s="223">
        <f>'1-B Financial'!$B23</f>
        <v>0</v>
      </c>
      <c r="D30" s="223">
        <f t="shared" si="11"/>
        <v>0</v>
      </c>
      <c r="E30" s="270">
        <v>0</v>
      </c>
      <c r="F30" s="223">
        <f>IF(AND(F$9&gt;$I$4,F$9&lt;$L$4),$C30,0)</f>
        <v>0</v>
      </c>
      <c r="G30" s="223">
        <f t="shared" ref="G30:X30" si="27">IF(AND(G$9&gt;$I$4,G$9&lt;$L$4),$C30,0)</f>
        <v>0</v>
      </c>
      <c r="H30" s="223">
        <f t="shared" si="27"/>
        <v>0</v>
      </c>
      <c r="I30" s="223">
        <f t="shared" si="27"/>
        <v>0</v>
      </c>
      <c r="J30" s="223">
        <f t="shared" si="27"/>
        <v>0</v>
      </c>
      <c r="K30" s="223">
        <f t="shared" si="27"/>
        <v>0</v>
      </c>
      <c r="L30" s="223">
        <f t="shared" si="27"/>
        <v>0</v>
      </c>
      <c r="M30" s="223">
        <f t="shared" si="27"/>
        <v>0</v>
      </c>
      <c r="N30" s="223">
        <f t="shared" si="27"/>
        <v>0</v>
      </c>
      <c r="O30" s="223">
        <f t="shared" si="27"/>
        <v>0</v>
      </c>
      <c r="P30" s="223">
        <f t="shared" si="27"/>
        <v>0</v>
      </c>
      <c r="Q30" s="223">
        <f t="shared" si="27"/>
        <v>0</v>
      </c>
      <c r="R30" s="223">
        <f t="shared" si="27"/>
        <v>0</v>
      </c>
      <c r="S30" s="223">
        <f t="shared" si="27"/>
        <v>0</v>
      </c>
      <c r="T30" s="223">
        <f t="shared" si="27"/>
        <v>0</v>
      </c>
      <c r="U30" s="223">
        <f t="shared" si="27"/>
        <v>0</v>
      </c>
      <c r="V30" s="223">
        <f t="shared" si="27"/>
        <v>0</v>
      </c>
      <c r="W30" s="223">
        <f t="shared" si="27"/>
        <v>0</v>
      </c>
      <c r="X30" s="223">
        <f t="shared" si="27"/>
        <v>0</v>
      </c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4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CH30" s="207"/>
      <c r="CI30" s="207"/>
    </row>
    <row r="31" spans="1:87" ht="20.25" customHeight="1">
      <c r="A31" s="207" t="s">
        <v>112</v>
      </c>
      <c r="B31" s="224">
        <f t="shared" si="10"/>
        <v>290198.81902500003</v>
      </c>
      <c r="C31" s="223">
        <f>'1-B Financial'!$B24</f>
        <v>290198.81902500003</v>
      </c>
      <c r="D31" s="223">
        <f t="shared" si="11"/>
        <v>0</v>
      </c>
      <c r="E31" s="270">
        <v>0</v>
      </c>
      <c r="F31" s="223">
        <f t="shared" ref="F31:X31" si="28">IF(F$13&gt;0,$C31/(($J$4)/3),0)</f>
        <v>0</v>
      </c>
      <c r="G31" s="223">
        <f t="shared" si="28"/>
        <v>0</v>
      </c>
      <c r="H31" s="223">
        <f t="shared" si="28"/>
        <v>0</v>
      </c>
      <c r="I31" s="223">
        <f t="shared" si="28"/>
        <v>0</v>
      </c>
      <c r="J31" s="223">
        <f t="shared" si="28"/>
        <v>0</v>
      </c>
      <c r="K31" s="223">
        <f t="shared" si="28"/>
        <v>24183.234918750004</v>
      </c>
      <c r="L31" s="223">
        <f t="shared" si="28"/>
        <v>24183.234918750004</v>
      </c>
      <c r="M31" s="223">
        <f t="shared" si="28"/>
        <v>24183.234918750004</v>
      </c>
      <c r="N31" s="223">
        <f t="shared" si="28"/>
        <v>24183.234918750004</v>
      </c>
      <c r="O31" s="223">
        <f t="shared" si="28"/>
        <v>24183.234918750004</v>
      </c>
      <c r="P31" s="223">
        <f t="shared" si="28"/>
        <v>24183.234918750004</v>
      </c>
      <c r="Q31" s="223">
        <f t="shared" si="28"/>
        <v>24183.234918750004</v>
      </c>
      <c r="R31" s="223">
        <f t="shared" si="28"/>
        <v>24183.234918750004</v>
      </c>
      <c r="S31" s="223">
        <f t="shared" si="28"/>
        <v>24183.234918750004</v>
      </c>
      <c r="T31" s="223">
        <f t="shared" si="28"/>
        <v>24183.234918750004</v>
      </c>
      <c r="U31" s="223">
        <f t="shared" si="28"/>
        <v>24183.234918750004</v>
      </c>
      <c r="V31" s="223">
        <f t="shared" si="28"/>
        <v>24183.234918750004</v>
      </c>
      <c r="W31" s="223">
        <f t="shared" si="28"/>
        <v>0</v>
      </c>
      <c r="X31" s="223">
        <f t="shared" si="28"/>
        <v>0</v>
      </c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CH31" s="207"/>
      <c r="CI31" s="207"/>
    </row>
    <row r="32" spans="1:87" ht="20.25" customHeight="1">
      <c r="A32" s="207" t="s">
        <v>165</v>
      </c>
      <c r="B32" s="224">
        <f>SUM(E32:X32)</f>
        <v>-8166666.6666666688</v>
      </c>
      <c r="C32" s="223">
        <f>'1-B Financial'!$B25</f>
        <v>-8166666.6666666679</v>
      </c>
      <c r="D32" s="223">
        <f>B32-C32</f>
        <v>0</v>
      </c>
      <c r="E32" s="270">
        <v>0</v>
      </c>
      <c r="F32" s="223">
        <f>$C32*F$13</f>
        <v>0</v>
      </c>
      <c r="G32" s="223">
        <f t="shared" ref="G32:X32" si="29">$C32*G$13</f>
        <v>0</v>
      </c>
      <c r="H32" s="223">
        <f t="shared" si="29"/>
        <v>0</v>
      </c>
      <c r="I32" s="223">
        <f t="shared" si="29"/>
        <v>0</v>
      </c>
      <c r="J32" s="223">
        <f t="shared" si="29"/>
        <v>0</v>
      </c>
      <c r="K32" s="223">
        <f t="shared" si="29"/>
        <v>-22348.914587660507</v>
      </c>
      <c r="L32" s="223">
        <f t="shared" si="29"/>
        <v>-84913.275222345299</v>
      </c>
      <c r="M32" s="223">
        <f t="shared" si="29"/>
        <v>-283025.68708464765</v>
      </c>
      <c r="N32" s="223">
        <f t="shared" si="29"/>
        <v>-698004.27014247433</v>
      </c>
      <c r="O32" s="223">
        <f t="shared" si="29"/>
        <v>-1273976.2991203102</v>
      </c>
      <c r="P32" s="223">
        <f t="shared" si="29"/>
        <v>-1721064.887175896</v>
      </c>
      <c r="Q32" s="223">
        <f t="shared" si="29"/>
        <v>-1721064.8871758964</v>
      </c>
      <c r="R32" s="223">
        <f t="shared" si="29"/>
        <v>-1273976.2991203093</v>
      </c>
      <c r="S32" s="223">
        <f t="shared" si="29"/>
        <v>-698004.27014247479</v>
      </c>
      <c r="T32" s="223">
        <f t="shared" si="29"/>
        <v>-283025.68708464759</v>
      </c>
      <c r="U32" s="223">
        <f t="shared" si="29"/>
        <v>-84913.275222345386</v>
      </c>
      <c r="V32" s="223">
        <f t="shared" si="29"/>
        <v>-22348.914587660402</v>
      </c>
      <c r="W32" s="223">
        <f t="shared" si="29"/>
        <v>0</v>
      </c>
      <c r="X32" s="223">
        <f t="shared" si="29"/>
        <v>0</v>
      </c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4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CH32" s="207"/>
      <c r="CI32" s="207"/>
    </row>
    <row r="33" spans="1:87" ht="20.25" customHeight="1">
      <c r="A33" s="207" t="s">
        <v>38</v>
      </c>
      <c r="B33" s="224">
        <f ca="1">SUM(E33:X33)</f>
        <v>317000</v>
      </c>
      <c r="C33" s="223">
        <f>'1-B Financial'!$B26</f>
        <v>317000</v>
      </c>
      <c r="D33" s="223">
        <f ca="1">B33-C33</f>
        <v>0</v>
      </c>
      <c r="E33" s="270">
        <v>0</v>
      </c>
      <c r="F33" s="223">
        <f t="shared" ref="F33:X33" ca="1" si="30">IF(AND(G39&gt;0,F39=0),$C$33,0)</f>
        <v>0</v>
      </c>
      <c r="G33" s="223">
        <f t="shared" ca="1" si="30"/>
        <v>0</v>
      </c>
      <c r="H33" s="223">
        <f t="shared" ca="1" si="30"/>
        <v>0</v>
      </c>
      <c r="I33" s="223">
        <f t="shared" ca="1" si="30"/>
        <v>0</v>
      </c>
      <c r="J33" s="223">
        <f t="shared" ca="1" si="30"/>
        <v>0</v>
      </c>
      <c r="K33" s="223">
        <f t="shared" ca="1" si="30"/>
        <v>0</v>
      </c>
      <c r="L33" s="223">
        <f t="shared" ca="1" si="30"/>
        <v>0</v>
      </c>
      <c r="M33" s="223">
        <f t="shared" ca="1" si="30"/>
        <v>0</v>
      </c>
      <c r="N33" s="223">
        <f t="shared" ca="1" si="30"/>
        <v>0</v>
      </c>
      <c r="O33" s="223">
        <f t="shared" ca="1" si="30"/>
        <v>317000</v>
      </c>
      <c r="P33" s="223">
        <f t="shared" ca="1" si="30"/>
        <v>0</v>
      </c>
      <c r="Q33" s="223">
        <f t="shared" ca="1" si="30"/>
        <v>0</v>
      </c>
      <c r="R33" s="223">
        <f t="shared" ca="1" si="30"/>
        <v>0</v>
      </c>
      <c r="S33" s="223">
        <f t="shared" ca="1" si="30"/>
        <v>0</v>
      </c>
      <c r="T33" s="223">
        <f t="shared" ca="1" si="30"/>
        <v>0</v>
      </c>
      <c r="U33" s="223">
        <f t="shared" ca="1" si="30"/>
        <v>0</v>
      </c>
      <c r="V33" s="223">
        <f t="shared" ca="1" si="30"/>
        <v>0</v>
      </c>
      <c r="W33" s="223">
        <f t="shared" ca="1" si="30"/>
        <v>0</v>
      </c>
      <c r="X33" s="223">
        <f t="shared" ca="1" si="30"/>
        <v>0</v>
      </c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4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CH33" s="207"/>
      <c r="CI33" s="207"/>
    </row>
    <row r="34" spans="1:87" ht="20.25" customHeight="1">
      <c r="A34" s="207" t="s">
        <v>407</v>
      </c>
      <c r="B34" s="224">
        <f>SUM(E34:X34)</f>
        <v>5065000</v>
      </c>
      <c r="C34" s="223">
        <f>'1-B Financial'!$B27</f>
        <v>5065000</v>
      </c>
      <c r="D34" s="223">
        <f>B34-C34</f>
        <v>0</v>
      </c>
      <c r="E34" s="270">
        <v>0</v>
      </c>
      <c r="F34" s="223">
        <f>IF(F7&lt;&gt;0,$C$34/($J$4/3),0)</f>
        <v>0</v>
      </c>
      <c r="G34" s="223">
        <f t="shared" ref="G34:X34" si="31">IF(G7&lt;&gt;0,$C$34/($J$4/3),0)</f>
        <v>0</v>
      </c>
      <c r="H34" s="223">
        <f t="shared" si="31"/>
        <v>0</v>
      </c>
      <c r="I34" s="223">
        <f t="shared" si="31"/>
        <v>0</v>
      </c>
      <c r="J34" s="223">
        <f t="shared" si="31"/>
        <v>0</v>
      </c>
      <c r="K34" s="223">
        <f t="shared" si="31"/>
        <v>422083.33333333331</v>
      </c>
      <c r="L34" s="223">
        <f t="shared" si="31"/>
        <v>422083.33333333331</v>
      </c>
      <c r="M34" s="223">
        <f t="shared" si="31"/>
        <v>422083.33333333331</v>
      </c>
      <c r="N34" s="223">
        <f t="shared" si="31"/>
        <v>422083.33333333331</v>
      </c>
      <c r="O34" s="223">
        <f t="shared" si="31"/>
        <v>422083.33333333331</v>
      </c>
      <c r="P34" s="223">
        <f t="shared" si="31"/>
        <v>422083.33333333331</v>
      </c>
      <c r="Q34" s="223">
        <f t="shared" si="31"/>
        <v>422083.33333333331</v>
      </c>
      <c r="R34" s="223">
        <f t="shared" si="31"/>
        <v>422083.33333333331</v>
      </c>
      <c r="S34" s="223">
        <f t="shared" si="31"/>
        <v>422083.33333333331</v>
      </c>
      <c r="T34" s="223">
        <f t="shared" si="31"/>
        <v>422083.33333333331</v>
      </c>
      <c r="U34" s="223">
        <f t="shared" si="31"/>
        <v>422083.33333333331</v>
      </c>
      <c r="V34" s="223">
        <f t="shared" si="31"/>
        <v>422083.33333333331</v>
      </c>
      <c r="W34" s="223">
        <f t="shared" si="31"/>
        <v>0</v>
      </c>
      <c r="X34" s="223">
        <f t="shared" si="31"/>
        <v>0</v>
      </c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4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CH34" s="207"/>
      <c r="CI34" s="207"/>
    </row>
    <row r="35" spans="1:87" ht="20.25" customHeight="1">
      <c r="B35" s="252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CH35" s="207"/>
      <c r="CI35" s="207"/>
    </row>
    <row r="36" spans="1:87" s="254" customFormat="1" ht="30" customHeight="1">
      <c r="A36" s="254" t="s">
        <v>408</v>
      </c>
      <c r="B36" s="256">
        <f ca="1">SUM(E36:X36)</f>
        <v>97401364.237358332</v>
      </c>
      <c r="C36" s="255">
        <f>SUM(C14:C34)</f>
        <v>97401364.237358317</v>
      </c>
      <c r="D36" s="255">
        <f ca="1">B36-C36</f>
        <v>0</v>
      </c>
      <c r="E36" s="255">
        <f>SUM(E14:E34)</f>
        <v>0</v>
      </c>
      <c r="F36" s="255">
        <f ca="1">SUM(F14:F34)</f>
        <v>321793.53120000003</v>
      </c>
      <c r="G36" s="255">
        <f t="shared" ref="G36:X36" ca="1" si="32">SUM(G14:G34)</f>
        <v>321793.53120000003</v>
      </c>
      <c r="H36" s="255">
        <f t="shared" ca="1" si="32"/>
        <v>321793.53120000003</v>
      </c>
      <c r="I36" s="255">
        <f t="shared" ca="1" si="32"/>
        <v>321793.53120000003</v>
      </c>
      <c r="J36" s="255">
        <f t="shared" ca="1" si="32"/>
        <v>1191370.9212</v>
      </c>
      <c r="K36" s="255">
        <f t="shared" ca="1" si="32"/>
        <v>1937885.3412586695</v>
      </c>
      <c r="L36" s="255">
        <f t="shared" ca="1" si="32"/>
        <v>1758905.8739129873</v>
      </c>
      <c r="M36" s="255">
        <f t="shared" ca="1" si="32"/>
        <v>3739589.0657893983</v>
      </c>
      <c r="N36" s="255">
        <f t="shared" ca="1" si="32"/>
        <v>7888451.3037728267</v>
      </c>
      <c r="O36" s="255">
        <f t="shared" ca="1" si="32"/>
        <v>13963889.68763479</v>
      </c>
      <c r="P36" s="255">
        <f t="shared" ca="1" si="32"/>
        <v>18116780.510310497</v>
      </c>
      <c r="Q36" s="255">
        <f t="shared" ca="1" si="32"/>
        <v>17960353.099310502</v>
      </c>
      <c r="R36" s="255">
        <f t="shared" ca="1" si="32"/>
        <v>13490462.276634784</v>
      </c>
      <c r="S36" s="255">
        <f t="shared" ca="1" si="32"/>
        <v>7732023.8927728292</v>
      </c>
      <c r="T36" s="255">
        <f t="shared" ca="1" si="32"/>
        <v>3583161.654789398</v>
      </c>
      <c r="U36" s="255">
        <f t="shared" ca="1" si="32"/>
        <v>1702478.4629129879</v>
      </c>
      <c r="V36" s="255">
        <f t="shared" ca="1" si="32"/>
        <v>1076974.1022586683</v>
      </c>
      <c r="W36" s="255">
        <f t="shared" ca="1" si="32"/>
        <v>1035931.96</v>
      </c>
      <c r="X36" s="255">
        <f t="shared" ca="1" si="32"/>
        <v>935931.96</v>
      </c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6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</row>
    <row r="37" spans="1:87" s="227" customFormat="1" ht="20.25" customHeight="1">
      <c r="A37" s="227" t="s">
        <v>493</v>
      </c>
      <c r="B37" s="369">
        <f ca="1">SUM(E37:X37)</f>
        <v>34090477.48307541</v>
      </c>
      <c r="C37" s="228"/>
      <c r="D37" s="230"/>
      <c r="E37" s="228">
        <f>E36</f>
        <v>0</v>
      </c>
      <c r="F37" s="228">
        <f t="shared" ref="F37:X37" ca="1" si="33">IF(((E38+F36)&lt;=$B$38),F36,($B$38-E38))</f>
        <v>321793.53120000003</v>
      </c>
      <c r="G37" s="228">
        <f t="shared" ca="1" si="33"/>
        <v>321793.53120000003</v>
      </c>
      <c r="H37" s="228">
        <f t="shared" ca="1" si="33"/>
        <v>321793.53120000003</v>
      </c>
      <c r="I37" s="228">
        <f t="shared" ca="1" si="33"/>
        <v>321793.53120000003</v>
      </c>
      <c r="J37" s="228">
        <f t="shared" ca="1" si="33"/>
        <v>1191370.9212</v>
      </c>
      <c r="K37" s="228">
        <f t="shared" ca="1" si="33"/>
        <v>1937885.3412586695</v>
      </c>
      <c r="L37" s="228">
        <f t="shared" ca="1" si="33"/>
        <v>1758905.8739129873</v>
      </c>
      <c r="M37" s="228">
        <f t="shared" ca="1" si="33"/>
        <v>3739589.0657893983</v>
      </c>
      <c r="N37" s="228">
        <f t="shared" ca="1" si="33"/>
        <v>7888451.3037728267</v>
      </c>
      <c r="O37" s="228">
        <f t="shared" ca="1" si="33"/>
        <v>13963889.68763479</v>
      </c>
      <c r="P37" s="228">
        <f t="shared" ca="1" si="33"/>
        <v>2323211.1647067368</v>
      </c>
      <c r="Q37" s="228">
        <f t="shared" ca="1" si="33"/>
        <v>0</v>
      </c>
      <c r="R37" s="228">
        <f t="shared" ca="1" si="33"/>
        <v>0</v>
      </c>
      <c r="S37" s="228">
        <f t="shared" ca="1" si="33"/>
        <v>0</v>
      </c>
      <c r="T37" s="228">
        <f t="shared" ca="1" si="33"/>
        <v>0</v>
      </c>
      <c r="U37" s="228">
        <f t="shared" ca="1" si="33"/>
        <v>0</v>
      </c>
      <c r="V37" s="228">
        <f t="shared" ca="1" si="33"/>
        <v>0</v>
      </c>
      <c r="W37" s="228">
        <f t="shared" ca="1" si="33"/>
        <v>0</v>
      </c>
      <c r="X37" s="228">
        <f t="shared" ca="1" si="33"/>
        <v>0</v>
      </c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9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</row>
    <row r="38" spans="1:87" ht="20.25" customHeight="1">
      <c r="A38" s="207" t="s">
        <v>494</v>
      </c>
      <c r="B38" s="224">
        <f>'1-B Financial'!$D$15</f>
        <v>34090477.48307541</v>
      </c>
      <c r="C38" s="223"/>
      <c r="D38" s="223"/>
      <c r="E38" s="223">
        <f>IF(OR(E9&lt;$E$4,E9&gt;$L$4),0,IF(SUM($E$37:E37)&lt;=$B38,SUM($E$37:E37),$B$38))</f>
        <v>0</v>
      </c>
      <c r="F38" s="223">
        <f ca="1">IF(OR(F9&lt;$E$4,F9&gt;$L$4),0,IF(SUM($E$37:F37)&lt;=$B38,SUM($E$37:F37),$B$38))</f>
        <v>321793.53120000003</v>
      </c>
      <c r="G38" s="223">
        <f ca="1">IF(OR(G9&lt;$E$4,G9&gt;$L$4),0,IF(SUM($E$37:G37)&lt;=$B38,SUM($E$37:G37),$B$38))</f>
        <v>643587.06240000005</v>
      </c>
      <c r="H38" s="223">
        <f ca="1">IF(OR(H9&lt;$E$4,H9&gt;$L$4),0,IF(SUM($E$37:H37)&lt;=$B38,SUM($E$37:H37),$B$38))</f>
        <v>965380.59360000002</v>
      </c>
      <c r="I38" s="223">
        <f ca="1">IF(OR(I9&lt;$E$4,I9&gt;$L$4),0,IF(SUM($E$37:I37)&lt;=$B38,SUM($E$37:I37),$B$38))</f>
        <v>1287174.1248000001</v>
      </c>
      <c r="J38" s="223">
        <f ca="1">IF(OR(J9&lt;$E$4,J9&gt;$L$4),0,IF(SUM($E$37:J37)&lt;=$B38,SUM($E$37:J37),$B$38))</f>
        <v>2478545.0460000001</v>
      </c>
      <c r="K38" s="223">
        <f ca="1">IF(OR(K9&lt;$E$4,K9&gt;$L$4),0,IF(SUM($E$37:K37)&lt;=$B38,SUM($E$37:K37),$B$38))</f>
        <v>4416430.3872586694</v>
      </c>
      <c r="L38" s="223">
        <f ca="1">IF(OR(L9&lt;$E$4,L9&gt;$L$4),0,IF(SUM($E$37:L37)&lt;=$B38,SUM($E$37:L37),$B$38))</f>
        <v>6175336.2611716567</v>
      </c>
      <c r="M38" s="223">
        <f ca="1">IF(OR(M9&lt;$E$4,M9&gt;$L$4),0,IF(SUM($E$37:M37)&lt;=$B38,SUM($E$37:M37),$B$38))</f>
        <v>9914925.3269610554</v>
      </c>
      <c r="N38" s="223">
        <f ca="1">IF(OR(N9&lt;$E$4,N9&gt;$L$4),0,IF(SUM($E$37:N37)&lt;=$B38,SUM($E$37:N37),$B$38))</f>
        <v>17803376.630733881</v>
      </c>
      <c r="O38" s="223">
        <f ca="1">IF(OR(O9&lt;$E$4,O9&gt;$L$4),0,IF(SUM($E$37:O37)&lt;=$B38,SUM($E$37:O37),$B$38))</f>
        <v>31767266.318368673</v>
      </c>
      <c r="P38" s="223">
        <f ca="1">IF(OR(P9&lt;$E$4,P9&gt;$L$4),0,IF(SUM($E$37:P37)&lt;=$B38,SUM($E$37:P37),$B$38))</f>
        <v>34090477.48307541</v>
      </c>
      <c r="Q38" s="223">
        <f ca="1">IF(OR(Q9&lt;$E$4,Q9&gt;$L$4),0,IF(SUM($E$37:Q37)&lt;=$B38,SUM($E$37:Q37),$B$38))</f>
        <v>34090477.48307541</v>
      </c>
      <c r="R38" s="223">
        <f ca="1">IF(OR(R9&lt;$E$4,R9&gt;$L$4),0,IF(SUM($E$37:R37)&lt;=$B38,SUM($E$37:R37),$B$38))</f>
        <v>34090477.48307541</v>
      </c>
      <c r="S38" s="223">
        <f ca="1">IF(OR(S9&lt;$E$4,S9&gt;$L$4),0,IF(SUM($E$37:S37)&lt;=$B38,SUM($E$37:S37),$B$38))</f>
        <v>34090477.48307541</v>
      </c>
      <c r="T38" s="223">
        <f ca="1">IF(OR(T9&lt;$E$4,T9&gt;$L$4),0,IF(SUM($E$37:T37)&lt;=$B38,SUM($E$37:T37),$B$38))</f>
        <v>34090477.48307541</v>
      </c>
      <c r="U38" s="223">
        <f ca="1">IF(OR(U9&lt;$E$4,U9&gt;$L$4),0,IF(SUM($E$37:U37)&lt;=$B38,SUM($E$37:U37),$B$38))</f>
        <v>34090477.48307541</v>
      </c>
      <c r="V38" s="223">
        <f ca="1">IF(OR(V9&lt;$E$4,V9&gt;$L$4),0,IF(SUM($E$37:V37)&lt;=$B38,SUM($E$37:V37),$B$38))</f>
        <v>34090477.48307541</v>
      </c>
      <c r="W38" s="223">
        <f ca="1">IF(OR(W9&lt;$E$4,W9&gt;$L$4),0,IF(SUM($E$37:W37)&lt;=$B38,SUM($E$37:W37),$B$38))</f>
        <v>34090477.48307541</v>
      </c>
      <c r="X38" s="223">
        <f ca="1">IF(OR(X9&lt;$E$4,X9&gt;$L$4),0,IF(SUM($E$37:X37)&lt;=$B38,SUM($E$37:X37),$B$38))</f>
        <v>34090477.48307541</v>
      </c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4"/>
      <c r="AS38" s="223"/>
      <c r="AT38" s="223"/>
      <c r="AU38" s="223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CH38" s="207"/>
      <c r="CI38" s="207"/>
    </row>
    <row r="39" spans="1:87" ht="20.25" customHeight="1">
      <c r="A39" s="207" t="s">
        <v>495</v>
      </c>
      <c r="B39" s="365">
        <f ca="1">SUM(E39:X39)</f>
        <v>63310886.754282936</v>
      </c>
      <c r="C39" s="223"/>
      <c r="D39" s="223"/>
      <c r="E39" s="223">
        <f t="shared" ref="E39:X39" si="34">IF(E36&gt;E37,E36-E37,0)</f>
        <v>0</v>
      </c>
      <c r="F39" s="223">
        <f t="shared" ca="1" si="34"/>
        <v>0</v>
      </c>
      <c r="G39" s="223">
        <f t="shared" ca="1" si="34"/>
        <v>0</v>
      </c>
      <c r="H39" s="223">
        <f t="shared" ca="1" si="34"/>
        <v>0</v>
      </c>
      <c r="I39" s="223">
        <f t="shared" ca="1" si="34"/>
        <v>0</v>
      </c>
      <c r="J39" s="223">
        <f t="shared" ca="1" si="34"/>
        <v>0</v>
      </c>
      <c r="K39" s="223">
        <f t="shared" ca="1" si="34"/>
        <v>0</v>
      </c>
      <c r="L39" s="223">
        <f t="shared" ca="1" si="34"/>
        <v>0</v>
      </c>
      <c r="M39" s="223">
        <f t="shared" ca="1" si="34"/>
        <v>0</v>
      </c>
      <c r="N39" s="223">
        <f t="shared" ca="1" si="34"/>
        <v>0</v>
      </c>
      <c r="O39" s="223">
        <f t="shared" ca="1" si="34"/>
        <v>0</v>
      </c>
      <c r="P39" s="223">
        <f t="shared" ca="1" si="34"/>
        <v>15793569.34560376</v>
      </c>
      <c r="Q39" s="223">
        <f t="shared" ca="1" si="34"/>
        <v>17960353.099310502</v>
      </c>
      <c r="R39" s="223">
        <f t="shared" ca="1" si="34"/>
        <v>13490462.276634784</v>
      </c>
      <c r="S39" s="223">
        <f t="shared" ca="1" si="34"/>
        <v>7732023.8927728292</v>
      </c>
      <c r="T39" s="223">
        <f t="shared" ca="1" si="34"/>
        <v>3583161.654789398</v>
      </c>
      <c r="U39" s="223">
        <f t="shared" ca="1" si="34"/>
        <v>1702478.4629129879</v>
      </c>
      <c r="V39" s="223">
        <f t="shared" ca="1" si="34"/>
        <v>1076974.1022586683</v>
      </c>
      <c r="W39" s="223">
        <f t="shared" ca="1" si="34"/>
        <v>1035931.96</v>
      </c>
      <c r="X39" s="223">
        <f t="shared" ca="1" si="34"/>
        <v>935931.96</v>
      </c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4"/>
      <c r="AS39" s="245"/>
      <c r="AT39" s="223"/>
      <c r="AU39" s="223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CH39" s="207"/>
      <c r="CI39" s="207"/>
    </row>
    <row r="40" spans="1:87" s="227" customFormat="1" ht="20.25" customHeight="1">
      <c r="A40" s="227" t="s">
        <v>496</v>
      </c>
      <c r="B40" s="229">
        <f ca="1">-B39</f>
        <v>-63310886.754282936</v>
      </c>
      <c r="C40" s="228"/>
      <c r="D40" s="228"/>
      <c r="E40" s="228">
        <f>IF(E6=$K$3,$B$40,0)</f>
        <v>0</v>
      </c>
      <c r="F40" s="228">
        <f t="shared" ref="F40:X40" si="35">IF(F6=$L$3,$B$40,0)</f>
        <v>0</v>
      </c>
      <c r="G40" s="228">
        <f t="shared" si="35"/>
        <v>0</v>
      </c>
      <c r="H40" s="228">
        <f t="shared" si="35"/>
        <v>0</v>
      </c>
      <c r="I40" s="228">
        <f t="shared" si="35"/>
        <v>0</v>
      </c>
      <c r="J40" s="228">
        <f t="shared" si="35"/>
        <v>0</v>
      </c>
      <c r="K40" s="228">
        <f t="shared" si="35"/>
        <v>0</v>
      </c>
      <c r="L40" s="228">
        <f t="shared" si="35"/>
        <v>0</v>
      </c>
      <c r="M40" s="228">
        <f t="shared" si="35"/>
        <v>0</v>
      </c>
      <c r="N40" s="228">
        <f t="shared" si="35"/>
        <v>0</v>
      </c>
      <c r="O40" s="228">
        <f t="shared" si="35"/>
        <v>0</v>
      </c>
      <c r="P40" s="228">
        <f t="shared" si="35"/>
        <v>0</v>
      </c>
      <c r="Q40" s="228">
        <f t="shared" si="35"/>
        <v>0</v>
      </c>
      <c r="R40" s="228">
        <f t="shared" si="35"/>
        <v>0</v>
      </c>
      <c r="S40" s="228">
        <f t="shared" si="35"/>
        <v>0</v>
      </c>
      <c r="T40" s="228">
        <f t="shared" si="35"/>
        <v>0</v>
      </c>
      <c r="U40" s="228">
        <f t="shared" si="35"/>
        <v>0</v>
      </c>
      <c r="V40" s="228">
        <f t="shared" si="35"/>
        <v>0</v>
      </c>
      <c r="W40" s="228">
        <f t="shared" si="35"/>
        <v>0</v>
      </c>
      <c r="X40" s="228">
        <f t="shared" ca="1" si="35"/>
        <v>-63310886.754282936</v>
      </c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9"/>
      <c r="AS40" s="228"/>
      <c r="AT40" s="228"/>
      <c r="AU40" s="228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</row>
    <row r="41" spans="1:87" s="366" customFormat="1" ht="20.25" customHeight="1">
      <c r="A41" s="371" t="s">
        <v>497</v>
      </c>
      <c r="B41" s="372">
        <f>'1-B Financial'!$D$9</f>
        <v>0</v>
      </c>
      <c r="C41" s="373"/>
      <c r="D41" s="373"/>
      <c r="E41" s="373">
        <f t="shared" ref="E41:X41" si="36">IF(E6=$L$3,$B41,0)</f>
        <v>0</v>
      </c>
      <c r="F41" s="373">
        <f t="shared" si="36"/>
        <v>0</v>
      </c>
      <c r="G41" s="373">
        <f t="shared" si="36"/>
        <v>0</v>
      </c>
      <c r="H41" s="373">
        <f t="shared" si="36"/>
        <v>0</v>
      </c>
      <c r="I41" s="373">
        <f t="shared" si="36"/>
        <v>0</v>
      </c>
      <c r="J41" s="373">
        <f t="shared" si="36"/>
        <v>0</v>
      </c>
      <c r="K41" s="373">
        <f t="shared" si="36"/>
        <v>0</v>
      </c>
      <c r="L41" s="373">
        <f t="shared" si="36"/>
        <v>0</v>
      </c>
      <c r="M41" s="373">
        <f t="shared" si="36"/>
        <v>0</v>
      </c>
      <c r="N41" s="373">
        <f t="shared" si="36"/>
        <v>0</v>
      </c>
      <c r="O41" s="373">
        <f t="shared" si="36"/>
        <v>0</v>
      </c>
      <c r="P41" s="373">
        <f t="shared" si="36"/>
        <v>0</v>
      </c>
      <c r="Q41" s="373">
        <f t="shared" si="36"/>
        <v>0</v>
      </c>
      <c r="R41" s="373">
        <f t="shared" si="36"/>
        <v>0</v>
      </c>
      <c r="S41" s="373">
        <f t="shared" si="36"/>
        <v>0</v>
      </c>
      <c r="T41" s="373">
        <f t="shared" si="36"/>
        <v>0</v>
      </c>
      <c r="U41" s="373">
        <f t="shared" si="36"/>
        <v>0</v>
      </c>
      <c r="V41" s="373">
        <f t="shared" si="36"/>
        <v>0</v>
      </c>
      <c r="W41" s="373">
        <f t="shared" si="36"/>
        <v>0</v>
      </c>
      <c r="X41" s="373">
        <f t="shared" si="36"/>
        <v>0</v>
      </c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2"/>
      <c r="AS41" s="373"/>
      <c r="AT41" s="373"/>
      <c r="AU41" s="373"/>
      <c r="AV41" s="374"/>
      <c r="AW41" s="374"/>
      <c r="AX41" s="374"/>
      <c r="AY41" s="374"/>
      <c r="AZ41" s="374"/>
      <c r="BA41" s="374"/>
      <c r="BB41" s="374"/>
      <c r="BC41" s="374"/>
      <c r="BD41" s="374"/>
      <c r="BE41" s="374"/>
      <c r="BF41" s="374"/>
      <c r="BG41" s="374"/>
      <c r="BH41" s="374"/>
      <c r="BI41" s="374"/>
      <c r="BJ41" s="374"/>
      <c r="BK41" s="374"/>
      <c r="BL41" s="374"/>
      <c r="BM41" s="374"/>
      <c r="BN41" s="374"/>
      <c r="BO41" s="374"/>
      <c r="BP41" s="374"/>
      <c r="BQ41" s="374"/>
      <c r="BR41" s="374"/>
      <c r="BS41" s="374"/>
      <c r="BT41" s="374"/>
      <c r="BU41" s="374"/>
      <c r="BV41" s="371"/>
      <c r="BW41" s="371"/>
      <c r="BX41" s="371"/>
      <c r="BY41" s="371"/>
      <c r="BZ41" s="371"/>
      <c r="CA41" s="371"/>
      <c r="CB41" s="371"/>
      <c r="CC41" s="371"/>
      <c r="CD41" s="371"/>
      <c r="CE41" s="371"/>
      <c r="CF41" s="371"/>
      <c r="CG41" s="371"/>
      <c r="CH41" s="371"/>
      <c r="CI41" s="371"/>
    </row>
    <row r="42" spans="1:87" s="488" customFormat="1" ht="20.25" customHeight="1">
      <c r="A42" s="1092" t="s">
        <v>498</v>
      </c>
      <c r="B42" s="838">
        <f ca="1">SUM(E42:AR42)</f>
        <v>65466098.014418274</v>
      </c>
      <c r="C42" s="1095"/>
      <c r="D42" s="1095"/>
      <c r="E42" s="1095">
        <f ca="1">IF(E41&gt;$B$39,0,IF('1-B Financial'!$D$11="NO",IF(E6&lt;&gt;$L$3,0,'1-B Amortization'!$E$4),IF(E6=$L$3,'1-B Amortization'!$E$4,0)))</f>
        <v>0</v>
      </c>
      <c r="F42" s="1095">
        <f ca="1">IF(F41&gt;$B$39,0,IF('1-B Financial'!$D$11="NO",IF(F6&lt;&gt;$L$3,0,'1-B Amortization'!$E$4),IF(F6=$L$3,'1-B Amortization'!$E$4,0)))</f>
        <v>0</v>
      </c>
      <c r="G42" s="1095">
        <f ca="1">IF(G41&gt;$B$39,0,IF('1-B Financial'!$D$11="NO",IF(G6&lt;&gt;$L$3,0,'1-B Amortization'!$E$4),IF(G6=$L$3,'1-B Amortization'!$E$4,0)))</f>
        <v>0</v>
      </c>
      <c r="H42" s="1095">
        <f ca="1">IF(H41&gt;$B$39,0,IF('1-B Financial'!$D$11="NO",IF(H6&lt;&gt;$L$3,0,'1-B Amortization'!$E$4),IF(H6=$L$3,'1-B Amortization'!$E$4,0)))</f>
        <v>0</v>
      </c>
      <c r="I42" s="1095">
        <f ca="1">IF(I41&gt;$B$39,0,IF('1-B Financial'!$D$11="NO",IF(I6&lt;&gt;$L$3,0,'1-B Amortization'!$E$4),IF(I6=$L$3,'1-B Amortization'!$E$4,0)))</f>
        <v>0</v>
      </c>
      <c r="J42" s="1095">
        <f ca="1">IF(J41&gt;$B$39,0,IF('1-B Financial'!$D$11="NO",IF(J6&lt;&gt;$L$3,0,'1-B Amortization'!$E$4),IF(J6=$L$3,'1-B Amortization'!$E$4,0)))</f>
        <v>0</v>
      </c>
      <c r="K42" s="1095">
        <f ca="1">IF(K41&gt;$B$39,0,IF('1-B Financial'!$D$11="NO",IF(K6&lt;&gt;$L$3,0,'1-B Amortization'!$E$4),IF(K6=$L$3,'1-B Amortization'!$E$4,0)))</f>
        <v>0</v>
      </c>
      <c r="L42" s="1095">
        <f ca="1">IF(L41&gt;$B$39,0,IF('1-B Financial'!$D$11="NO",IF(L6&lt;&gt;$L$3,0,'1-B Amortization'!$E$4),IF(L6=$L$3,'1-B Amortization'!$E$4,0)))</f>
        <v>0</v>
      </c>
      <c r="M42" s="1095">
        <f ca="1">IF(M41&gt;$B$39,0,IF('1-B Financial'!$D$11="NO",IF(M6&lt;&gt;$L$3,0,'1-B Amortization'!$E$4),IF(M6=$L$3,'1-B Amortization'!$E$4,0)))</f>
        <v>0</v>
      </c>
      <c r="N42" s="1095">
        <f ca="1">IF(N41&gt;$B$39,0,IF('1-B Financial'!$D$11="NO",IF(N6&lt;&gt;$L$3,0,'1-B Amortization'!$E$4),IF(N6=$L$3,'1-B Amortization'!$E$4,0)))</f>
        <v>0</v>
      </c>
      <c r="O42" s="1095">
        <f ca="1">IF(O41&gt;$B$39,0,IF('1-B Financial'!$D$11="NO",IF(O6&lt;&gt;$L$3,0,'1-B Amortization'!$E$4),IF(O6=$L$3,'1-B Amortization'!$E$4,0)))</f>
        <v>0</v>
      </c>
      <c r="P42" s="1095">
        <f ca="1">IF(P41&gt;$B$39,0,IF('1-B Financial'!$D$11="NO",IF(P6&lt;&gt;$L$3,0,'1-B Amortization'!$E$4),IF(P6=$L$3,'1-B Amortization'!$E$4,0)))</f>
        <v>0</v>
      </c>
      <c r="Q42" s="1095">
        <f ca="1">IF(Q41&gt;$B$39,0,IF('1-B Financial'!$D$11="NO",IF(Q6&lt;&gt;$L$3,0,'1-B Amortization'!$E$4),IF(Q6=$L$3,'1-B Amortization'!$E$4,0)))</f>
        <v>0</v>
      </c>
      <c r="R42" s="1095">
        <f ca="1">IF(R41&gt;$B$39,0,IF('1-B Financial'!$D$11="NO",IF(R6&lt;&gt;$L$3,0,'1-B Amortization'!$E$4),IF(R6=$L$3,'1-B Amortization'!$E$4,0)))</f>
        <v>0</v>
      </c>
      <c r="S42" s="1095">
        <f ca="1">IF(S41&gt;$B$39,0,IF('1-B Financial'!$D$11="NO",IF(S6&lt;&gt;$L$3,0,'1-B Amortization'!$E$4),IF(S6=$L$3,'1-B Amortization'!$E$4,0)))</f>
        <v>0</v>
      </c>
      <c r="T42" s="1095">
        <f ca="1">IF(T41&gt;$B$39,0,IF('1-B Financial'!$D$11="NO",IF(T6&lt;&gt;$L$3,0,'1-B Amortization'!$E$4),IF(T6=$L$3,'1-B Amortization'!$E$4,0)))</f>
        <v>0</v>
      </c>
      <c r="U42" s="1095">
        <f ca="1">IF(U41&gt;$B$39,0,IF('1-B Financial'!$D$11="NO",IF(U6&lt;&gt;$L$3,0,'1-B Amortization'!$E$4),IF(U6=$L$3,'1-B Amortization'!$E$4,0)))</f>
        <v>0</v>
      </c>
      <c r="V42" s="1095">
        <f ca="1">IF(V41&gt;$B$39,0,IF('1-B Financial'!$D$11="NO",IF(V6&lt;&gt;$L$3,0,'1-B Amortization'!$E$4),IF(V6=$L$3,'1-B Amortization'!$E$4,0)))</f>
        <v>0</v>
      </c>
      <c r="W42" s="1095">
        <f ca="1">IF(W41&gt;$B$39,0,IF('1-B Financial'!$D$11="NO",IF(W6&lt;&gt;$L$3,0,'1-B Amortization'!$E$4),IF(W6=$L$3,'1-B Amortization'!$E$4,0)))</f>
        <v>0</v>
      </c>
      <c r="X42" s="1095">
        <f ca="1">IF(X41&gt;$B$39,0,IF('1-B Financial'!$D$11="NO",IF(X6&lt;&gt;$L$3,0,'1-B Amortization'!$E$4),IF(X6=$L$3,'1-B Amortization'!$E$4,0)))</f>
        <v>65466098.014418274</v>
      </c>
      <c r="Y42" s="1095"/>
      <c r="Z42" s="1095"/>
      <c r="AA42" s="1095"/>
      <c r="AB42" s="1095"/>
      <c r="AC42" s="1095"/>
      <c r="AD42" s="1095"/>
      <c r="AE42" s="1095"/>
      <c r="AF42" s="1095"/>
      <c r="AG42" s="1095"/>
      <c r="AH42" s="1095"/>
      <c r="AI42" s="1095"/>
      <c r="AJ42" s="1095"/>
      <c r="AK42" s="1095"/>
      <c r="AL42" s="1095"/>
      <c r="AM42" s="1095"/>
      <c r="AN42" s="1095"/>
      <c r="AO42" s="1095"/>
      <c r="AP42" s="1095"/>
      <c r="AQ42" s="1095"/>
      <c r="AR42" s="764"/>
      <c r="AS42" s="1095"/>
      <c r="AT42" s="1095"/>
      <c r="AU42" s="1095"/>
      <c r="AV42" s="1093"/>
      <c r="AW42" s="1093"/>
      <c r="AX42" s="1093"/>
      <c r="AY42" s="1093"/>
      <c r="AZ42" s="1093"/>
      <c r="BA42" s="1093"/>
      <c r="BB42" s="1093"/>
      <c r="BC42" s="1093"/>
      <c r="BD42" s="1093"/>
      <c r="BE42" s="1093"/>
      <c r="BF42" s="1093"/>
      <c r="BG42" s="1093"/>
      <c r="BH42" s="1093"/>
      <c r="BI42" s="1093"/>
      <c r="BJ42" s="1093"/>
      <c r="BK42" s="1093"/>
      <c r="BL42" s="1093"/>
      <c r="BM42" s="1093"/>
      <c r="BN42" s="1093"/>
      <c r="BO42" s="1093"/>
      <c r="BP42" s="1093"/>
      <c r="BQ42" s="1093"/>
      <c r="BR42" s="1093"/>
      <c r="BS42" s="1093"/>
      <c r="BT42" s="1093"/>
      <c r="BU42" s="1093"/>
      <c r="BV42" s="1092"/>
      <c r="BW42" s="1092"/>
      <c r="BX42" s="1092"/>
      <c r="BY42" s="1092"/>
      <c r="BZ42" s="1092"/>
      <c r="CA42" s="1092"/>
      <c r="CB42" s="1092"/>
      <c r="CC42" s="1092"/>
      <c r="CD42" s="1092"/>
      <c r="CE42" s="1092"/>
      <c r="CF42" s="1092"/>
      <c r="CG42" s="1092"/>
      <c r="CH42" s="1092"/>
      <c r="CI42" s="1092"/>
    </row>
    <row r="43" spans="1:87" ht="20.25" customHeight="1">
      <c r="A43" s="207" t="s">
        <v>517</v>
      </c>
      <c r="B43" s="224">
        <f ca="1">SUM(E43:AR43)</f>
        <v>-327330.4900720914</v>
      </c>
      <c r="C43" s="223"/>
      <c r="D43" s="223"/>
      <c r="E43" s="223">
        <f ca="1">IF(E42&gt;0,-'1-B Amortization'!$F$11,0)</f>
        <v>0</v>
      </c>
      <c r="F43" s="223">
        <f ca="1">IF(F42&gt;0,-'1-B Amortization'!$F$11,0)</f>
        <v>0</v>
      </c>
      <c r="G43" s="223">
        <f ca="1">IF(G42&gt;0,-'1-B Amortization'!$F$11,0)</f>
        <v>0</v>
      </c>
      <c r="H43" s="223">
        <f ca="1">IF(H42&gt;0,-'1-B Amortization'!$F$11,0)</f>
        <v>0</v>
      </c>
      <c r="I43" s="223">
        <f ca="1">IF(I42&gt;0,-'1-B Amortization'!$F$11,0)</f>
        <v>0</v>
      </c>
      <c r="J43" s="223">
        <f ca="1">IF(J42&gt;0,-'1-B Amortization'!$F$11,0)</f>
        <v>0</v>
      </c>
      <c r="K43" s="223">
        <f ca="1">IF(K42&gt;0,-'1-B Amortization'!$F$11,0)</f>
        <v>0</v>
      </c>
      <c r="L43" s="223">
        <f ca="1">IF(L42&gt;0,-'1-B Amortization'!$F$11,0)</f>
        <v>0</v>
      </c>
      <c r="M43" s="223">
        <f ca="1">IF(M42&gt;0,-'1-B Amortization'!$F$11,0)</f>
        <v>0</v>
      </c>
      <c r="N43" s="223">
        <f ca="1">IF(N42&gt;0,-'1-B Amortization'!$F$11,0)</f>
        <v>0</v>
      </c>
      <c r="O43" s="223">
        <f ca="1">IF(O42&gt;0,-'1-B Amortization'!$F$11,0)</f>
        <v>0</v>
      </c>
      <c r="P43" s="223">
        <f ca="1">IF(P42&gt;0,-'1-B Amortization'!$F$11,0)</f>
        <v>0</v>
      </c>
      <c r="Q43" s="223">
        <f ca="1">IF(Q42&gt;0,-'1-B Amortization'!$F$11,0)</f>
        <v>0</v>
      </c>
      <c r="R43" s="223">
        <f ca="1">IF(R42&gt;0,-'1-B Amortization'!$F$11,0)</f>
        <v>0</v>
      </c>
      <c r="S43" s="223">
        <f ca="1">IF(S42&gt;0,-'1-B Amortization'!$F$11,0)</f>
        <v>0</v>
      </c>
      <c r="T43" s="223">
        <f ca="1">IF(T42&gt;0,-'1-B Amortization'!$F$11,0)</f>
        <v>0</v>
      </c>
      <c r="U43" s="223">
        <f ca="1">IF(U42&gt;0,-'1-B Amortization'!$F$11,0)</f>
        <v>0</v>
      </c>
      <c r="V43" s="223">
        <f ca="1">IF(V42&gt;0,-'1-B Amortization'!$F$11,0)</f>
        <v>0</v>
      </c>
      <c r="W43" s="223">
        <f ca="1">IF(W42&gt;0,-'1-B Amortization'!$F$11,0)</f>
        <v>0</v>
      </c>
      <c r="X43" s="223">
        <f ca="1">IF(X42&gt;0,-'1-B Amortization'!$F$11,0)</f>
        <v>-327330.4900720914</v>
      </c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4"/>
      <c r="AS43" s="223"/>
      <c r="AT43" s="223"/>
      <c r="AU43" s="223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CH43" s="207"/>
      <c r="CI43" s="207"/>
    </row>
    <row r="44" spans="1:87" s="227" customFormat="1" ht="20.25" customHeight="1">
      <c r="A44" s="227" t="s">
        <v>499</v>
      </c>
      <c r="B44" s="369">
        <f ca="1">SUM(E44:AR44)</f>
        <v>1827880.7700632464</v>
      </c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>
        <f ca="1">X40+X41+X42+X43</f>
        <v>1827880.7700632464</v>
      </c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9"/>
      <c r="AS44" s="228"/>
      <c r="AT44" s="228"/>
      <c r="AU44" s="228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</row>
    <row r="45" spans="1:87" s="227" customFormat="1" ht="20.25" customHeight="1">
      <c r="A45" s="227" t="s">
        <v>500</v>
      </c>
      <c r="B45" s="369">
        <f>SUM(E45:AR45)</f>
        <v>30058739.935117349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>
        <f>'1-B Financial'!$D$5*(1+'1-B Financial'!$D$7)^(Y5-1)/4</f>
        <v>1431158.013</v>
      </c>
      <c r="Z45" s="228">
        <f>'1-B Financial'!$D$5*(1+'1-B Financial'!$D$7)^(Z5-1)/4</f>
        <v>1431158.013</v>
      </c>
      <c r="AA45" s="228">
        <f>'1-B Financial'!$D$5*(1+'1-B Financial'!$D$7)^(AA5-1)/4</f>
        <v>1431158.013</v>
      </c>
      <c r="AB45" s="228">
        <f>'1-B Financial'!$D$5*(1+'1-B Financial'!$D$7)^(AB5-1)/4</f>
        <v>1431158.013</v>
      </c>
      <c r="AC45" s="228">
        <f>'1-B Financial'!$D$5*(1+'1-B Financial'!$D$7)^(AC5-1)/4</f>
        <v>1466179.9441985392</v>
      </c>
      <c r="AD45" s="228">
        <f>'1-B Financial'!$D$5*(1+'1-B Financial'!$D$7)^(AD5-1)/4</f>
        <v>1466179.9441985392</v>
      </c>
      <c r="AE45" s="228">
        <f>'1-B Financial'!$D$5*(1+'1-B Financial'!$D$7)^(AE5-1)/4</f>
        <v>1466179.9441985392</v>
      </c>
      <c r="AF45" s="228">
        <f>'1-B Financial'!$D$5*(1+'1-B Financial'!$D$7)^(AF5-1)/4</f>
        <v>1466179.9441985392</v>
      </c>
      <c r="AG45" s="228">
        <f>'1-B Financial'!$D$5*(1+'1-B Financial'!$D$7)^(AG5-1)/4</f>
        <v>1502058.89862843</v>
      </c>
      <c r="AH45" s="228">
        <f>'1-B Financial'!$D$5*(1+'1-B Financial'!$D$7)^(AH5-1)/4</f>
        <v>1502058.89862843</v>
      </c>
      <c r="AI45" s="228">
        <f>'1-B Financial'!$D$5*(1+'1-B Financial'!$D$7)^(AI5-1)/4</f>
        <v>1502058.89862843</v>
      </c>
      <c r="AJ45" s="228">
        <f>'1-B Financial'!$D$5*(1+'1-B Financial'!$D$7)^(AJ5-1)/4</f>
        <v>1502058.89862843</v>
      </c>
      <c r="AK45" s="228">
        <f>'1-B Financial'!$D$5*(1+'1-B Financial'!$D$7)^(AK5-1)/4</f>
        <v>1538815.848543169</v>
      </c>
      <c r="AL45" s="228">
        <f>'1-B Financial'!$D$5*(1+'1-B Financial'!$D$7)^(AL5-1)/4</f>
        <v>1538815.848543169</v>
      </c>
      <c r="AM45" s="228">
        <f>'1-B Financial'!$D$5*(1+'1-B Financial'!$D$7)^(AM5-1)/4</f>
        <v>1538815.848543169</v>
      </c>
      <c r="AN45" s="228">
        <f>'1-B Financial'!$D$5*(1+'1-B Financial'!$D$7)^(AN5-1)/4</f>
        <v>1538815.848543169</v>
      </c>
      <c r="AO45" s="228">
        <f>'1-B Financial'!$D$5*(1+'1-B Financial'!$D$7)^(AO5-1)/4</f>
        <v>1576472.2794092002</v>
      </c>
      <c r="AP45" s="228">
        <f>'1-B Financial'!$D$5*(1+'1-B Financial'!$D$7)^(AP5-1)/4</f>
        <v>1576472.2794092002</v>
      </c>
      <c r="AQ45" s="228">
        <f>'1-B Financial'!$D$5*(1+'1-B Financial'!$D$7)^(AQ5-1)/4</f>
        <v>1576472.2794092002</v>
      </c>
      <c r="AR45" s="229">
        <f>'1-B Financial'!$D$5*(1+'1-B Financial'!$D$7)^(AR5-1)/4</f>
        <v>1576472.2794092002</v>
      </c>
      <c r="AS45" s="228"/>
      <c r="AT45" s="228"/>
      <c r="AU45" s="228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  <c r="BH45" s="230"/>
      <c r="BI45" s="230"/>
      <c r="BJ45" s="230"/>
      <c r="BK45" s="230"/>
      <c r="BL45" s="230"/>
      <c r="BM45" s="230"/>
      <c r="BN45" s="230"/>
      <c r="BO45" s="230"/>
      <c r="BP45" s="230"/>
      <c r="BQ45" s="230"/>
      <c r="BR45" s="230"/>
      <c r="BS45" s="230"/>
      <c r="BT45" s="230"/>
      <c r="BU45" s="230"/>
    </row>
    <row r="46" spans="1:87" ht="20.25" customHeight="1">
      <c r="A46" s="207" t="s">
        <v>501</v>
      </c>
      <c r="B46" s="224">
        <f>SUM(E46:AR46)</f>
        <v>-22102334.788703144</v>
      </c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 cm="1">
        <f t="array" ref="Y46">INDEX('1-B Amortization'!$J$4:$J$23,MATCH(1,('1-B Amortization'!$I$4:$I$23=Y7)*('1-B Amortization'!$H$4:$H$23=Y5),0),0)</f>
        <v>-941075.15895726276</v>
      </c>
      <c r="Z46" s="223" cm="1">
        <f t="array" ref="Z46">INDEX('1-B Amortization'!$J$4:$J$23,MATCH(1,('1-B Amortization'!$I$4:$I$23=Z7)*('1-B Amortization'!$H$4:$H$23=Z5),0),0)</f>
        <v>-941075.15895726276</v>
      </c>
      <c r="AA46" s="223" cm="1">
        <f t="array" ref="AA46">INDEX('1-B Amortization'!$J$4:$J$23,MATCH(1,('1-B Amortization'!$I$4:$I$23=AA7)*('1-B Amortization'!$H$4:$H$23=AA5),0),0)</f>
        <v>-941075.15895726276</v>
      </c>
      <c r="AB46" s="223" cm="1">
        <f t="array" ref="AB46">INDEX('1-B Amortization'!$J$4:$J$23,MATCH(1,('1-B Amortization'!$I$4:$I$23=AB7)*('1-B Amortization'!$H$4:$H$23=AB5),0),0)</f>
        <v>-941075.15895726276</v>
      </c>
      <c r="AC46" s="223" cm="1">
        <f t="array" ref="AC46">INDEX('1-B Amortization'!$J$4:$J$23,MATCH(1,('1-B Amortization'!$I$4:$I$23=AC7)*('1-B Amortization'!$H$4:$H$23=AC5),0),0)</f>
        <v>-1146127.1345546304</v>
      </c>
      <c r="AD46" s="223" cm="1">
        <f t="array" ref="AD46">INDEX('1-B Amortization'!$J$4:$J$23,MATCH(1,('1-B Amortization'!$I$4:$I$23=AD7)*('1-B Amortization'!$H$4:$H$23=AD5),0),0)</f>
        <v>-1146127.1345546304</v>
      </c>
      <c r="AE46" s="223" cm="1">
        <f t="array" ref="AE46">INDEX('1-B Amortization'!$J$4:$J$23,MATCH(1,('1-B Amortization'!$I$4:$I$23=AE7)*('1-B Amortization'!$H$4:$H$23=AE5),0),0)</f>
        <v>-1146127.1345546304</v>
      </c>
      <c r="AF46" s="223" cm="1">
        <f t="array" ref="AF46">INDEX('1-B Amortization'!$J$4:$J$23,MATCH(1,('1-B Amortization'!$I$4:$I$23=AF7)*('1-B Amortization'!$H$4:$H$23=AF5),0),0)</f>
        <v>-1146127.1345546301</v>
      </c>
      <c r="AG46" s="223" cm="1">
        <f t="array" ref="AG46">INDEX('1-B Amortization'!$J$4:$J$23,MATCH(1,('1-B Amortization'!$I$4:$I$23=AG7)*('1-B Amortization'!$H$4:$H$23=AG5),0),0)</f>
        <v>-1146127.1345546301</v>
      </c>
      <c r="AH46" s="223" cm="1">
        <f t="array" ref="AH46">INDEX('1-B Amortization'!$J$4:$J$23,MATCH(1,('1-B Amortization'!$I$4:$I$23=AH7)*('1-B Amortization'!$H$4:$H$23=AH5),0),0)</f>
        <v>-1146127.1345546301</v>
      </c>
      <c r="AI46" s="223" cm="1">
        <f t="array" ref="AI46">INDEX('1-B Amortization'!$J$4:$J$23,MATCH(1,('1-B Amortization'!$I$4:$I$23=AI7)*('1-B Amortization'!$H$4:$H$23=AI5),0),0)</f>
        <v>-1146127.1345546304</v>
      </c>
      <c r="AJ46" s="223" cm="1">
        <f t="array" ref="AJ46">INDEX('1-B Amortization'!$J$4:$J$23,MATCH(1,('1-B Amortization'!$I$4:$I$23=AJ7)*('1-B Amortization'!$H$4:$H$23=AJ5),0),0)</f>
        <v>-1146127.1345546304</v>
      </c>
      <c r="AK46" s="223" cm="1">
        <f t="array" ref="AK46">INDEX('1-B Amortization'!$J$4:$J$23,MATCH(1,('1-B Amortization'!$I$4:$I$23=AK7)*('1-B Amortization'!$H$4:$H$23=AK5),0),0)</f>
        <v>-1146127.1345546304</v>
      </c>
      <c r="AL46" s="223" cm="1">
        <f t="array" ref="AL46">INDEX('1-B Amortization'!$J$4:$J$23,MATCH(1,('1-B Amortization'!$I$4:$I$23=AL7)*('1-B Amortization'!$H$4:$H$23=AL5),0),0)</f>
        <v>-1146127.1345546304</v>
      </c>
      <c r="AM46" s="223" cm="1">
        <f t="array" ref="AM46">INDEX('1-B Amortization'!$J$4:$J$23,MATCH(1,('1-B Amortization'!$I$4:$I$23=AM7)*('1-B Amortization'!$H$4:$H$23=AM5),0),0)</f>
        <v>-1146127.1345546304</v>
      </c>
      <c r="AN46" s="223" cm="1">
        <f t="array" ref="AN46">INDEX('1-B Amortization'!$J$4:$J$23,MATCH(1,('1-B Amortization'!$I$4:$I$23=AN7)*('1-B Amortization'!$H$4:$H$23=AN5),0),0)</f>
        <v>-1146127.1345546301</v>
      </c>
      <c r="AO46" s="223" cm="1">
        <f t="array" ref="AO46">INDEX('1-B Amortization'!$J$4:$J$23,MATCH(1,('1-B Amortization'!$I$4:$I$23=AO7)*('1-B Amortization'!$H$4:$H$23=AO5),0),0)</f>
        <v>-1146127.1345546301</v>
      </c>
      <c r="AP46" s="223" cm="1">
        <f t="array" ref="AP46">INDEX('1-B Amortization'!$J$4:$J$23,MATCH(1,('1-B Amortization'!$I$4:$I$23=AP7)*('1-B Amortization'!$H$4:$H$23=AP5),0),0)</f>
        <v>-1146127.1345546301</v>
      </c>
      <c r="AQ46" s="223" cm="1">
        <f t="array" ref="AQ46">INDEX('1-B Amortization'!$J$4:$J$23,MATCH(1,('1-B Amortization'!$I$4:$I$23=AQ7)*('1-B Amortization'!$H$4:$H$23=AQ5),0),0)</f>
        <v>-1146127.1345546301</v>
      </c>
      <c r="AR46" s="224" cm="1">
        <f t="array" ref="AR46">INDEX('1-B Amortization'!$J$4:$J$23,MATCH(1,('1-B Amortization'!$I$4:$I$23=AR7)*('1-B Amortization'!$H$4:$H$23=AR5),0),0)</f>
        <v>-1146127.1345546301</v>
      </c>
      <c r="AS46" s="223"/>
      <c r="AT46" s="223"/>
      <c r="AU46" s="223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CH46" s="207"/>
      <c r="CI46" s="207"/>
    </row>
    <row r="47" spans="1:87" ht="20.25" customHeight="1">
      <c r="A47" s="207" t="s">
        <v>502</v>
      </c>
      <c r="B47" s="224">
        <f ca="1">-B42</f>
        <v>-65466098.014418274</v>
      </c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N47" s="223"/>
      <c r="AO47" s="223"/>
      <c r="AP47" s="223"/>
      <c r="AQ47" s="223"/>
      <c r="AR47" s="224">
        <f>-'1-B Amortization'!$E$13</f>
        <v>-61787160.793430187</v>
      </c>
      <c r="AS47" s="223"/>
      <c r="AT47" s="223"/>
      <c r="AU47" s="223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CH47" s="207"/>
      <c r="CI47" s="207"/>
    </row>
    <row r="48" spans="1:87" ht="20.25" customHeight="1">
      <c r="A48" s="207" t="s">
        <v>503</v>
      </c>
      <c r="B48" s="224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837">
        <f t="shared" ref="Y48:AR48" si="37">Y45/(-Y46)</f>
        <v>1.5207690898841306</v>
      </c>
      <c r="Z48" s="837">
        <f t="shared" si="37"/>
        <v>1.5207690898841306</v>
      </c>
      <c r="AA48" s="837">
        <f t="shared" si="37"/>
        <v>1.5207690898841306</v>
      </c>
      <c r="AB48" s="837">
        <f t="shared" si="37"/>
        <v>1.5207690898841306</v>
      </c>
      <c r="AC48" s="837">
        <f t="shared" si="37"/>
        <v>1.2792472143749367</v>
      </c>
      <c r="AD48" s="837">
        <f t="shared" si="37"/>
        <v>1.2792472143749367</v>
      </c>
      <c r="AE48" s="837">
        <f t="shared" si="37"/>
        <v>1.2792472143749367</v>
      </c>
      <c r="AF48" s="837">
        <f t="shared" si="37"/>
        <v>1.2792472143749369</v>
      </c>
      <c r="AG48" s="837">
        <f t="shared" si="37"/>
        <v>1.310551729684081</v>
      </c>
      <c r="AH48" s="837">
        <f t="shared" si="37"/>
        <v>1.310551729684081</v>
      </c>
      <c r="AI48" s="837">
        <f t="shared" si="37"/>
        <v>1.3105517296840807</v>
      </c>
      <c r="AJ48" s="837">
        <f t="shared" si="37"/>
        <v>1.3105517296840807</v>
      </c>
      <c r="AK48" s="837">
        <f t="shared" si="37"/>
        <v>1.342622299175503</v>
      </c>
      <c r="AL48" s="837">
        <f t="shared" si="37"/>
        <v>1.342622299175503</v>
      </c>
      <c r="AM48" s="837">
        <f t="shared" si="37"/>
        <v>1.342622299175503</v>
      </c>
      <c r="AN48" s="837">
        <f t="shared" si="37"/>
        <v>1.3426222991755032</v>
      </c>
      <c r="AO48" s="837">
        <f t="shared" si="37"/>
        <v>1.3754776689950687</v>
      </c>
      <c r="AP48" s="837">
        <f t="shared" si="37"/>
        <v>1.3754776689950687</v>
      </c>
      <c r="AQ48" s="837">
        <f t="shared" si="37"/>
        <v>1.3754776689950687</v>
      </c>
      <c r="AR48" s="839">
        <f t="shared" si="37"/>
        <v>1.3754776689950687</v>
      </c>
      <c r="AS48" s="223"/>
      <c r="AT48" s="223"/>
      <c r="AU48" s="223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CH48" s="207"/>
      <c r="CI48" s="207"/>
    </row>
    <row r="49" spans="1:87" s="371" customFormat="1" ht="20.25" customHeight="1">
      <c r="A49" s="371" t="s">
        <v>504</v>
      </c>
      <c r="B49" s="372">
        <f>'1-B Financial'!$D$10</f>
        <v>187045994.32690936</v>
      </c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N49" s="373"/>
      <c r="AO49" s="373"/>
      <c r="AP49" s="373"/>
      <c r="AQ49" s="373"/>
      <c r="AR49" s="372">
        <f>B49</f>
        <v>187045994.32690936</v>
      </c>
      <c r="AS49" s="373"/>
      <c r="AT49" s="373"/>
      <c r="AU49" s="373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</row>
    <row r="50" spans="1:87" s="367" customFormat="1" ht="20.25" customHeight="1">
      <c r="A50" s="1092" t="s">
        <v>505</v>
      </c>
      <c r="B50" s="224">
        <f ca="1">SUM(E50:AR50)</f>
        <v>135043119.44995666</v>
      </c>
      <c r="C50" s="1095"/>
      <c r="D50" s="1095"/>
      <c r="E50" s="1095"/>
      <c r="F50" s="1095"/>
      <c r="G50" s="1095"/>
      <c r="H50" s="1095"/>
      <c r="I50" s="1095"/>
      <c r="J50" s="1095"/>
      <c r="K50" s="1095"/>
      <c r="L50" s="1095"/>
      <c r="M50" s="1095"/>
      <c r="N50" s="1095"/>
      <c r="O50" s="1095"/>
      <c r="P50" s="1095"/>
      <c r="Q50" s="1095"/>
      <c r="R50" s="1095"/>
      <c r="S50" s="1095"/>
      <c r="T50" s="1095"/>
      <c r="U50" s="1095"/>
      <c r="V50" s="1095"/>
      <c r="W50" s="1095"/>
      <c r="X50" s="1095">
        <f ca="1">SUM(X45,X44,X46,X47,X49)</f>
        <v>1827880.7700632464</v>
      </c>
      <c r="Y50" s="1095">
        <f t="shared" ref="Y50:AR50" si="38">SUM(Y45,Y44,Y46,Y47,Y49)</f>
        <v>490082.85404273728</v>
      </c>
      <c r="Z50" s="1095">
        <f t="shared" si="38"/>
        <v>490082.85404273728</v>
      </c>
      <c r="AA50" s="1095">
        <f t="shared" si="38"/>
        <v>490082.85404273728</v>
      </c>
      <c r="AB50" s="1095">
        <f t="shared" si="38"/>
        <v>490082.85404273728</v>
      </c>
      <c r="AC50" s="1095">
        <f t="shared" si="38"/>
        <v>320052.80964390887</v>
      </c>
      <c r="AD50" s="1095">
        <f t="shared" si="38"/>
        <v>320052.80964390887</v>
      </c>
      <c r="AE50" s="1095">
        <f t="shared" si="38"/>
        <v>320052.80964390887</v>
      </c>
      <c r="AF50" s="1095">
        <f t="shared" si="38"/>
        <v>320052.8096439091</v>
      </c>
      <c r="AG50" s="1095">
        <f t="shared" si="38"/>
        <v>355931.76407379983</v>
      </c>
      <c r="AH50" s="1095">
        <f t="shared" si="38"/>
        <v>355931.76407379983</v>
      </c>
      <c r="AI50" s="1095">
        <f t="shared" si="38"/>
        <v>355931.7640737996</v>
      </c>
      <c r="AJ50" s="1095">
        <f t="shared" si="38"/>
        <v>355931.7640737996</v>
      </c>
      <c r="AK50" s="1095">
        <f t="shared" si="38"/>
        <v>392688.7139885386</v>
      </c>
      <c r="AL50" s="1095">
        <f t="shared" si="38"/>
        <v>392688.7139885386</v>
      </c>
      <c r="AM50" s="1095">
        <f t="shared" si="38"/>
        <v>392688.7139885386</v>
      </c>
      <c r="AN50" s="1095">
        <f t="shared" si="38"/>
        <v>392688.71398853883</v>
      </c>
      <c r="AO50" s="1095">
        <f t="shared" si="38"/>
        <v>430345.14485457004</v>
      </c>
      <c r="AP50" s="1095">
        <f t="shared" si="38"/>
        <v>430345.14485457004</v>
      </c>
      <c r="AQ50" s="1095">
        <f t="shared" si="38"/>
        <v>430345.14485457004</v>
      </c>
      <c r="AR50" s="764">
        <f t="shared" si="38"/>
        <v>125689178.67833374</v>
      </c>
      <c r="AS50" s="1095"/>
      <c r="AT50" s="1095"/>
      <c r="AU50" s="1095"/>
      <c r="AV50" s="1093"/>
      <c r="AW50" s="1093"/>
      <c r="AX50" s="1093"/>
      <c r="AY50" s="1093"/>
      <c r="AZ50" s="1093"/>
      <c r="BA50" s="1093"/>
      <c r="BB50" s="1093"/>
      <c r="BC50" s="1093"/>
      <c r="BD50" s="1093"/>
      <c r="BE50" s="1093"/>
      <c r="BF50" s="1093"/>
      <c r="BG50" s="1093"/>
      <c r="BH50" s="1093"/>
      <c r="BI50" s="1093"/>
      <c r="BJ50" s="1093"/>
      <c r="BK50" s="1093"/>
      <c r="BL50" s="1093"/>
      <c r="BM50" s="1093"/>
      <c r="BN50" s="1093"/>
      <c r="BO50" s="1093"/>
      <c r="BP50" s="1093"/>
      <c r="BQ50" s="1093"/>
      <c r="BR50" s="1093"/>
      <c r="BS50" s="1093"/>
      <c r="BT50" s="1093"/>
      <c r="BU50" s="1093"/>
      <c r="BV50" s="1092"/>
      <c r="BW50" s="1092"/>
      <c r="BX50" s="1092"/>
      <c r="BY50" s="1092"/>
      <c r="BZ50" s="1092"/>
      <c r="CA50" s="1092"/>
      <c r="CB50" s="1092"/>
      <c r="CC50" s="1092"/>
      <c r="CD50" s="1092"/>
      <c r="CE50" s="1092"/>
      <c r="CF50" s="1092"/>
      <c r="CG50" s="1092"/>
      <c r="CH50" s="1092"/>
      <c r="CI50" s="1092"/>
    </row>
    <row r="51" spans="1:87" ht="20.25" customHeight="1">
      <c r="B51" s="224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4"/>
      <c r="AS51" s="223"/>
      <c r="AT51" s="223"/>
      <c r="AU51" s="223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CH51" s="207"/>
      <c r="CI51" s="207"/>
    </row>
    <row r="52" spans="1:87" s="238" customFormat="1" ht="20.25" customHeight="1">
      <c r="A52" s="241" t="s">
        <v>506</v>
      </c>
      <c r="B52" s="253"/>
      <c r="C52" s="242"/>
      <c r="D52" s="242"/>
      <c r="E52" s="242"/>
      <c r="F52" s="242"/>
      <c r="G52" s="242"/>
      <c r="H52" s="242"/>
      <c r="I52" s="242"/>
      <c r="J52" s="242"/>
      <c r="K52" s="243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4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T52" s="239"/>
      <c r="BU52" s="239"/>
    </row>
    <row r="53" spans="1:87" ht="20.25" customHeight="1">
      <c r="A53" s="207" t="s">
        <v>507</v>
      </c>
      <c r="B53" s="224">
        <f ca="1">SUM(F53:AR53)</f>
        <v>119703370.02466834</v>
      </c>
      <c r="C53" s="223"/>
      <c r="D53" s="223"/>
      <c r="E53" s="223">
        <f t="shared" ref="E53:AR53" si="39">SUM(-E36,E45,E49)</f>
        <v>0</v>
      </c>
      <c r="F53" s="223">
        <f t="shared" ca="1" si="39"/>
        <v>-321793.53120000003</v>
      </c>
      <c r="G53" s="223">
        <f t="shared" ca="1" si="39"/>
        <v>-321793.53120000003</v>
      </c>
      <c r="H53" s="223">
        <f t="shared" ca="1" si="39"/>
        <v>-321793.53120000003</v>
      </c>
      <c r="I53" s="223">
        <f t="shared" ca="1" si="39"/>
        <v>-321793.53120000003</v>
      </c>
      <c r="J53" s="223">
        <f t="shared" ca="1" si="39"/>
        <v>-1191370.9212</v>
      </c>
      <c r="K53" s="223">
        <f t="shared" ca="1" si="39"/>
        <v>-1937885.3412586695</v>
      </c>
      <c r="L53" s="223">
        <f t="shared" ca="1" si="39"/>
        <v>-1758905.8739129873</v>
      </c>
      <c r="M53" s="223">
        <f t="shared" ca="1" si="39"/>
        <v>-3739589.0657893983</v>
      </c>
      <c r="N53" s="223">
        <f t="shared" ca="1" si="39"/>
        <v>-7888451.3037728267</v>
      </c>
      <c r="O53" s="223">
        <f t="shared" ca="1" si="39"/>
        <v>-13963889.68763479</v>
      </c>
      <c r="P53" s="223">
        <f t="shared" ca="1" si="39"/>
        <v>-18116780.510310497</v>
      </c>
      <c r="Q53" s="223">
        <f t="shared" ca="1" si="39"/>
        <v>-17960353.099310502</v>
      </c>
      <c r="R53" s="223">
        <f t="shared" ca="1" si="39"/>
        <v>-13490462.276634784</v>
      </c>
      <c r="S53" s="223">
        <f t="shared" ca="1" si="39"/>
        <v>-7732023.8927728292</v>
      </c>
      <c r="T53" s="223">
        <f t="shared" ca="1" si="39"/>
        <v>-3583161.654789398</v>
      </c>
      <c r="U53" s="223">
        <f t="shared" ca="1" si="39"/>
        <v>-1702478.4629129879</v>
      </c>
      <c r="V53" s="223">
        <f t="shared" ca="1" si="39"/>
        <v>-1076974.1022586683</v>
      </c>
      <c r="W53" s="223">
        <f t="shared" ca="1" si="39"/>
        <v>-1035931.96</v>
      </c>
      <c r="X53" s="223">
        <f t="shared" ca="1" si="39"/>
        <v>-935931.96</v>
      </c>
      <c r="Y53" s="223">
        <f t="shared" si="39"/>
        <v>1431158.013</v>
      </c>
      <c r="Z53" s="223">
        <f t="shared" si="39"/>
        <v>1431158.013</v>
      </c>
      <c r="AA53" s="223">
        <f t="shared" si="39"/>
        <v>1431158.013</v>
      </c>
      <c r="AB53" s="223">
        <f t="shared" si="39"/>
        <v>1431158.013</v>
      </c>
      <c r="AC53" s="223">
        <f t="shared" si="39"/>
        <v>1466179.9441985392</v>
      </c>
      <c r="AD53" s="223">
        <f t="shared" si="39"/>
        <v>1466179.9441985392</v>
      </c>
      <c r="AE53" s="223">
        <f t="shared" si="39"/>
        <v>1466179.9441985392</v>
      </c>
      <c r="AF53" s="223">
        <f t="shared" si="39"/>
        <v>1466179.9441985392</v>
      </c>
      <c r="AG53" s="223">
        <f t="shared" si="39"/>
        <v>1502058.89862843</v>
      </c>
      <c r="AH53" s="223">
        <f t="shared" si="39"/>
        <v>1502058.89862843</v>
      </c>
      <c r="AI53" s="223">
        <f t="shared" si="39"/>
        <v>1502058.89862843</v>
      </c>
      <c r="AJ53" s="223">
        <f t="shared" si="39"/>
        <v>1502058.89862843</v>
      </c>
      <c r="AK53" s="223">
        <f t="shared" si="39"/>
        <v>1538815.848543169</v>
      </c>
      <c r="AL53" s="223">
        <f t="shared" si="39"/>
        <v>1538815.848543169</v>
      </c>
      <c r="AM53" s="223">
        <f t="shared" si="39"/>
        <v>1538815.848543169</v>
      </c>
      <c r="AN53" s="223">
        <f t="shared" si="39"/>
        <v>1538815.848543169</v>
      </c>
      <c r="AO53" s="223">
        <f t="shared" si="39"/>
        <v>1576472.2794092002</v>
      </c>
      <c r="AP53" s="223">
        <f t="shared" si="39"/>
        <v>1576472.2794092002</v>
      </c>
      <c r="AQ53" s="223">
        <f t="shared" si="39"/>
        <v>1576472.2794092002</v>
      </c>
      <c r="AR53" s="224">
        <f t="shared" si="39"/>
        <v>188622466.60631856</v>
      </c>
      <c r="AS53" s="231"/>
      <c r="BT53" s="209"/>
      <c r="BU53" s="209"/>
      <c r="CH53" s="207"/>
      <c r="CI53" s="207"/>
    </row>
    <row r="54" spans="1:87" ht="20.25" customHeight="1">
      <c r="A54" s="207" t="s">
        <v>508</v>
      </c>
      <c r="B54" s="777">
        <f ca="1">IF(B53&lt;0,0,IRR(F53:AR53))</f>
        <v>3.1084372134304594E-2</v>
      </c>
      <c r="G54" s="223"/>
      <c r="BT54" s="209"/>
      <c r="BU54" s="209"/>
      <c r="CH54" s="207"/>
      <c r="CI54" s="207"/>
    </row>
    <row r="55" spans="1:87" ht="20.25" customHeight="1">
      <c r="A55" s="207" t="s">
        <v>509</v>
      </c>
      <c r="B55" s="368">
        <f ca="1">POWER((1+B54),4)-1</f>
        <v>0.13025599092935924</v>
      </c>
      <c r="G55" s="223"/>
      <c r="BT55" s="209"/>
      <c r="BU55" s="209"/>
      <c r="CH55" s="207"/>
      <c r="CI55" s="207"/>
    </row>
    <row r="56" spans="1:87" s="238" customFormat="1" ht="20.25" customHeight="1">
      <c r="A56" s="241" t="s">
        <v>510</v>
      </c>
      <c r="B56" s="253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6"/>
      <c r="AS56" s="240"/>
      <c r="AT56" s="225"/>
      <c r="AU56" s="225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</row>
    <row r="57" spans="1:87" ht="20.25" customHeight="1">
      <c r="A57" s="207" t="s">
        <v>511</v>
      </c>
      <c r="B57" s="224">
        <f ca="1">SUM(F57:AR57)</f>
        <v>100952641.96688125</v>
      </c>
      <c r="C57" s="223"/>
      <c r="D57" s="223"/>
      <c r="E57" s="223">
        <f t="shared" ref="E57:AR57" si="40">SUM(-E37,E50)</f>
        <v>0</v>
      </c>
      <c r="F57" s="223">
        <f t="shared" ca="1" si="40"/>
        <v>-321793.53120000003</v>
      </c>
      <c r="G57" s="223">
        <f t="shared" ca="1" si="40"/>
        <v>-321793.53120000003</v>
      </c>
      <c r="H57" s="223">
        <f t="shared" ca="1" si="40"/>
        <v>-321793.53120000003</v>
      </c>
      <c r="I57" s="223">
        <f t="shared" ca="1" si="40"/>
        <v>-321793.53120000003</v>
      </c>
      <c r="J57" s="223">
        <f t="shared" ca="1" si="40"/>
        <v>-1191370.9212</v>
      </c>
      <c r="K57" s="223">
        <f t="shared" ca="1" si="40"/>
        <v>-1937885.3412586695</v>
      </c>
      <c r="L57" s="223">
        <f t="shared" ca="1" si="40"/>
        <v>-1758905.8739129873</v>
      </c>
      <c r="M57" s="223">
        <f t="shared" ca="1" si="40"/>
        <v>-3739589.0657893983</v>
      </c>
      <c r="N57" s="223">
        <f t="shared" ca="1" si="40"/>
        <v>-7888451.3037728267</v>
      </c>
      <c r="O57" s="223">
        <f t="shared" ca="1" si="40"/>
        <v>-13963889.68763479</v>
      </c>
      <c r="P57" s="223">
        <f t="shared" ca="1" si="40"/>
        <v>-2323211.1647067368</v>
      </c>
      <c r="Q57" s="223">
        <f t="shared" ca="1" si="40"/>
        <v>0</v>
      </c>
      <c r="R57" s="223">
        <f t="shared" ca="1" si="40"/>
        <v>0</v>
      </c>
      <c r="S57" s="223">
        <f t="shared" ca="1" si="40"/>
        <v>0</v>
      </c>
      <c r="T57" s="223">
        <f t="shared" ca="1" si="40"/>
        <v>0</v>
      </c>
      <c r="U57" s="223">
        <f t="shared" ca="1" si="40"/>
        <v>0</v>
      </c>
      <c r="V57" s="223">
        <f t="shared" ca="1" si="40"/>
        <v>0</v>
      </c>
      <c r="W57" s="223">
        <f t="shared" ca="1" si="40"/>
        <v>0</v>
      </c>
      <c r="X57" s="223">
        <f t="shared" ca="1" si="40"/>
        <v>1827880.7700632464</v>
      </c>
      <c r="Y57" s="223">
        <f t="shared" si="40"/>
        <v>490082.85404273728</v>
      </c>
      <c r="Z57" s="223">
        <f t="shared" si="40"/>
        <v>490082.85404273728</v>
      </c>
      <c r="AA57" s="223">
        <f t="shared" si="40"/>
        <v>490082.85404273728</v>
      </c>
      <c r="AB57" s="223">
        <f t="shared" si="40"/>
        <v>490082.85404273728</v>
      </c>
      <c r="AC57" s="223">
        <f t="shared" si="40"/>
        <v>320052.80964390887</v>
      </c>
      <c r="AD57" s="223">
        <f t="shared" si="40"/>
        <v>320052.80964390887</v>
      </c>
      <c r="AE57" s="223">
        <f t="shared" si="40"/>
        <v>320052.80964390887</v>
      </c>
      <c r="AF57" s="223">
        <f t="shared" si="40"/>
        <v>320052.8096439091</v>
      </c>
      <c r="AG57" s="223">
        <f t="shared" si="40"/>
        <v>355931.76407379983</v>
      </c>
      <c r="AH57" s="223">
        <f t="shared" si="40"/>
        <v>355931.76407379983</v>
      </c>
      <c r="AI57" s="223">
        <f t="shared" si="40"/>
        <v>355931.7640737996</v>
      </c>
      <c r="AJ57" s="223">
        <f t="shared" si="40"/>
        <v>355931.7640737996</v>
      </c>
      <c r="AK57" s="223">
        <f t="shared" si="40"/>
        <v>392688.7139885386</v>
      </c>
      <c r="AL57" s="223">
        <f t="shared" si="40"/>
        <v>392688.7139885386</v>
      </c>
      <c r="AM57" s="223">
        <f t="shared" si="40"/>
        <v>392688.7139885386</v>
      </c>
      <c r="AN57" s="223">
        <f t="shared" si="40"/>
        <v>392688.71398853883</v>
      </c>
      <c r="AO57" s="223">
        <f t="shared" si="40"/>
        <v>430345.14485457004</v>
      </c>
      <c r="AP57" s="223">
        <f t="shared" si="40"/>
        <v>430345.14485457004</v>
      </c>
      <c r="AQ57" s="223">
        <f t="shared" si="40"/>
        <v>430345.14485457004</v>
      </c>
      <c r="AR57" s="224">
        <f t="shared" si="40"/>
        <v>125689178.67833374</v>
      </c>
      <c r="AS57" s="233"/>
      <c r="AT57" s="223"/>
      <c r="AU57" s="223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CH57" s="207"/>
      <c r="CI57" s="207"/>
    </row>
    <row r="58" spans="1:87" ht="20.25" customHeight="1">
      <c r="A58" s="207" t="s">
        <v>512</v>
      </c>
      <c r="B58" s="777">
        <f ca="1">IF(B57&lt;0,0,IRR(F57:AR57))</f>
        <v>4.8438334833488472E-2</v>
      </c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2"/>
      <c r="AT58" s="231"/>
      <c r="AU58" s="231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CH58" s="207"/>
      <c r="CI58" s="207"/>
    </row>
    <row r="59" spans="1:87" ht="20.25" customHeight="1">
      <c r="A59" s="207" t="s">
        <v>377</v>
      </c>
      <c r="B59" s="368">
        <f ca="1">POWER((1+B58),4)-1</f>
        <v>0.20829107610573527</v>
      </c>
      <c r="C59" s="234"/>
      <c r="D59" s="234"/>
      <c r="E59" s="234"/>
      <c r="F59" s="234"/>
      <c r="G59" s="234"/>
      <c r="H59" s="234"/>
      <c r="I59" s="234"/>
      <c r="J59" s="234"/>
      <c r="K59" s="235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6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T59" s="209"/>
      <c r="BU59" s="209"/>
      <c r="CH59" s="207"/>
      <c r="CI59" s="207"/>
    </row>
    <row r="160" spans="2:2">
      <c r="B160" s="370">
        <v>0.06</v>
      </c>
    </row>
    <row r="181" spans="1:7">
      <c r="E181" s="207">
        <f>A98</f>
        <v>0</v>
      </c>
    </row>
    <row r="182" spans="1:7">
      <c r="E182" s="207" t="s">
        <v>513</v>
      </c>
      <c r="F182" s="207" t="s">
        <v>514</v>
      </c>
    </row>
    <row r="183" spans="1:7">
      <c r="A183" s="207" t="s">
        <v>515</v>
      </c>
      <c r="B183" s="208">
        <f>IFERROR(G183/$B$100,0)</f>
        <v>0</v>
      </c>
      <c r="E183" s="207">
        <f>IFERROR(G183/$B$99,0)</f>
        <v>0</v>
      </c>
      <c r="G183" s="207">
        <f>G106</f>
        <v>0</v>
      </c>
    </row>
    <row r="184" spans="1:7">
      <c r="A184" s="207" t="s">
        <v>516</v>
      </c>
      <c r="F184" s="237">
        <f>IFERROR(G184/$B$166,0)</f>
        <v>0</v>
      </c>
      <c r="G184" s="207">
        <f>G166</f>
        <v>0</v>
      </c>
    </row>
    <row r="185" spans="1:7">
      <c r="G185" s="207">
        <f>SUM(G183:G184)</f>
        <v>0</v>
      </c>
    </row>
  </sheetData>
  <mergeCells count="6">
    <mergeCell ref="BG4:BI4"/>
    <mergeCell ref="A2:A4"/>
    <mergeCell ref="E2:G2"/>
    <mergeCell ref="H2:J2"/>
    <mergeCell ref="K2:M2"/>
    <mergeCell ref="BA4:BE4"/>
  </mergeCells>
  <conditionalFormatting sqref="C9:D10">
    <cfRule type="cellIs" dxfId="116" priority="1" operator="equal">
      <formula>#REF!</formula>
    </cfRule>
    <cfRule type="cellIs" dxfId="115" priority="2" operator="equal">
      <formula>#REF!</formula>
    </cfRule>
    <cfRule type="cellIs" dxfId="114" priority="3" operator="equal">
      <formula>#REF!</formula>
    </cfRule>
    <cfRule type="cellIs" dxfId="113" priority="4" operator="equal">
      <formula>#REF!</formula>
    </cfRule>
  </conditionalFormatting>
  <pageMargins left="0.7" right="0.7" top="0.75" bottom="0.75" header="0.3" footer="0.3"/>
  <pageSetup paperSize="3" orientation="landscape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D113F-9833-478F-BE6B-1BFE6DE02E32}">
  <dimension ref="A1:T86"/>
  <sheetViews>
    <sheetView workbookViewId="0">
      <selection activeCell="E3" sqref="E3"/>
    </sheetView>
  </sheetViews>
  <sheetFormatPr defaultRowHeight="14.45"/>
  <cols>
    <col min="2" max="2" width="2" customWidth="1"/>
    <col min="4" max="4" width="10.42578125" bestFit="1" customWidth="1"/>
    <col min="5" max="5" width="15" bestFit="1" customWidth="1"/>
    <col min="6" max="6" width="15" customWidth="1"/>
    <col min="7" max="7" width="15.7109375" bestFit="1" customWidth="1"/>
    <col min="8" max="8" width="15" bestFit="1" customWidth="1"/>
    <col min="9" max="9" width="17.140625" bestFit="1" customWidth="1"/>
    <col min="10" max="10" width="13.5703125" bestFit="1" customWidth="1"/>
    <col min="11" max="11" width="13.5703125" customWidth="1"/>
    <col min="12" max="12" width="15" bestFit="1" customWidth="1"/>
    <col min="13" max="15" width="13.5703125" bestFit="1" customWidth="1"/>
    <col min="18" max="18" width="13.5703125" bestFit="1" customWidth="1"/>
    <col min="20" max="20" width="13.5703125" bestFit="1" customWidth="1"/>
  </cols>
  <sheetData>
    <row r="1" spans="1:13">
      <c r="A1" t="s">
        <v>98</v>
      </c>
    </row>
    <row r="3" spans="1:13">
      <c r="B3" s="778" t="s">
        <v>90</v>
      </c>
      <c r="C3" s="842"/>
      <c r="D3" s="842"/>
      <c r="E3" s="913">
        <f>IFERROR(INDEX(Assumptions!$J$27:$L$36,MATCH(A1,Assumptions!$J$27:$J$36,0),3),0)</f>
        <v>0.35</v>
      </c>
      <c r="F3" s="883"/>
      <c r="H3" s="778" t="s">
        <v>518</v>
      </c>
      <c r="I3" s="1098"/>
      <c r="J3" s="827"/>
      <c r="L3" s="804" t="s">
        <v>519</v>
      </c>
      <c r="M3" s="805"/>
    </row>
    <row r="4" spans="1:13">
      <c r="B4" s="778" t="s">
        <v>520</v>
      </c>
      <c r="C4" s="1099"/>
      <c r="D4" s="779"/>
      <c r="E4" s="780">
        <f>'1-B Financial'!$D$10*E3</f>
        <v>65466098.014418274</v>
      </c>
      <c r="F4" s="823"/>
      <c r="H4" s="832">
        <v>1</v>
      </c>
      <c r="I4" s="831">
        <v>1</v>
      </c>
      <c r="J4" s="791">
        <f>SUMIFS('1-B Amortization'!$K$26:$K$86,'1-B Amortization'!$E$26:$E$86,H4,'1-B Amortization'!$F$26:$F$86,I4)</f>
        <v>-941075.15895726276</v>
      </c>
      <c r="L4" s="806">
        <v>1</v>
      </c>
      <c r="M4" s="791">
        <f t="shared" ref="M4:M13" si="0">SUMIF($E$26:$E$386,L4,$K$26:$K$386)</f>
        <v>-3764300.6358290506</v>
      </c>
    </row>
    <row r="5" spans="1:13">
      <c r="B5" s="1026" t="s">
        <v>521</v>
      </c>
      <c r="C5" s="781"/>
      <c r="D5" s="782"/>
      <c r="E5" s="783">
        <f>'1-B DRAW'!X9+1</f>
        <v>47757</v>
      </c>
      <c r="F5" s="824"/>
      <c r="H5" s="832">
        <v>1</v>
      </c>
      <c r="I5" s="831">
        <v>2</v>
      </c>
      <c r="J5" s="791">
        <f>SUMIFS('1-B Amortization'!$K$26:$K$86,'1-B Amortization'!$E$26:$E$86,H5,'1-B Amortization'!$F$26:$F$86,I5)</f>
        <v>-941075.15895726276</v>
      </c>
      <c r="L5" s="806">
        <f>L4+1</f>
        <v>2</v>
      </c>
      <c r="M5" s="791">
        <f t="shared" si="0"/>
        <v>-4584508.5382185215</v>
      </c>
    </row>
    <row r="6" spans="1:13">
      <c r="B6" s="1026" t="s">
        <v>522</v>
      </c>
      <c r="C6" s="781"/>
      <c r="D6" s="782"/>
      <c r="E6" s="784">
        <f>Assumptions!$L$41</f>
        <v>5</v>
      </c>
      <c r="F6" s="825"/>
      <c r="G6" s="785"/>
      <c r="H6" s="832">
        <v>1</v>
      </c>
      <c r="I6" s="831">
        <v>3</v>
      </c>
      <c r="J6" s="791">
        <f>SUMIFS('1-B Amortization'!$K$26:$K$86,'1-B Amortization'!$E$26:$E$86,H6,'1-B Amortization'!$F$26:$F$86,I6)</f>
        <v>-941075.15895726276</v>
      </c>
      <c r="L6" s="806">
        <f t="shared" ref="L6:L13" si="1">L5+1</f>
        <v>3</v>
      </c>
      <c r="M6" s="791">
        <f t="shared" si="0"/>
        <v>-4584508.5382185215</v>
      </c>
    </row>
    <row r="7" spans="1:13">
      <c r="B7" s="1026" t="s">
        <v>523</v>
      </c>
      <c r="C7" s="781"/>
      <c r="D7" s="782"/>
      <c r="E7" s="803">
        <v>360</v>
      </c>
      <c r="F7" s="826"/>
      <c r="H7" s="832">
        <v>1</v>
      </c>
      <c r="I7" s="831">
        <v>4</v>
      </c>
      <c r="J7" s="791">
        <f>SUMIFS('1-B Amortization'!$K$26:$K$86,'1-B Amortization'!$E$26:$E$86,H7,'1-B Amortization'!$F$26:$F$86,I7)</f>
        <v>-941075.15895726276</v>
      </c>
      <c r="L7" s="806">
        <f t="shared" si="1"/>
        <v>4</v>
      </c>
      <c r="M7" s="791">
        <f t="shared" si="0"/>
        <v>-4584508.5382185215</v>
      </c>
    </row>
    <row r="8" spans="1:13">
      <c r="B8" s="1026" t="s">
        <v>524</v>
      </c>
      <c r="C8" s="781"/>
      <c r="D8" s="782"/>
      <c r="E8" s="801">
        <v>1</v>
      </c>
      <c r="F8" s="786">
        <f>IF(E8="","",VLOOKUP(E8,$C$26:$D$386,2,FALSE))</f>
        <v>47787</v>
      </c>
      <c r="H8" s="832">
        <v>2</v>
      </c>
      <c r="I8" s="831">
        <v>1</v>
      </c>
      <c r="J8" s="791">
        <f>SUMIFS('1-B Amortization'!$K$26:$K$86,'1-B Amortization'!$E$26:$E$86,H8,'1-B Amortization'!$F$26:$F$86,I8)</f>
        <v>-1146127.1345546304</v>
      </c>
      <c r="L8" s="806">
        <f t="shared" si="1"/>
        <v>5</v>
      </c>
      <c r="M8" s="791">
        <f t="shared" si="0"/>
        <v>-4584508.5382185215</v>
      </c>
    </row>
    <row r="9" spans="1:13">
      <c r="B9" s="1026" t="s">
        <v>525</v>
      </c>
      <c r="C9" s="781"/>
      <c r="D9" s="782"/>
      <c r="E9" s="802">
        <v>12</v>
      </c>
      <c r="F9" s="787">
        <f>IF(E9="","",VLOOKUP(E9,$C$26:$D$386,2,FALSE))</f>
        <v>48121</v>
      </c>
      <c r="H9" s="832">
        <v>2</v>
      </c>
      <c r="I9" s="831">
        <v>2</v>
      </c>
      <c r="J9" s="791">
        <f>SUMIFS('1-B Amortization'!$K$26:$K$86,'1-B Amortization'!$E$26:$E$86,H9,'1-B Amortization'!$F$26:$F$86,I9)</f>
        <v>-1146127.1345546304</v>
      </c>
      <c r="L9" s="806">
        <f t="shared" si="1"/>
        <v>6</v>
      </c>
      <c r="M9" s="791">
        <f t="shared" si="0"/>
        <v>0</v>
      </c>
    </row>
    <row r="10" spans="1:13">
      <c r="B10" s="1026" t="s">
        <v>526</v>
      </c>
      <c r="C10" s="781"/>
      <c r="D10" s="782"/>
      <c r="E10" s="788">
        <f>Assumptions!$L6</f>
        <v>5.7500000000000002E-2</v>
      </c>
      <c r="H10" s="832">
        <v>2</v>
      </c>
      <c r="I10" s="831">
        <v>3</v>
      </c>
      <c r="J10" s="791">
        <f>SUMIFS('1-B Amortization'!$K$26:$K$86,'1-B Amortization'!$E$26:$E$86,H10,'1-B Amortization'!$F$26:$F$86,I10)</f>
        <v>-1146127.1345546304</v>
      </c>
      <c r="L10" s="806">
        <f t="shared" si="1"/>
        <v>7</v>
      </c>
      <c r="M10" s="791">
        <f t="shared" si="0"/>
        <v>0</v>
      </c>
    </row>
    <row r="11" spans="1:13">
      <c r="B11" s="1026" t="s">
        <v>527</v>
      </c>
      <c r="C11" s="781"/>
      <c r="D11" s="782"/>
      <c r="E11" s="788">
        <f>Assumptions!$L7</f>
        <v>5.0000000000000001E-3</v>
      </c>
      <c r="F11" s="789">
        <f>E11*E4</f>
        <v>327330.4900720914</v>
      </c>
      <c r="H11" s="832">
        <v>2</v>
      </c>
      <c r="I11" s="831">
        <v>4</v>
      </c>
      <c r="J11" s="791">
        <f>SUMIFS('1-B Amortization'!$K$26:$K$86,'1-B Amortization'!$E$26:$E$86,H11,'1-B Amortization'!$F$26:$F$86,I11)</f>
        <v>-1146127.1345546301</v>
      </c>
      <c r="L11" s="806">
        <f t="shared" si="1"/>
        <v>8</v>
      </c>
      <c r="M11" s="791">
        <f t="shared" si="0"/>
        <v>0</v>
      </c>
    </row>
    <row r="12" spans="1:13">
      <c r="B12" s="1026" t="s">
        <v>528</v>
      </c>
      <c r="C12" s="781"/>
      <c r="D12" s="782"/>
      <c r="E12" s="1027" t="s">
        <v>529</v>
      </c>
      <c r="H12" s="832">
        <v>3</v>
      </c>
      <c r="I12" s="831">
        <v>1</v>
      </c>
      <c r="J12" s="791">
        <f>SUMIFS('1-B Amortization'!$K$26:$K$86,'1-B Amortization'!$E$26:$E$86,H12,'1-B Amortization'!$F$26:$F$86,I12)</f>
        <v>-1146127.1345546301</v>
      </c>
      <c r="L12" s="806">
        <f t="shared" si="1"/>
        <v>9</v>
      </c>
      <c r="M12" s="791">
        <f t="shared" si="0"/>
        <v>0</v>
      </c>
    </row>
    <row r="13" spans="1:13">
      <c r="B13" s="1026" t="s">
        <v>530</v>
      </c>
      <c r="C13" s="781"/>
      <c r="D13" s="782"/>
      <c r="E13" s="791">
        <f>VLOOKUP(MIN(E6*12,E14),$C$26:$L$386,10,FALSE)</f>
        <v>61787160.793430187</v>
      </c>
      <c r="H13" s="832">
        <v>3</v>
      </c>
      <c r="I13" s="831">
        <v>2</v>
      </c>
      <c r="J13" s="791">
        <f>SUMIFS('1-B Amortization'!$K$26:$K$86,'1-B Amortization'!$E$26:$E$86,H13,'1-B Amortization'!$F$26:$F$86,I13)</f>
        <v>-1146127.1345546301</v>
      </c>
      <c r="L13" s="807">
        <f t="shared" si="1"/>
        <v>10</v>
      </c>
      <c r="M13" s="808">
        <f t="shared" si="0"/>
        <v>0</v>
      </c>
    </row>
    <row r="14" spans="1:13">
      <c r="B14" s="792" t="s">
        <v>531</v>
      </c>
      <c r="C14" s="793"/>
      <c r="D14" s="794"/>
      <c r="E14" s="790">
        <f>E6*12</f>
        <v>60</v>
      </c>
      <c r="F14" s="795"/>
      <c r="H14" s="832">
        <v>3</v>
      </c>
      <c r="I14" s="831">
        <v>3</v>
      </c>
      <c r="J14" s="791">
        <f>SUMIFS('1-B Amortization'!$K$26:$K$86,'1-B Amortization'!$E$26:$E$86,H14,'1-B Amortization'!$F$26:$F$86,I14)</f>
        <v>-1146127.1345546304</v>
      </c>
      <c r="K14" s="809"/>
    </row>
    <row r="15" spans="1:13">
      <c r="H15" s="832">
        <v>3</v>
      </c>
      <c r="I15" s="831">
        <v>4</v>
      </c>
      <c r="J15" s="791">
        <f>SUMIFS('1-B Amortization'!$K$26:$K$86,'1-B Amortization'!$E$26:$E$86,H15,'1-B Amortization'!$F$26:$F$86,I15)</f>
        <v>-1146127.1345546304</v>
      </c>
      <c r="K15" s="809"/>
    </row>
    <row r="16" spans="1:13">
      <c r="H16" s="832">
        <v>4</v>
      </c>
      <c r="I16" s="831">
        <v>1</v>
      </c>
      <c r="J16" s="791">
        <f>SUMIFS('1-B Amortization'!$K$26:$K$86,'1-B Amortization'!$E$26:$E$86,H16,'1-B Amortization'!$F$26:$F$86,I16)</f>
        <v>-1146127.1345546304</v>
      </c>
      <c r="K16" s="809"/>
    </row>
    <row r="17" spans="3:20">
      <c r="H17" s="832">
        <v>4</v>
      </c>
      <c r="I17" s="831">
        <v>2</v>
      </c>
      <c r="J17" s="791">
        <f>SUMIFS('1-B Amortization'!$K$26:$K$86,'1-B Amortization'!$E$26:$E$86,H17,'1-B Amortization'!$F$26:$F$86,I17)</f>
        <v>-1146127.1345546304</v>
      </c>
      <c r="K17" s="809"/>
    </row>
    <row r="18" spans="3:20">
      <c r="H18" s="832">
        <v>4</v>
      </c>
      <c r="I18" s="831">
        <v>3</v>
      </c>
      <c r="J18" s="791">
        <f>SUMIFS('1-B Amortization'!$K$26:$K$86,'1-B Amortization'!$E$26:$E$86,H18,'1-B Amortization'!$F$26:$F$86,I18)</f>
        <v>-1146127.1345546304</v>
      </c>
      <c r="K18" s="809"/>
    </row>
    <row r="19" spans="3:20">
      <c r="H19" s="832">
        <v>4</v>
      </c>
      <c r="I19" s="831">
        <v>4</v>
      </c>
      <c r="J19" s="791">
        <f>SUMIFS('1-B Amortization'!$K$26:$K$86,'1-B Amortization'!$E$26:$E$86,H19,'1-B Amortization'!$F$26:$F$86,I19)</f>
        <v>-1146127.1345546301</v>
      </c>
      <c r="K19" s="809"/>
    </row>
    <row r="20" spans="3:20">
      <c r="H20" s="832">
        <v>5</v>
      </c>
      <c r="I20" s="831">
        <v>1</v>
      </c>
      <c r="J20" s="791">
        <f>SUMIFS('1-B Amortization'!$K$26:$K$86,'1-B Amortization'!$E$26:$E$86,H20,'1-B Amortization'!$F$26:$F$86,I20)</f>
        <v>-1146127.1345546301</v>
      </c>
      <c r="K20" s="809"/>
    </row>
    <row r="21" spans="3:20">
      <c r="H21" s="832">
        <v>5</v>
      </c>
      <c r="I21" s="831">
        <v>2</v>
      </c>
      <c r="J21" s="791">
        <f>SUMIFS('1-B Amortization'!$K$26:$K$86,'1-B Amortization'!$E$26:$E$86,H21,'1-B Amortization'!$F$26:$F$86,I21)</f>
        <v>-1146127.1345546301</v>
      </c>
      <c r="K21" s="809"/>
    </row>
    <row r="22" spans="3:20">
      <c r="H22" s="832">
        <v>5</v>
      </c>
      <c r="I22" s="831">
        <v>3</v>
      </c>
      <c r="J22" s="791">
        <f>SUMIFS('1-B Amortization'!$K$26:$K$86,'1-B Amortization'!$E$26:$E$86,H22,'1-B Amortization'!$F$26:$F$86,I22)</f>
        <v>-1146127.1345546301</v>
      </c>
      <c r="K22" s="809"/>
    </row>
    <row r="23" spans="3:20">
      <c r="H23" s="833">
        <v>5</v>
      </c>
      <c r="I23" s="834">
        <v>4</v>
      </c>
      <c r="J23" s="808">
        <f>SUMIFS('1-B Amortization'!$K$26:$K$86,'1-B Amortization'!$E$26:$E$86,H23,'1-B Amortization'!$F$26:$F$86,I23)</f>
        <v>-1146127.1345546301</v>
      </c>
      <c r="K23" s="809"/>
    </row>
    <row r="24" spans="3:20">
      <c r="R24" s="809"/>
      <c r="T24" s="809"/>
    </row>
    <row r="25" spans="3:20" ht="15" thickBot="1">
      <c r="C25" s="811" t="s">
        <v>532</v>
      </c>
      <c r="D25" s="812" t="s">
        <v>533</v>
      </c>
      <c r="E25" s="812" t="s">
        <v>534</v>
      </c>
      <c r="F25" s="1100" t="s">
        <v>535</v>
      </c>
      <c r="G25" s="1100" t="s">
        <v>536</v>
      </c>
      <c r="H25" s="812" t="s">
        <v>537</v>
      </c>
      <c r="I25" s="812" t="s">
        <v>538</v>
      </c>
      <c r="J25" s="812" t="s">
        <v>520</v>
      </c>
      <c r="K25" s="812" t="s">
        <v>539</v>
      </c>
      <c r="L25" s="813" t="s">
        <v>540</v>
      </c>
    </row>
    <row r="26" spans="3:20">
      <c r="C26" s="796">
        <v>0</v>
      </c>
      <c r="D26" s="797">
        <f>E5</f>
        <v>47757</v>
      </c>
      <c r="E26" s="798">
        <f>ROUNDUP(C26/12,0)</f>
        <v>0</v>
      </c>
      <c r="F26" s="798"/>
      <c r="G26" s="799"/>
      <c r="I26" s="809"/>
      <c r="K26" s="809">
        <f t="shared" ref="K26:K86" si="2">SUM(I26:J26)</f>
        <v>0</v>
      </c>
      <c r="L26" s="791">
        <f t="shared" ref="L26:L57" si="3">IF(C26=0,$E$4,H26+J26)</f>
        <v>65466098.014418274</v>
      </c>
    </row>
    <row r="27" spans="3:20" ht="15" customHeight="1">
      <c r="C27" s="814">
        <f>C26+1</f>
        <v>1</v>
      </c>
      <c r="D27" s="815">
        <f t="shared" ref="D27:D58" si="4">EOMONTH($E$5,C27-1)</f>
        <v>47787</v>
      </c>
      <c r="E27" s="800">
        <f t="shared" ref="E27:E86" si="5">ROUNDUP(C27/12,0)</f>
        <v>1</v>
      </c>
      <c r="F27" s="800">
        <f>CHOOSE(MONTH(D27), 2, 2, 2, 3, 3, 3, 4, 4, 4, 1, 1, 1)</f>
        <v>1</v>
      </c>
      <c r="G27" s="816" t="str">
        <f>IF($E$12="NO",G26+1,
IF(OR(D27&lt;$F$8,D27&gt;$F$9),MAX($G$26:G26)+1,""))</f>
        <v/>
      </c>
      <c r="H27" s="809">
        <f t="shared" ref="H27:H58" si="6">IF(OR(E27&gt;$E$6,C27&gt;$E$14),0,L26)</f>
        <v>65466098.014418274</v>
      </c>
      <c r="I27" s="809">
        <f t="shared" ref="I27:I58" si="7">IF(OR(E27&gt;$E$6*12,C27&gt;$E$14),0,-H27*$E$10/12)</f>
        <v>-313691.7196524209</v>
      </c>
      <c r="J27" s="817">
        <f t="shared" ref="J27:J58" si="8">IF(OR(E27&gt;$E$6,C27&gt;$E$14),0,
IF(AND($E$8&lt;&gt;OR(0,""),$E$9&lt;&gt;OR(0,""),C27&gt;=$E$8,C27&lt;=$E$9),0,PPMT($E$10/12,IF($E$12="YES",G27,C27),$E$7,$E$4)))</f>
        <v>0</v>
      </c>
      <c r="K27" s="809">
        <f t="shared" si="2"/>
        <v>-313691.7196524209</v>
      </c>
      <c r="L27" s="791">
        <f t="shared" si="3"/>
        <v>65466098.014418274</v>
      </c>
    </row>
    <row r="28" spans="3:20">
      <c r="C28" s="814">
        <f t="shared" ref="C28:C86" si="9">C27+1</f>
        <v>2</v>
      </c>
      <c r="D28" s="815">
        <f t="shared" si="4"/>
        <v>47817</v>
      </c>
      <c r="E28" s="800">
        <f t="shared" si="5"/>
        <v>1</v>
      </c>
      <c r="F28" s="800">
        <f t="shared" ref="F28:F86" si="10">CHOOSE(MONTH(D28), 2, 2, 2, 3, 3, 3, 4, 4, 4, 1, 1, 1)</f>
        <v>1</v>
      </c>
      <c r="G28" s="816" t="str">
        <f>IF($E$12="NO",G27+1,
IF(OR(D28&lt;$F$8,D28&gt;$F$9),MAX($G$26:G27)+1,""))</f>
        <v/>
      </c>
      <c r="H28" s="809">
        <f t="shared" si="6"/>
        <v>65466098.014418274</v>
      </c>
      <c r="I28" s="809">
        <f t="shared" si="7"/>
        <v>-313691.7196524209</v>
      </c>
      <c r="J28" s="817">
        <f t="shared" si="8"/>
        <v>0</v>
      </c>
      <c r="K28" s="809">
        <f t="shared" si="2"/>
        <v>-313691.7196524209</v>
      </c>
      <c r="L28" s="791">
        <f t="shared" si="3"/>
        <v>65466098.014418274</v>
      </c>
    </row>
    <row r="29" spans="3:20">
      <c r="C29" s="814">
        <f t="shared" si="9"/>
        <v>3</v>
      </c>
      <c r="D29" s="815">
        <f t="shared" si="4"/>
        <v>47848</v>
      </c>
      <c r="E29" s="800">
        <f t="shared" si="5"/>
        <v>1</v>
      </c>
      <c r="F29" s="800">
        <f t="shared" si="10"/>
        <v>1</v>
      </c>
      <c r="G29" s="816" t="str">
        <f>IF($E$12="NO",G28+1,
IF(OR(D29&lt;$F$8,D29&gt;$F$9),MAX($G$26:G28)+1,""))</f>
        <v/>
      </c>
      <c r="H29" s="809">
        <f t="shared" si="6"/>
        <v>65466098.014418274</v>
      </c>
      <c r="I29" s="809">
        <f t="shared" si="7"/>
        <v>-313691.7196524209</v>
      </c>
      <c r="J29" s="817">
        <f t="shared" si="8"/>
        <v>0</v>
      </c>
      <c r="K29" s="809">
        <f t="shared" si="2"/>
        <v>-313691.7196524209</v>
      </c>
      <c r="L29" s="791">
        <f t="shared" si="3"/>
        <v>65466098.014418274</v>
      </c>
    </row>
    <row r="30" spans="3:20">
      <c r="C30" s="814">
        <f t="shared" si="9"/>
        <v>4</v>
      </c>
      <c r="D30" s="815">
        <f t="shared" si="4"/>
        <v>47879</v>
      </c>
      <c r="E30" s="800">
        <f t="shared" si="5"/>
        <v>1</v>
      </c>
      <c r="F30" s="800">
        <f t="shared" si="10"/>
        <v>2</v>
      </c>
      <c r="G30" s="816" t="str">
        <f>IF($E$12="NO",G29+1,
IF(OR(D30&lt;$F$8,D30&gt;$F$9),MAX($G$26:G29)+1,""))</f>
        <v/>
      </c>
      <c r="H30" s="809">
        <f t="shared" si="6"/>
        <v>65466098.014418274</v>
      </c>
      <c r="I30" s="809">
        <f t="shared" si="7"/>
        <v>-313691.7196524209</v>
      </c>
      <c r="J30" s="817">
        <f t="shared" si="8"/>
        <v>0</v>
      </c>
      <c r="K30" s="809">
        <f t="shared" si="2"/>
        <v>-313691.7196524209</v>
      </c>
      <c r="L30" s="791">
        <f t="shared" si="3"/>
        <v>65466098.014418274</v>
      </c>
    </row>
    <row r="31" spans="3:20">
      <c r="C31" s="814">
        <f t="shared" si="9"/>
        <v>5</v>
      </c>
      <c r="D31" s="815">
        <f t="shared" si="4"/>
        <v>47907</v>
      </c>
      <c r="E31" s="800">
        <f t="shared" si="5"/>
        <v>1</v>
      </c>
      <c r="F31" s="800">
        <f t="shared" si="10"/>
        <v>2</v>
      </c>
      <c r="G31" s="816" t="str">
        <f>IF($E$12="NO",G30+1,
IF(OR(D31&lt;$F$8,D31&gt;$F$9),MAX($G$26:G30)+1,""))</f>
        <v/>
      </c>
      <c r="H31" s="809">
        <f t="shared" si="6"/>
        <v>65466098.014418274</v>
      </c>
      <c r="I31" s="809">
        <f t="shared" si="7"/>
        <v>-313691.7196524209</v>
      </c>
      <c r="J31" s="817">
        <f t="shared" si="8"/>
        <v>0</v>
      </c>
      <c r="K31" s="809">
        <f t="shared" si="2"/>
        <v>-313691.7196524209</v>
      </c>
      <c r="L31" s="791">
        <f t="shared" si="3"/>
        <v>65466098.014418274</v>
      </c>
    </row>
    <row r="32" spans="3:20">
      <c r="C32" s="814">
        <f t="shared" si="9"/>
        <v>6</v>
      </c>
      <c r="D32" s="815">
        <f t="shared" si="4"/>
        <v>47938</v>
      </c>
      <c r="E32" s="800">
        <f t="shared" si="5"/>
        <v>1</v>
      </c>
      <c r="F32" s="800">
        <f t="shared" si="10"/>
        <v>2</v>
      </c>
      <c r="G32" s="816" t="str">
        <f>IF($E$12="NO",G31+1,
IF(OR(D32&lt;$F$8,D32&gt;$F$9),MAX($G$26:G31)+1,""))</f>
        <v/>
      </c>
      <c r="H32" s="809">
        <f t="shared" si="6"/>
        <v>65466098.014418274</v>
      </c>
      <c r="I32" s="809">
        <f t="shared" si="7"/>
        <v>-313691.7196524209</v>
      </c>
      <c r="J32" s="817">
        <f t="shared" si="8"/>
        <v>0</v>
      </c>
      <c r="K32" s="809">
        <f t="shared" si="2"/>
        <v>-313691.7196524209</v>
      </c>
      <c r="L32" s="791">
        <f t="shared" si="3"/>
        <v>65466098.014418274</v>
      </c>
    </row>
    <row r="33" spans="3:12">
      <c r="C33" s="814">
        <f t="shared" si="9"/>
        <v>7</v>
      </c>
      <c r="D33" s="815">
        <f t="shared" si="4"/>
        <v>47968</v>
      </c>
      <c r="E33" s="800">
        <f t="shared" si="5"/>
        <v>1</v>
      </c>
      <c r="F33" s="800">
        <f t="shared" si="10"/>
        <v>3</v>
      </c>
      <c r="G33" s="816" t="str">
        <f>IF($E$12="NO",G32+1,
IF(OR(D33&lt;$F$8,D33&gt;$F$9),MAX($G$26:G32)+1,""))</f>
        <v/>
      </c>
      <c r="H33" s="809">
        <f t="shared" si="6"/>
        <v>65466098.014418274</v>
      </c>
      <c r="I33" s="809">
        <f t="shared" si="7"/>
        <v>-313691.7196524209</v>
      </c>
      <c r="J33" s="817">
        <f t="shared" si="8"/>
        <v>0</v>
      </c>
      <c r="K33" s="809">
        <f t="shared" si="2"/>
        <v>-313691.7196524209</v>
      </c>
      <c r="L33" s="791">
        <f t="shared" si="3"/>
        <v>65466098.014418274</v>
      </c>
    </row>
    <row r="34" spans="3:12">
      <c r="C34" s="814">
        <f t="shared" si="9"/>
        <v>8</v>
      </c>
      <c r="D34" s="815">
        <f t="shared" si="4"/>
        <v>47999</v>
      </c>
      <c r="E34" s="800">
        <f t="shared" si="5"/>
        <v>1</v>
      </c>
      <c r="F34" s="800">
        <f t="shared" si="10"/>
        <v>3</v>
      </c>
      <c r="G34" s="816" t="str">
        <f>IF($E$12="NO",G33+1,
IF(OR(D34&lt;$F$8,D34&gt;$F$9),MAX($G$26:G33)+1,""))</f>
        <v/>
      </c>
      <c r="H34" s="809">
        <f t="shared" si="6"/>
        <v>65466098.014418274</v>
      </c>
      <c r="I34" s="809">
        <f t="shared" si="7"/>
        <v>-313691.7196524209</v>
      </c>
      <c r="J34" s="817">
        <f t="shared" si="8"/>
        <v>0</v>
      </c>
      <c r="K34" s="809">
        <f t="shared" si="2"/>
        <v>-313691.7196524209</v>
      </c>
      <c r="L34" s="791">
        <f t="shared" si="3"/>
        <v>65466098.014418274</v>
      </c>
    </row>
    <row r="35" spans="3:12">
      <c r="C35" s="814">
        <f t="shared" si="9"/>
        <v>9</v>
      </c>
      <c r="D35" s="815">
        <f t="shared" si="4"/>
        <v>48029</v>
      </c>
      <c r="E35" s="800">
        <f t="shared" si="5"/>
        <v>1</v>
      </c>
      <c r="F35" s="800">
        <f t="shared" si="10"/>
        <v>3</v>
      </c>
      <c r="G35" s="816" t="str">
        <f>IF($E$12="NO",G34+1,
IF(OR(D35&lt;$F$8,D35&gt;$F$9),MAX($G$26:G34)+1,""))</f>
        <v/>
      </c>
      <c r="H35" s="809">
        <f t="shared" si="6"/>
        <v>65466098.014418274</v>
      </c>
      <c r="I35" s="809">
        <f t="shared" si="7"/>
        <v>-313691.7196524209</v>
      </c>
      <c r="J35" s="817">
        <f t="shared" si="8"/>
        <v>0</v>
      </c>
      <c r="K35" s="809">
        <f t="shared" si="2"/>
        <v>-313691.7196524209</v>
      </c>
      <c r="L35" s="791">
        <f t="shared" si="3"/>
        <v>65466098.014418274</v>
      </c>
    </row>
    <row r="36" spans="3:12">
      <c r="C36" s="814">
        <f t="shared" si="9"/>
        <v>10</v>
      </c>
      <c r="D36" s="815">
        <f t="shared" si="4"/>
        <v>48060</v>
      </c>
      <c r="E36" s="800">
        <f t="shared" si="5"/>
        <v>1</v>
      </c>
      <c r="F36" s="800">
        <f t="shared" si="10"/>
        <v>4</v>
      </c>
      <c r="G36" s="816" t="str">
        <f>IF($E$12="NO",G35+1,
IF(OR(D36&lt;$F$8,D36&gt;$F$9),MAX($G$26:G35)+1,""))</f>
        <v/>
      </c>
      <c r="H36" s="809">
        <f t="shared" si="6"/>
        <v>65466098.014418274</v>
      </c>
      <c r="I36" s="809">
        <f t="shared" si="7"/>
        <v>-313691.7196524209</v>
      </c>
      <c r="J36" s="817">
        <f t="shared" si="8"/>
        <v>0</v>
      </c>
      <c r="K36" s="809">
        <f t="shared" si="2"/>
        <v>-313691.7196524209</v>
      </c>
      <c r="L36" s="791">
        <f t="shared" si="3"/>
        <v>65466098.014418274</v>
      </c>
    </row>
    <row r="37" spans="3:12">
      <c r="C37" s="814">
        <f t="shared" si="9"/>
        <v>11</v>
      </c>
      <c r="D37" s="815">
        <f t="shared" si="4"/>
        <v>48091</v>
      </c>
      <c r="E37" s="800">
        <f t="shared" si="5"/>
        <v>1</v>
      </c>
      <c r="F37" s="800">
        <f t="shared" si="10"/>
        <v>4</v>
      </c>
      <c r="G37" s="816" t="str">
        <f>IF($E$12="NO",G36+1,
IF(OR(D37&lt;$F$8,D37&gt;$F$9),MAX($G$26:G36)+1,""))</f>
        <v/>
      </c>
      <c r="H37" s="809">
        <f t="shared" si="6"/>
        <v>65466098.014418274</v>
      </c>
      <c r="I37" s="809">
        <f t="shared" si="7"/>
        <v>-313691.7196524209</v>
      </c>
      <c r="J37" s="817">
        <f t="shared" si="8"/>
        <v>0</v>
      </c>
      <c r="K37" s="809">
        <f t="shared" si="2"/>
        <v>-313691.7196524209</v>
      </c>
      <c r="L37" s="791">
        <f t="shared" si="3"/>
        <v>65466098.014418274</v>
      </c>
    </row>
    <row r="38" spans="3:12">
      <c r="C38" s="814">
        <f t="shared" si="9"/>
        <v>12</v>
      </c>
      <c r="D38" s="815">
        <f t="shared" si="4"/>
        <v>48121</v>
      </c>
      <c r="E38" s="800">
        <f t="shared" si="5"/>
        <v>1</v>
      </c>
      <c r="F38" s="800">
        <f t="shared" si="10"/>
        <v>4</v>
      </c>
      <c r="G38" s="816" t="str">
        <f>IF($E$12="NO",G37+1,
IF(OR(D38&lt;$F$8,D38&gt;$F$9),MAX($G$26:G37)+1,""))</f>
        <v/>
      </c>
      <c r="H38" s="809">
        <f t="shared" si="6"/>
        <v>65466098.014418274</v>
      </c>
      <c r="I38" s="809">
        <f t="shared" si="7"/>
        <v>-313691.7196524209</v>
      </c>
      <c r="J38" s="817">
        <f t="shared" si="8"/>
        <v>0</v>
      </c>
      <c r="K38" s="809">
        <f t="shared" si="2"/>
        <v>-313691.7196524209</v>
      </c>
      <c r="L38" s="791">
        <f t="shared" si="3"/>
        <v>65466098.014418274</v>
      </c>
    </row>
    <row r="39" spans="3:12">
      <c r="C39" s="814">
        <f t="shared" si="9"/>
        <v>13</v>
      </c>
      <c r="D39" s="815">
        <f t="shared" si="4"/>
        <v>48152</v>
      </c>
      <c r="E39" s="800">
        <f t="shared" si="5"/>
        <v>2</v>
      </c>
      <c r="F39" s="800">
        <f t="shared" si="10"/>
        <v>1</v>
      </c>
      <c r="G39" s="816">
        <f>IF($E$12="NO",G38+1,
IF(OR(D39&lt;$F$8,D39&gt;$F$9),MAX($G$26:G38)+1,""))</f>
        <v>1</v>
      </c>
      <c r="H39" s="809">
        <f t="shared" si="6"/>
        <v>65466098.014418274</v>
      </c>
      <c r="I39" s="809">
        <f t="shared" si="7"/>
        <v>-313691.7196524209</v>
      </c>
      <c r="J39" s="817">
        <f t="shared" si="8"/>
        <v>-68350.658532455884</v>
      </c>
      <c r="K39" s="809">
        <f t="shared" si="2"/>
        <v>-382042.37818487675</v>
      </c>
      <c r="L39" s="791">
        <f t="shared" si="3"/>
        <v>65397747.355885819</v>
      </c>
    </row>
    <row r="40" spans="3:12">
      <c r="C40" s="814">
        <f t="shared" si="9"/>
        <v>14</v>
      </c>
      <c r="D40" s="815">
        <f t="shared" si="4"/>
        <v>48182</v>
      </c>
      <c r="E40" s="800">
        <f t="shared" si="5"/>
        <v>2</v>
      </c>
      <c r="F40" s="800">
        <f t="shared" si="10"/>
        <v>1</v>
      </c>
      <c r="G40" s="816">
        <f>IF($E$12="NO",G39+1,
IF(OR(D40&lt;$F$8,D40&gt;$F$9),MAX($G$26:G39)+1,""))</f>
        <v>2</v>
      </c>
      <c r="H40" s="809">
        <f t="shared" si="6"/>
        <v>65397747.355885819</v>
      </c>
      <c r="I40" s="809">
        <f t="shared" si="7"/>
        <v>-313364.20608028624</v>
      </c>
      <c r="J40" s="817">
        <f t="shared" si="8"/>
        <v>-68678.172104590558</v>
      </c>
      <c r="K40" s="809">
        <f t="shared" si="2"/>
        <v>-382042.37818487681</v>
      </c>
      <c r="L40" s="791">
        <f t="shared" si="3"/>
        <v>65329069.183781229</v>
      </c>
    </row>
    <row r="41" spans="3:12">
      <c r="C41" s="814">
        <f t="shared" si="9"/>
        <v>15</v>
      </c>
      <c r="D41" s="815">
        <f t="shared" si="4"/>
        <v>48213</v>
      </c>
      <c r="E41" s="800">
        <f t="shared" si="5"/>
        <v>2</v>
      </c>
      <c r="F41" s="800">
        <f t="shared" si="10"/>
        <v>1</v>
      </c>
      <c r="G41" s="816">
        <f>IF($E$12="NO",G40+1,
IF(OR(D41&lt;$F$8,D41&gt;$F$9),MAX($G$26:G40)+1,""))</f>
        <v>3</v>
      </c>
      <c r="H41" s="809">
        <f t="shared" si="6"/>
        <v>65329069.183781229</v>
      </c>
      <c r="I41" s="809">
        <f t="shared" si="7"/>
        <v>-313035.12317228509</v>
      </c>
      <c r="J41" s="817">
        <f t="shared" si="8"/>
        <v>-69007.255012591733</v>
      </c>
      <c r="K41" s="809">
        <f t="shared" si="2"/>
        <v>-382042.37818487681</v>
      </c>
      <c r="L41" s="791">
        <f t="shared" si="3"/>
        <v>65260061.928768635</v>
      </c>
    </row>
    <row r="42" spans="3:12">
      <c r="C42" s="814">
        <f t="shared" si="9"/>
        <v>16</v>
      </c>
      <c r="D42" s="815">
        <f t="shared" si="4"/>
        <v>48244</v>
      </c>
      <c r="E42" s="800">
        <f t="shared" si="5"/>
        <v>2</v>
      </c>
      <c r="F42" s="800">
        <f t="shared" si="10"/>
        <v>2</v>
      </c>
      <c r="G42" s="816">
        <f>IF($E$12="NO",G41+1,
IF(OR(D42&lt;$F$8,D42&gt;$F$9),MAX($G$26:G41)+1,""))</f>
        <v>4</v>
      </c>
      <c r="H42" s="809">
        <f t="shared" si="6"/>
        <v>65260061.928768635</v>
      </c>
      <c r="I42" s="809">
        <f t="shared" si="7"/>
        <v>-312704.46340868302</v>
      </c>
      <c r="J42" s="817">
        <f t="shared" si="8"/>
        <v>-69337.914776193749</v>
      </c>
      <c r="K42" s="809">
        <f t="shared" si="2"/>
        <v>-382042.37818487675</v>
      </c>
      <c r="L42" s="791">
        <f t="shared" si="3"/>
        <v>65190724.013992444</v>
      </c>
    </row>
    <row r="43" spans="3:12">
      <c r="C43" s="814">
        <f t="shared" si="9"/>
        <v>17</v>
      </c>
      <c r="D43" s="815">
        <f t="shared" si="4"/>
        <v>48273</v>
      </c>
      <c r="E43" s="800">
        <f t="shared" si="5"/>
        <v>2</v>
      </c>
      <c r="F43" s="800">
        <f t="shared" si="10"/>
        <v>2</v>
      </c>
      <c r="G43" s="816">
        <f>IF($E$12="NO",G42+1,
IF(OR(D43&lt;$F$8,D43&gt;$F$9),MAX($G$26:G42)+1,""))</f>
        <v>5</v>
      </c>
      <c r="H43" s="809">
        <f t="shared" si="6"/>
        <v>65190724.013992444</v>
      </c>
      <c r="I43" s="809">
        <f t="shared" si="7"/>
        <v>-312372.21923371381</v>
      </c>
      <c r="J43" s="817">
        <f t="shared" si="8"/>
        <v>-69670.158951163001</v>
      </c>
      <c r="K43" s="809">
        <f t="shared" si="2"/>
        <v>-382042.37818487681</v>
      </c>
      <c r="L43" s="791">
        <f t="shared" si="3"/>
        <v>65121053.85504128</v>
      </c>
    </row>
    <row r="44" spans="3:12">
      <c r="C44" s="814">
        <f t="shared" si="9"/>
        <v>18</v>
      </c>
      <c r="D44" s="815">
        <f t="shared" si="4"/>
        <v>48304</v>
      </c>
      <c r="E44" s="800">
        <f t="shared" si="5"/>
        <v>2</v>
      </c>
      <c r="F44" s="800">
        <f t="shared" si="10"/>
        <v>2</v>
      </c>
      <c r="G44" s="816">
        <f>IF($E$12="NO",G43+1,
IF(OR(D44&lt;$F$8,D44&gt;$F$9),MAX($G$26:G43)+1,""))</f>
        <v>6</v>
      </c>
      <c r="H44" s="809">
        <f t="shared" si="6"/>
        <v>65121053.85504128</v>
      </c>
      <c r="I44" s="809">
        <f t="shared" si="7"/>
        <v>-312038.38305540616</v>
      </c>
      <c r="J44" s="817">
        <f t="shared" si="8"/>
        <v>-70003.995129470655</v>
      </c>
      <c r="K44" s="809">
        <f t="shared" si="2"/>
        <v>-382042.37818487681</v>
      </c>
      <c r="L44" s="791">
        <f t="shared" si="3"/>
        <v>65051049.859911807</v>
      </c>
    </row>
    <row r="45" spans="3:12">
      <c r="C45" s="814">
        <f t="shared" si="9"/>
        <v>19</v>
      </c>
      <c r="D45" s="815">
        <f t="shared" si="4"/>
        <v>48334</v>
      </c>
      <c r="E45" s="800">
        <f t="shared" si="5"/>
        <v>2</v>
      </c>
      <c r="F45" s="800">
        <f t="shared" si="10"/>
        <v>3</v>
      </c>
      <c r="G45" s="816">
        <f>IF($E$12="NO",G44+1,
IF(OR(D45&lt;$F$8,D45&gt;$F$9),MAX($G$26:G44)+1,""))</f>
        <v>7</v>
      </c>
      <c r="H45" s="809">
        <f t="shared" si="6"/>
        <v>65051049.859911807</v>
      </c>
      <c r="I45" s="809">
        <f t="shared" si="7"/>
        <v>-311702.94724541076</v>
      </c>
      <c r="J45" s="817">
        <f t="shared" si="8"/>
        <v>-70339.430939466038</v>
      </c>
      <c r="K45" s="809">
        <f t="shared" si="2"/>
        <v>-382042.37818487681</v>
      </c>
      <c r="L45" s="791">
        <f t="shared" si="3"/>
        <v>64980710.428972341</v>
      </c>
    </row>
    <row r="46" spans="3:12">
      <c r="C46" s="814">
        <f t="shared" si="9"/>
        <v>20</v>
      </c>
      <c r="D46" s="815">
        <f t="shared" si="4"/>
        <v>48365</v>
      </c>
      <c r="E46" s="800">
        <f t="shared" si="5"/>
        <v>2</v>
      </c>
      <c r="F46" s="800">
        <f t="shared" si="10"/>
        <v>3</v>
      </c>
      <c r="G46" s="816">
        <f>IF($E$12="NO",G45+1,
IF(OR(D46&lt;$F$8,D46&gt;$F$9),MAX($G$26:G45)+1,""))</f>
        <v>8</v>
      </c>
      <c r="H46" s="809">
        <f t="shared" si="6"/>
        <v>64980710.428972341</v>
      </c>
      <c r="I46" s="809">
        <f t="shared" si="7"/>
        <v>-311365.90413882583</v>
      </c>
      <c r="J46" s="817">
        <f t="shared" si="8"/>
        <v>-70676.474046050964</v>
      </c>
      <c r="K46" s="809">
        <f t="shared" si="2"/>
        <v>-382042.37818487681</v>
      </c>
      <c r="L46" s="791">
        <f t="shared" si="3"/>
        <v>64910033.95492629</v>
      </c>
    </row>
    <row r="47" spans="3:12">
      <c r="C47" s="814">
        <f t="shared" si="9"/>
        <v>21</v>
      </c>
      <c r="D47" s="815">
        <f t="shared" si="4"/>
        <v>48395</v>
      </c>
      <c r="E47" s="800">
        <f t="shared" si="5"/>
        <v>2</v>
      </c>
      <c r="F47" s="800">
        <f t="shared" si="10"/>
        <v>3</v>
      </c>
      <c r="G47" s="816">
        <f>IF($E$12="NO",G46+1,
IF(OR(D47&lt;$F$8,D47&gt;$F$9),MAX($G$26:G46)+1,""))</f>
        <v>9</v>
      </c>
      <c r="H47" s="809">
        <f t="shared" si="6"/>
        <v>64910033.95492629</v>
      </c>
      <c r="I47" s="809">
        <f t="shared" si="7"/>
        <v>-311027.24603402178</v>
      </c>
      <c r="J47" s="817">
        <f t="shared" si="8"/>
        <v>-71015.132150854974</v>
      </c>
      <c r="K47" s="809">
        <f t="shared" si="2"/>
        <v>-382042.37818487675</v>
      </c>
      <c r="L47" s="791">
        <f t="shared" si="3"/>
        <v>64839018.822775431</v>
      </c>
    </row>
    <row r="48" spans="3:12">
      <c r="C48" s="814">
        <f t="shared" si="9"/>
        <v>22</v>
      </c>
      <c r="D48" s="815">
        <f t="shared" si="4"/>
        <v>48426</v>
      </c>
      <c r="E48" s="800">
        <f t="shared" si="5"/>
        <v>2</v>
      </c>
      <c r="F48" s="800">
        <f t="shared" si="10"/>
        <v>4</v>
      </c>
      <c r="G48" s="816">
        <f>IF($E$12="NO",G47+1,
IF(OR(D48&lt;$F$8,D48&gt;$F$9),MAX($G$26:G47)+1,""))</f>
        <v>10</v>
      </c>
      <c r="H48" s="809">
        <f t="shared" si="6"/>
        <v>64839018.822775431</v>
      </c>
      <c r="I48" s="809">
        <f t="shared" si="7"/>
        <v>-310686.96519246564</v>
      </c>
      <c r="J48" s="817">
        <f t="shared" si="8"/>
        <v>-71355.412992411148</v>
      </c>
      <c r="K48" s="809">
        <f t="shared" si="2"/>
        <v>-382042.37818487675</v>
      </c>
      <c r="L48" s="791">
        <f t="shared" si="3"/>
        <v>64767663.409783021</v>
      </c>
    </row>
    <row r="49" spans="3:12">
      <c r="C49" s="814">
        <f t="shared" si="9"/>
        <v>23</v>
      </c>
      <c r="D49" s="815">
        <f t="shared" si="4"/>
        <v>48457</v>
      </c>
      <c r="E49" s="800">
        <f t="shared" si="5"/>
        <v>2</v>
      </c>
      <c r="F49" s="800">
        <f t="shared" si="10"/>
        <v>4</v>
      </c>
      <c r="G49" s="816">
        <f>IF($E$12="NO",G48+1,
IF(OR(D49&lt;$F$8,D49&gt;$F$9),MAX($G$26:G48)+1,""))</f>
        <v>11</v>
      </c>
      <c r="H49" s="809">
        <f t="shared" si="6"/>
        <v>64767663.409783021</v>
      </c>
      <c r="I49" s="809">
        <f t="shared" si="7"/>
        <v>-310345.05383854365</v>
      </c>
      <c r="J49" s="817">
        <f t="shared" si="8"/>
        <v>-71697.324346333116</v>
      </c>
      <c r="K49" s="809">
        <f t="shared" si="2"/>
        <v>-382042.37818487675</v>
      </c>
      <c r="L49" s="791">
        <f t="shared" si="3"/>
        <v>64695966.085436687</v>
      </c>
    </row>
    <row r="50" spans="3:12">
      <c r="C50" s="814">
        <f t="shared" si="9"/>
        <v>24</v>
      </c>
      <c r="D50" s="815">
        <f t="shared" si="4"/>
        <v>48487</v>
      </c>
      <c r="E50" s="800">
        <f t="shared" si="5"/>
        <v>2</v>
      </c>
      <c r="F50" s="800">
        <f t="shared" si="10"/>
        <v>4</v>
      </c>
      <c r="G50" s="816">
        <f>IF($E$12="NO",G49+1,
IF(OR(D50&lt;$F$8,D50&gt;$F$9),MAX($G$26:G49)+1,""))</f>
        <v>12</v>
      </c>
      <c r="H50" s="809">
        <f t="shared" si="6"/>
        <v>64695966.085436687</v>
      </c>
      <c r="I50" s="809">
        <f t="shared" si="7"/>
        <v>-310001.50415938412</v>
      </c>
      <c r="J50" s="817">
        <f t="shared" si="8"/>
        <v>-72040.874025492623</v>
      </c>
      <c r="K50" s="809">
        <f t="shared" si="2"/>
        <v>-382042.37818487675</v>
      </c>
      <c r="L50" s="791">
        <f t="shared" si="3"/>
        <v>64623925.211411193</v>
      </c>
    </row>
    <row r="51" spans="3:12">
      <c r="C51" s="814">
        <f t="shared" si="9"/>
        <v>25</v>
      </c>
      <c r="D51" s="815">
        <f t="shared" si="4"/>
        <v>48518</v>
      </c>
      <c r="E51" s="800">
        <f t="shared" si="5"/>
        <v>3</v>
      </c>
      <c r="F51" s="800">
        <f t="shared" si="10"/>
        <v>1</v>
      </c>
      <c r="G51" s="816">
        <f>IF($E$12="NO",G50+1,
IF(OR(D51&lt;$F$8,D51&gt;$F$9),MAX($G$26:G50)+1,""))</f>
        <v>13</v>
      </c>
      <c r="H51" s="809">
        <f t="shared" si="6"/>
        <v>64623925.211411193</v>
      </c>
      <c r="I51" s="809">
        <f t="shared" si="7"/>
        <v>-309656.30830467865</v>
      </c>
      <c r="J51" s="817">
        <f t="shared" si="8"/>
        <v>-72386.06988019812</v>
      </c>
      <c r="K51" s="809">
        <f t="shared" si="2"/>
        <v>-382042.37818487675</v>
      </c>
      <c r="L51" s="791">
        <f t="shared" si="3"/>
        <v>64551539.141530998</v>
      </c>
    </row>
    <row r="52" spans="3:12">
      <c r="C52" s="814">
        <f t="shared" si="9"/>
        <v>26</v>
      </c>
      <c r="D52" s="815">
        <f t="shared" si="4"/>
        <v>48548</v>
      </c>
      <c r="E52" s="800">
        <f t="shared" si="5"/>
        <v>3</v>
      </c>
      <c r="F52" s="800">
        <f t="shared" si="10"/>
        <v>1</v>
      </c>
      <c r="G52" s="816">
        <f>IF($E$12="NO",G51+1,
IF(OR(D52&lt;$F$8,D52&gt;$F$9),MAX($G$26:G51)+1,""))</f>
        <v>14</v>
      </c>
      <c r="H52" s="809">
        <f t="shared" si="6"/>
        <v>64551539.141530998</v>
      </c>
      <c r="I52" s="809">
        <f t="shared" si="7"/>
        <v>-309309.45838650269</v>
      </c>
      <c r="J52" s="817">
        <f t="shared" si="8"/>
        <v>-72732.919798374074</v>
      </c>
      <c r="K52" s="809">
        <f t="shared" si="2"/>
        <v>-382042.37818487675</v>
      </c>
      <c r="L52" s="791">
        <f t="shared" si="3"/>
        <v>64478806.221732624</v>
      </c>
    </row>
    <row r="53" spans="3:12">
      <c r="C53" s="814">
        <f t="shared" si="9"/>
        <v>27</v>
      </c>
      <c r="D53" s="815">
        <f t="shared" si="4"/>
        <v>48579</v>
      </c>
      <c r="E53" s="800">
        <f t="shared" si="5"/>
        <v>3</v>
      </c>
      <c r="F53" s="800">
        <f t="shared" si="10"/>
        <v>1</v>
      </c>
      <c r="G53" s="816">
        <f>IF($E$12="NO",G52+1,
IF(OR(D53&lt;$F$8,D53&gt;$F$9),MAX($G$26:G52)+1,""))</f>
        <v>15</v>
      </c>
      <c r="H53" s="809">
        <f t="shared" si="6"/>
        <v>64478806.221732624</v>
      </c>
      <c r="I53" s="809">
        <f t="shared" si="7"/>
        <v>-308960.94647913548</v>
      </c>
      <c r="J53" s="817">
        <f t="shared" si="8"/>
        <v>-73081.431705741285</v>
      </c>
      <c r="K53" s="809">
        <f t="shared" si="2"/>
        <v>-382042.37818487675</v>
      </c>
      <c r="L53" s="791">
        <f t="shared" si="3"/>
        <v>64405724.790026881</v>
      </c>
    </row>
    <row r="54" spans="3:12">
      <c r="C54" s="814">
        <f t="shared" si="9"/>
        <v>28</v>
      </c>
      <c r="D54" s="815">
        <f t="shared" si="4"/>
        <v>48610</v>
      </c>
      <c r="E54" s="800">
        <f t="shared" si="5"/>
        <v>3</v>
      </c>
      <c r="F54" s="800">
        <f t="shared" si="10"/>
        <v>2</v>
      </c>
      <c r="G54" s="816">
        <f>IF($E$12="NO",G53+1,
IF(OR(D54&lt;$F$8,D54&gt;$F$9),MAX($G$26:G53)+1,""))</f>
        <v>16</v>
      </c>
      <c r="H54" s="809">
        <f t="shared" si="6"/>
        <v>64405724.790026881</v>
      </c>
      <c r="I54" s="809">
        <f t="shared" si="7"/>
        <v>-308610.76461887883</v>
      </c>
      <c r="J54" s="817">
        <f t="shared" si="8"/>
        <v>-73431.613565997963</v>
      </c>
      <c r="K54" s="809">
        <f t="shared" si="2"/>
        <v>-382042.37818487681</v>
      </c>
      <c r="L54" s="791">
        <f t="shared" si="3"/>
        <v>64332293.176460885</v>
      </c>
    </row>
    <row r="55" spans="3:12">
      <c r="C55" s="814">
        <f t="shared" si="9"/>
        <v>29</v>
      </c>
      <c r="D55" s="815">
        <f t="shared" si="4"/>
        <v>48638</v>
      </c>
      <c r="E55" s="800">
        <f t="shared" si="5"/>
        <v>3</v>
      </c>
      <c r="F55" s="800">
        <f t="shared" si="10"/>
        <v>2</v>
      </c>
      <c r="G55" s="816">
        <f>IF($E$12="NO",G54+1,
IF(OR(D55&lt;$F$8,D55&gt;$F$9),MAX($G$26:G54)+1,""))</f>
        <v>17</v>
      </c>
      <c r="H55" s="809">
        <f t="shared" si="6"/>
        <v>64332293.176460885</v>
      </c>
      <c r="I55" s="809">
        <f t="shared" si="7"/>
        <v>-308258.90480387508</v>
      </c>
      <c r="J55" s="817">
        <f t="shared" si="8"/>
        <v>-73783.473381001691</v>
      </c>
      <c r="K55" s="809">
        <f t="shared" si="2"/>
        <v>-382042.37818487675</v>
      </c>
      <c r="L55" s="791">
        <f t="shared" si="3"/>
        <v>64258509.703079879</v>
      </c>
    </row>
    <row r="56" spans="3:12">
      <c r="C56" s="814">
        <f t="shared" si="9"/>
        <v>30</v>
      </c>
      <c r="D56" s="815">
        <f t="shared" si="4"/>
        <v>48669</v>
      </c>
      <c r="E56" s="800">
        <f t="shared" si="5"/>
        <v>3</v>
      </c>
      <c r="F56" s="800">
        <f t="shared" si="10"/>
        <v>2</v>
      </c>
      <c r="G56" s="816">
        <f>IF($E$12="NO",G55+1,
IF(OR(D56&lt;$F$8,D56&gt;$F$9),MAX($G$26:G55)+1,""))</f>
        <v>18</v>
      </c>
      <c r="H56" s="809">
        <f t="shared" si="6"/>
        <v>64258509.703079879</v>
      </c>
      <c r="I56" s="809">
        <f t="shared" si="7"/>
        <v>-307905.3589939244</v>
      </c>
      <c r="J56" s="817">
        <f t="shared" si="8"/>
        <v>-74137.019190952327</v>
      </c>
      <c r="K56" s="809">
        <f t="shared" si="2"/>
        <v>-382042.37818487675</v>
      </c>
      <c r="L56" s="791">
        <f t="shared" si="3"/>
        <v>64184372.683888927</v>
      </c>
    </row>
    <row r="57" spans="3:12">
      <c r="C57" s="814">
        <f t="shared" si="9"/>
        <v>31</v>
      </c>
      <c r="D57" s="815">
        <f t="shared" si="4"/>
        <v>48699</v>
      </c>
      <c r="E57" s="800">
        <f t="shared" si="5"/>
        <v>3</v>
      </c>
      <c r="F57" s="800">
        <f t="shared" si="10"/>
        <v>3</v>
      </c>
      <c r="G57" s="816">
        <f>IF($E$12="NO",G56+1,
IF(OR(D57&lt;$F$8,D57&gt;$F$9),MAX($G$26:G56)+1,""))</f>
        <v>19</v>
      </c>
      <c r="H57" s="809">
        <f t="shared" si="6"/>
        <v>64184372.683888927</v>
      </c>
      <c r="I57" s="809">
        <f t="shared" si="7"/>
        <v>-307550.11911030114</v>
      </c>
      <c r="J57" s="817">
        <f t="shared" si="8"/>
        <v>-74492.259074575646</v>
      </c>
      <c r="K57" s="809">
        <f t="shared" si="2"/>
        <v>-382042.37818487675</v>
      </c>
      <c r="L57" s="791">
        <f t="shared" si="3"/>
        <v>64109880.424814351</v>
      </c>
    </row>
    <row r="58" spans="3:12">
      <c r="C58" s="814">
        <f t="shared" si="9"/>
        <v>32</v>
      </c>
      <c r="D58" s="815">
        <f t="shared" si="4"/>
        <v>48730</v>
      </c>
      <c r="E58" s="800">
        <f t="shared" si="5"/>
        <v>3</v>
      </c>
      <c r="F58" s="800">
        <f t="shared" si="10"/>
        <v>3</v>
      </c>
      <c r="G58" s="816">
        <f>IF($E$12="NO",G57+1,
IF(OR(D58&lt;$F$8,D58&gt;$F$9),MAX($G$26:G57)+1,""))</f>
        <v>20</v>
      </c>
      <c r="H58" s="809">
        <f t="shared" si="6"/>
        <v>64109880.424814351</v>
      </c>
      <c r="I58" s="809">
        <f t="shared" si="7"/>
        <v>-307193.17703556881</v>
      </c>
      <c r="J58" s="817">
        <f t="shared" si="8"/>
        <v>-74849.201149307992</v>
      </c>
      <c r="K58" s="809">
        <f t="shared" si="2"/>
        <v>-382042.37818487681</v>
      </c>
      <c r="L58" s="791">
        <f t="shared" ref="L58:L86" si="11">IF(C58=0,$E$4,H58+J58)</f>
        <v>64035031.223665044</v>
      </c>
    </row>
    <row r="59" spans="3:12">
      <c r="C59" s="814">
        <f t="shared" si="9"/>
        <v>33</v>
      </c>
      <c r="D59" s="815">
        <f t="shared" ref="D59:D86" si="12">EOMONTH($E$5,C59-1)</f>
        <v>48760</v>
      </c>
      <c r="E59" s="800">
        <f t="shared" si="5"/>
        <v>3</v>
      </c>
      <c r="F59" s="800">
        <f t="shared" si="10"/>
        <v>3</v>
      </c>
      <c r="G59" s="816">
        <f>IF($E$12="NO",G58+1,
IF(OR(D59&lt;$F$8,D59&gt;$F$9),MAX($G$26:G58)+1,""))</f>
        <v>21</v>
      </c>
      <c r="H59" s="809">
        <f t="shared" ref="H59:H86" si="13">IF(OR(E59&gt;$E$6,C59&gt;$E$14),0,L58)</f>
        <v>64035031.223665044</v>
      </c>
      <c r="I59" s="809">
        <f t="shared" ref="I59:I86" si="14">IF(OR(E59&gt;$E$6*12,C59&gt;$E$14),0,-H59*$E$10/12)</f>
        <v>-306834.52461339504</v>
      </c>
      <c r="J59" s="817">
        <f t="shared" ref="J59:J86" si="15">IF(OR(E59&gt;$E$6,C59&gt;$E$14),0,
IF(AND($E$8&lt;&gt;OR(0,""),$E$9&lt;&gt;OR(0,""),C59&gt;=$E$8,C59&lt;=$E$9),0,PPMT($E$10/12,IF($E$12="YES",G59,C59),$E$7,$E$4)))</f>
        <v>-75207.853571481755</v>
      </c>
      <c r="K59" s="809">
        <f t="shared" si="2"/>
        <v>-382042.37818487681</v>
      </c>
      <c r="L59" s="791">
        <f t="shared" si="11"/>
        <v>63959823.370093562</v>
      </c>
    </row>
    <row r="60" spans="3:12">
      <c r="C60" s="814">
        <f t="shared" si="9"/>
        <v>34</v>
      </c>
      <c r="D60" s="815">
        <f t="shared" si="12"/>
        <v>48791</v>
      </c>
      <c r="E60" s="800">
        <f t="shared" si="5"/>
        <v>3</v>
      </c>
      <c r="F60" s="800">
        <f t="shared" si="10"/>
        <v>4</v>
      </c>
      <c r="G60" s="816">
        <f>IF($E$12="NO",G59+1,
IF(OR(D60&lt;$F$8,D60&gt;$F$9),MAX($G$26:G59)+1,""))</f>
        <v>22</v>
      </c>
      <c r="H60" s="809">
        <f t="shared" si="13"/>
        <v>63959823.370093562</v>
      </c>
      <c r="I60" s="809">
        <f t="shared" si="14"/>
        <v>-306474.153648365</v>
      </c>
      <c r="J60" s="817">
        <f t="shared" si="15"/>
        <v>-75568.224536511771</v>
      </c>
      <c r="K60" s="809">
        <f t="shared" si="2"/>
        <v>-382042.37818487675</v>
      </c>
      <c r="L60" s="791">
        <f t="shared" si="11"/>
        <v>63884255.145557053</v>
      </c>
    </row>
    <row r="61" spans="3:12">
      <c r="C61" s="814">
        <f t="shared" si="9"/>
        <v>35</v>
      </c>
      <c r="D61" s="815">
        <f t="shared" si="12"/>
        <v>48822</v>
      </c>
      <c r="E61" s="800">
        <f t="shared" si="5"/>
        <v>3</v>
      </c>
      <c r="F61" s="800">
        <f t="shared" si="10"/>
        <v>4</v>
      </c>
      <c r="G61" s="816">
        <f>IF($E$12="NO",G60+1,
IF(OR(D61&lt;$F$8,D61&gt;$F$9),MAX($G$26:G60)+1,""))</f>
        <v>23</v>
      </c>
      <c r="H61" s="809">
        <f t="shared" si="13"/>
        <v>63884255.145557053</v>
      </c>
      <c r="I61" s="809">
        <f t="shared" si="14"/>
        <v>-306112.0559057942</v>
      </c>
      <c r="J61" s="817">
        <f t="shared" si="15"/>
        <v>-75930.322279082553</v>
      </c>
      <c r="K61" s="809">
        <f t="shared" si="2"/>
        <v>-382042.37818487675</v>
      </c>
      <c r="L61" s="791">
        <f t="shared" si="11"/>
        <v>63808324.823277973</v>
      </c>
    </row>
    <row r="62" spans="3:12">
      <c r="C62" s="814">
        <f t="shared" si="9"/>
        <v>36</v>
      </c>
      <c r="D62" s="815">
        <f t="shared" si="12"/>
        <v>48852</v>
      </c>
      <c r="E62" s="800">
        <f t="shared" si="5"/>
        <v>3</v>
      </c>
      <c r="F62" s="800">
        <f t="shared" si="10"/>
        <v>4</v>
      </c>
      <c r="G62" s="816">
        <f>IF($E$12="NO",G61+1,
IF(OR(D62&lt;$F$8,D62&gt;$F$9),MAX($G$26:G61)+1,""))</f>
        <v>24</v>
      </c>
      <c r="H62" s="809">
        <f t="shared" si="13"/>
        <v>63808324.823277973</v>
      </c>
      <c r="I62" s="809">
        <f t="shared" si="14"/>
        <v>-305748.22311154031</v>
      </c>
      <c r="J62" s="817">
        <f t="shared" si="15"/>
        <v>-76294.155073336486</v>
      </c>
      <c r="K62" s="809">
        <f t="shared" si="2"/>
        <v>-382042.37818487681</v>
      </c>
      <c r="L62" s="791">
        <f t="shared" si="11"/>
        <v>63732030.668204635</v>
      </c>
    </row>
    <row r="63" spans="3:12">
      <c r="C63" s="814">
        <f t="shared" si="9"/>
        <v>37</v>
      </c>
      <c r="D63" s="815">
        <f t="shared" si="12"/>
        <v>48883</v>
      </c>
      <c r="E63" s="800">
        <f t="shared" si="5"/>
        <v>4</v>
      </c>
      <c r="F63" s="800">
        <f t="shared" si="10"/>
        <v>1</v>
      </c>
      <c r="G63" s="816">
        <f>IF($E$12="NO",G62+1,
IF(OR(D63&lt;$F$8,D63&gt;$F$9),MAX($G$26:G62)+1,""))</f>
        <v>25</v>
      </c>
      <c r="H63" s="809">
        <f t="shared" si="13"/>
        <v>63732030.668204635</v>
      </c>
      <c r="I63" s="809">
        <f t="shared" si="14"/>
        <v>-305382.64695181389</v>
      </c>
      <c r="J63" s="817">
        <f t="shared" si="15"/>
        <v>-76659.731233062907</v>
      </c>
      <c r="K63" s="809">
        <f t="shared" si="2"/>
        <v>-382042.37818487681</v>
      </c>
      <c r="L63" s="791">
        <f t="shared" si="11"/>
        <v>63655370.936971575</v>
      </c>
    </row>
    <row r="64" spans="3:12">
      <c r="C64" s="814">
        <f t="shared" si="9"/>
        <v>38</v>
      </c>
      <c r="D64" s="815">
        <f t="shared" si="12"/>
        <v>48913</v>
      </c>
      <c r="E64" s="800">
        <f t="shared" si="5"/>
        <v>4</v>
      </c>
      <c r="F64" s="800">
        <f t="shared" si="10"/>
        <v>1</v>
      </c>
      <c r="G64" s="816">
        <f>IF($E$12="NO",G63+1,
IF(OR(D64&lt;$F$8,D64&gt;$F$9),MAX($G$26:G63)+1,""))</f>
        <v>26</v>
      </c>
      <c r="H64" s="809">
        <f t="shared" si="13"/>
        <v>63655370.936971575</v>
      </c>
      <c r="I64" s="809">
        <f t="shared" si="14"/>
        <v>-305015.31907298882</v>
      </c>
      <c r="J64" s="817">
        <f t="shared" si="15"/>
        <v>-77027.059111887997</v>
      </c>
      <c r="K64" s="809">
        <f t="shared" si="2"/>
        <v>-382042.37818487681</v>
      </c>
      <c r="L64" s="791">
        <f t="shared" si="11"/>
        <v>63578343.877859689</v>
      </c>
    </row>
    <row r="65" spans="3:12">
      <c r="C65" s="814">
        <f t="shared" si="9"/>
        <v>39</v>
      </c>
      <c r="D65" s="815">
        <f t="shared" si="12"/>
        <v>48944</v>
      </c>
      <c r="E65" s="800">
        <f t="shared" si="5"/>
        <v>4</v>
      </c>
      <c r="F65" s="800">
        <f t="shared" si="10"/>
        <v>1</v>
      </c>
      <c r="G65" s="816">
        <f>IF($E$12="NO",G64+1,
IF(OR(D65&lt;$F$8,D65&gt;$F$9),MAX($G$26:G64)+1,""))</f>
        <v>27</v>
      </c>
      <c r="H65" s="809">
        <f t="shared" si="13"/>
        <v>63578343.877859689</v>
      </c>
      <c r="I65" s="809">
        <f t="shared" si="14"/>
        <v>-304646.23108141101</v>
      </c>
      <c r="J65" s="817">
        <f t="shared" si="15"/>
        <v>-77396.147103465773</v>
      </c>
      <c r="K65" s="809">
        <f t="shared" si="2"/>
        <v>-382042.37818487675</v>
      </c>
      <c r="L65" s="791">
        <f t="shared" si="11"/>
        <v>63500947.730756223</v>
      </c>
    </row>
    <row r="66" spans="3:12">
      <c r="C66" s="814">
        <f t="shared" si="9"/>
        <v>40</v>
      </c>
      <c r="D66" s="815">
        <f t="shared" si="12"/>
        <v>48975</v>
      </c>
      <c r="E66" s="800">
        <f t="shared" si="5"/>
        <v>4</v>
      </c>
      <c r="F66" s="800">
        <f t="shared" si="10"/>
        <v>2</v>
      </c>
      <c r="G66" s="816">
        <f>IF($E$12="NO",G65+1,
IF(OR(D66&lt;$F$8,D66&gt;$F$9),MAX($G$26:G65)+1,""))</f>
        <v>28</v>
      </c>
      <c r="H66" s="809">
        <f t="shared" si="13"/>
        <v>63500947.730756223</v>
      </c>
      <c r="I66" s="809">
        <f t="shared" si="14"/>
        <v>-304275.37454320694</v>
      </c>
      <c r="J66" s="817">
        <f t="shared" si="15"/>
        <v>-77767.003641669886</v>
      </c>
      <c r="K66" s="809">
        <f t="shared" si="2"/>
        <v>-382042.37818487681</v>
      </c>
      <c r="L66" s="791">
        <f t="shared" si="11"/>
        <v>63423180.727114551</v>
      </c>
    </row>
    <row r="67" spans="3:12">
      <c r="C67" s="814">
        <f t="shared" si="9"/>
        <v>41</v>
      </c>
      <c r="D67" s="815">
        <f t="shared" si="12"/>
        <v>49003</v>
      </c>
      <c r="E67" s="800">
        <f t="shared" si="5"/>
        <v>4</v>
      </c>
      <c r="F67" s="800">
        <f t="shared" si="10"/>
        <v>2</v>
      </c>
      <c r="G67" s="816">
        <f>IF($E$12="NO",G66+1,
IF(OR(D67&lt;$F$8,D67&gt;$F$9),MAX($G$26:G66)+1,""))</f>
        <v>29</v>
      </c>
      <c r="H67" s="809">
        <f t="shared" si="13"/>
        <v>63423180.727114551</v>
      </c>
      <c r="I67" s="809">
        <f t="shared" si="14"/>
        <v>-303902.74098409055</v>
      </c>
      <c r="J67" s="817">
        <f t="shared" si="15"/>
        <v>-78139.637200786237</v>
      </c>
      <c r="K67" s="809">
        <f t="shared" si="2"/>
        <v>-382042.37818487675</v>
      </c>
      <c r="L67" s="791">
        <f t="shared" si="11"/>
        <v>63345041.089913763</v>
      </c>
    </row>
    <row r="68" spans="3:12">
      <c r="C68" s="814">
        <f t="shared" si="9"/>
        <v>42</v>
      </c>
      <c r="D68" s="815">
        <f t="shared" si="12"/>
        <v>49034</v>
      </c>
      <c r="E68" s="800">
        <f t="shared" si="5"/>
        <v>4</v>
      </c>
      <c r="F68" s="800">
        <f t="shared" si="10"/>
        <v>2</v>
      </c>
      <c r="G68" s="816">
        <f>IF($E$12="NO",G67+1,
IF(OR(D68&lt;$F$8,D68&gt;$F$9),MAX($G$26:G67)+1,""))</f>
        <v>30</v>
      </c>
      <c r="H68" s="809">
        <f t="shared" si="13"/>
        <v>63345041.089913763</v>
      </c>
      <c r="I68" s="809">
        <f t="shared" si="14"/>
        <v>-303528.32188917015</v>
      </c>
      <c r="J68" s="817">
        <f t="shared" si="15"/>
        <v>-78514.056295706658</v>
      </c>
      <c r="K68" s="809">
        <f t="shared" si="2"/>
        <v>-382042.37818487681</v>
      </c>
      <c r="L68" s="791">
        <f t="shared" si="11"/>
        <v>63266527.033618055</v>
      </c>
    </row>
    <row r="69" spans="3:12">
      <c r="C69" s="814">
        <f t="shared" si="9"/>
        <v>43</v>
      </c>
      <c r="D69" s="815">
        <f t="shared" si="12"/>
        <v>49064</v>
      </c>
      <c r="E69" s="800">
        <f t="shared" si="5"/>
        <v>4</v>
      </c>
      <c r="F69" s="800">
        <f t="shared" si="10"/>
        <v>3</v>
      </c>
      <c r="G69" s="816">
        <f>IF($E$12="NO",G68+1,
IF(OR(D69&lt;$F$8,D69&gt;$F$9),MAX($G$26:G68)+1,""))</f>
        <v>31</v>
      </c>
      <c r="H69" s="809">
        <f t="shared" si="13"/>
        <v>63266527.033618055</v>
      </c>
      <c r="I69" s="809">
        <f t="shared" si="14"/>
        <v>-303152.1087027532</v>
      </c>
      <c r="J69" s="817">
        <f t="shared" si="15"/>
        <v>-78890.269482123593</v>
      </c>
      <c r="K69" s="809">
        <f t="shared" si="2"/>
        <v>-382042.37818487681</v>
      </c>
      <c r="L69" s="791">
        <f t="shared" si="11"/>
        <v>63187636.764135934</v>
      </c>
    </row>
    <row r="70" spans="3:12">
      <c r="C70" s="814">
        <f t="shared" si="9"/>
        <v>44</v>
      </c>
      <c r="D70" s="815">
        <f t="shared" si="12"/>
        <v>49095</v>
      </c>
      <c r="E70" s="800">
        <f t="shared" si="5"/>
        <v>4</v>
      </c>
      <c r="F70" s="800">
        <f t="shared" si="10"/>
        <v>3</v>
      </c>
      <c r="G70" s="816">
        <f>IF($E$12="NO",G69+1,
IF(OR(D70&lt;$F$8,D70&gt;$F$9),MAX($G$26:G69)+1,""))</f>
        <v>32</v>
      </c>
      <c r="H70" s="809">
        <f t="shared" si="13"/>
        <v>63187636.764135934</v>
      </c>
      <c r="I70" s="809">
        <f t="shared" si="14"/>
        <v>-302774.09282815136</v>
      </c>
      <c r="J70" s="817">
        <f t="shared" si="15"/>
        <v>-79268.285356725435</v>
      </c>
      <c r="K70" s="809">
        <f t="shared" si="2"/>
        <v>-382042.37818487681</v>
      </c>
      <c r="L70" s="791">
        <f t="shared" si="11"/>
        <v>63108368.478779212</v>
      </c>
    </row>
    <row r="71" spans="3:12">
      <c r="C71" s="814">
        <f t="shared" si="9"/>
        <v>45</v>
      </c>
      <c r="D71" s="815">
        <f t="shared" si="12"/>
        <v>49125</v>
      </c>
      <c r="E71" s="800">
        <f t="shared" si="5"/>
        <v>4</v>
      </c>
      <c r="F71" s="800">
        <f t="shared" si="10"/>
        <v>3</v>
      </c>
      <c r="G71" s="816">
        <f>IF($E$12="NO",G70+1,
IF(OR(D71&lt;$F$8,D71&gt;$F$9),MAX($G$26:G70)+1,""))</f>
        <v>33</v>
      </c>
      <c r="H71" s="809">
        <f t="shared" si="13"/>
        <v>63108368.478779212</v>
      </c>
      <c r="I71" s="809">
        <f t="shared" si="14"/>
        <v>-302394.26562748372</v>
      </c>
      <c r="J71" s="817">
        <f t="shared" si="15"/>
        <v>-79648.112557393062</v>
      </c>
      <c r="K71" s="809">
        <f t="shared" si="2"/>
        <v>-382042.37818487675</v>
      </c>
      <c r="L71" s="791">
        <f t="shared" si="11"/>
        <v>63028720.366221815</v>
      </c>
    </row>
    <row r="72" spans="3:12">
      <c r="C72" s="814">
        <f t="shared" si="9"/>
        <v>46</v>
      </c>
      <c r="D72" s="815">
        <f t="shared" si="12"/>
        <v>49156</v>
      </c>
      <c r="E72" s="800">
        <f t="shared" si="5"/>
        <v>4</v>
      </c>
      <c r="F72" s="800">
        <f t="shared" si="10"/>
        <v>4</v>
      </c>
      <c r="G72" s="816">
        <f>IF($E$12="NO",G71+1,
IF(OR(D72&lt;$F$8,D72&gt;$F$9),MAX($G$26:G71)+1,""))</f>
        <v>34</v>
      </c>
      <c r="H72" s="809">
        <f t="shared" si="13"/>
        <v>63028720.366221815</v>
      </c>
      <c r="I72" s="809">
        <f t="shared" si="14"/>
        <v>-302012.61842147954</v>
      </c>
      <c r="J72" s="817">
        <f t="shared" si="15"/>
        <v>-80029.759763397247</v>
      </c>
      <c r="K72" s="809">
        <f t="shared" si="2"/>
        <v>-382042.37818487675</v>
      </c>
      <c r="L72" s="791">
        <f t="shared" si="11"/>
        <v>62948690.606458418</v>
      </c>
    </row>
    <row r="73" spans="3:12">
      <c r="C73" s="814">
        <f t="shared" si="9"/>
        <v>47</v>
      </c>
      <c r="D73" s="815">
        <f t="shared" si="12"/>
        <v>49187</v>
      </c>
      <c r="E73" s="800">
        <f t="shared" si="5"/>
        <v>4</v>
      </c>
      <c r="F73" s="800">
        <f t="shared" si="10"/>
        <v>4</v>
      </c>
      <c r="G73" s="816">
        <f>IF($E$12="NO",G72+1,
IF(OR(D73&lt;$F$8,D73&gt;$F$9),MAX($G$26:G72)+1,""))</f>
        <v>35</v>
      </c>
      <c r="H73" s="809">
        <f t="shared" si="13"/>
        <v>62948690.606458418</v>
      </c>
      <c r="I73" s="809">
        <f t="shared" si="14"/>
        <v>-301629.14248927991</v>
      </c>
      <c r="J73" s="817">
        <f t="shared" si="15"/>
        <v>-80413.235695596857</v>
      </c>
      <c r="K73" s="809">
        <f t="shared" si="2"/>
        <v>-382042.37818487675</v>
      </c>
      <c r="L73" s="791">
        <f t="shared" si="11"/>
        <v>62868277.370762818</v>
      </c>
    </row>
    <row r="74" spans="3:12">
      <c r="C74" s="814">
        <f t="shared" si="9"/>
        <v>48</v>
      </c>
      <c r="D74" s="815">
        <f t="shared" si="12"/>
        <v>49217</v>
      </c>
      <c r="E74" s="800">
        <f t="shared" si="5"/>
        <v>4</v>
      </c>
      <c r="F74" s="800">
        <f t="shared" si="10"/>
        <v>4</v>
      </c>
      <c r="G74" s="816">
        <f>IF($E$12="NO",G73+1,
IF(OR(D74&lt;$F$8,D74&gt;$F$9),MAX($G$26:G73)+1,""))</f>
        <v>36</v>
      </c>
      <c r="H74" s="809">
        <f t="shared" si="13"/>
        <v>62868277.370762818</v>
      </c>
      <c r="I74" s="809">
        <f t="shared" si="14"/>
        <v>-301243.8290682385</v>
      </c>
      <c r="J74" s="817">
        <f t="shared" si="15"/>
        <v>-80798.549116638256</v>
      </c>
      <c r="K74" s="809">
        <f t="shared" si="2"/>
        <v>-382042.37818487675</v>
      </c>
      <c r="L74" s="791">
        <f t="shared" si="11"/>
        <v>62787478.821646176</v>
      </c>
    </row>
    <row r="75" spans="3:12">
      <c r="C75" s="814">
        <f t="shared" si="9"/>
        <v>49</v>
      </c>
      <c r="D75" s="815">
        <f t="shared" si="12"/>
        <v>49248</v>
      </c>
      <c r="E75" s="800">
        <f t="shared" si="5"/>
        <v>5</v>
      </c>
      <c r="F75" s="800">
        <f t="shared" si="10"/>
        <v>1</v>
      </c>
      <c r="G75" s="816">
        <f>IF($E$12="NO",G74+1,
IF(OR(D75&lt;$F$8,D75&gt;$F$9),MAX($G$26:G74)+1,""))</f>
        <v>37</v>
      </c>
      <c r="H75" s="809">
        <f t="shared" si="13"/>
        <v>62787478.821646176</v>
      </c>
      <c r="I75" s="809">
        <f t="shared" si="14"/>
        <v>-300856.66935372126</v>
      </c>
      <c r="J75" s="817">
        <f t="shared" si="15"/>
        <v>-81185.708831155483</v>
      </c>
      <c r="K75" s="809">
        <f t="shared" si="2"/>
        <v>-382042.37818487675</v>
      </c>
      <c r="L75" s="791">
        <f t="shared" si="11"/>
        <v>62706293.112815022</v>
      </c>
    </row>
    <row r="76" spans="3:12">
      <c r="C76" s="814">
        <f t="shared" si="9"/>
        <v>50</v>
      </c>
      <c r="D76" s="815">
        <f t="shared" si="12"/>
        <v>49278</v>
      </c>
      <c r="E76" s="800">
        <f t="shared" si="5"/>
        <v>5</v>
      </c>
      <c r="F76" s="800">
        <f t="shared" si="10"/>
        <v>1</v>
      </c>
      <c r="G76" s="816">
        <f>IF($E$12="NO",G75+1,
IF(OR(D76&lt;$F$8,D76&gt;$F$9),MAX($G$26:G75)+1,""))</f>
        <v>38</v>
      </c>
      <c r="H76" s="809">
        <f t="shared" si="13"/>
        <v>62706293.112815022</v>
      </c>
      <c r="I76" s="809">
        <f t="shared" si="14"/>
        <v>-300467.65449890535</v>
      </c>
      <c r="J76" s="817">
        <f t="shared" si="15"/>
        <v>-81574.723685971447</v>
      </c>
      <c r="K76" s="809">
        <f t="shared" si="2"/>
        <v>-382042.37818487681</v>
      </c>
      <c r="L76" s="791">
        <f t="shared" si="11"/>
        <v>62624718.38912905</v>
      </c>
    </row>
    <row r="77" spans="3:12">
      <c r="C77" s="814">
        <f t="shared" si="9"/>
        <v>51</v>
      </c>
      <c r="D77" s="815">
        <f t="shared" si="12"/>
        <v>49309</v>
      </c>
      <c r="E77" s="800">
        <f t="shared" si="5"/>
        <v>5</v>
      </c>
      <c r="F77" s="800">
        <f t="shared" si="10"/>
        <v>1</v>
      </c>
      <c r="G77" s="816">
        <f>IF($E$12="NO",G76+1,
IF(OR(D77&lt;$F$8,D77&gt;$F$9),MAX($G$26:G76)+1,""))</f>
        <v>39</v>
      </c>
      <c r="H77" s="809">
        <f t="shared" si="13"/>
        <v>62624718.38912905</v>
      </c>
      <c r="I77" s="809">
        <f t="shared" si="14"/>
        <v>-300076.77561457671</v>
      </c>
      <c r="J77" s="817">
        <f t="shared" si="15"/>
        <v>-81965.602570300049</v>
      </c>
      <c r="K77" s="809">
        <f t="shared" si="2"/>
        <v>-382042.37818487675</v>
      </c>
      <c r="L77" s="791">
        <f t="shared" si="11"/>
        <v>62542752.786558747</v>
      </c>
    </row>
    <row r="78" spans="3:12">
      <c r="C78" s="814">
        <f t="shared" si="9"/>
        <v>52</v>
      </c>
      <c r="D78" s="815">
        <f t="shared" si="12"/>
        <v>49340</v>
      </c>
      <c r="E78" s="800">
        <f t="shared" si="5"/>
        <v>5</v>
      </c>
      <c r="F78" s="800">
        <f t="shared" si="10"/>
        <v>2</v>
      </c>
      <c r="G78" s="816">
        <f>IF($E$12="NO",G77+1,
IF(OR(D78&lt;$F$8,D78&gt;$F$9),MAX($G$26:G77)+1,""))</f>
        <v>40</v>
      </c>
      <c r="H78" s="809">
        <f t="shared" si="13"/>
        <v>62542752.786558747</v>
      </c>
      <c r="I78" s="809">
        <f t="shared" si="14"/>
        <v>-299684.02376892738</v>
      </c>
      <c r="J78" s="817">
        <f t="shared" si="15"/>
        <v>-82358.35441594939</v>
      </c>
      <c r="K78" s="809">
        <f t="shared" si="2"/>
        <v>-382042.37818487675</v>
      </c>
      <c r="L78" s="791">
        <f t="shared" si="11"/>
        <v>62460394.432142802</v>
      </c>
    </row>
    <row r="79" spans="3:12">
      <c r="C79" s="814">
        <f t="shared" si="9"/>
        <v>53</v>
      </c>
      <c r="D79" s="815">
        <f t="shared" si="12"/>
        <v>49368</v>
      </c>
      <c r="E79" s="800">
        <f t="shared" si="5"/>
        <v>5</v>
      </c>
      <c r="F79" s="800">
        <f t="shared" si="10"/>
        <v>2</v>
      </c>
      <c r="G79" s="816">
        <f>IF($E$12="NO",G78+1,
IF(OR(D79&lt;$F$8,D79&gt;$F$9),MAX($G$26:G78)+1,""))</f>
        <v>41</v>
      </c>
      <c r="H79" s="809">
        <f t="shared" si="13"/>
        <v>62460394.432142802</v>
      </c>
      <c r="I79" s="809">
        <f t="shared" si="14"/>
        <v>-299289.38998735097</v>
      </c>
      <c r="J79" s="817">
        <f t="shared" si="15"/>
        <v>-82752.988197525832</v>
      </c>
      <c r="K79" s="809">
        <f t="shared" si="2"/>
        <v>-382042.37818487681</v>
      </c>
      <c r="L79" s="791">
        <f t="shared" si="11"/>
        <v>62377641.443945274</v>
      </c>
    </row>
    <row r="80" spans="3:12">
      <c r="C80" s="814">
        <f t="shared" si="9"/>
        <v>54</v>
      </c>
      <c r="D80" s="815">
        <f t="shared" si="12"/>
        <v>49399</v>
      </c>
      <c r="E80" s="800">
        <f t="shared" si="5"/>
        <v>5</v>
      </c>
      <c r="F80" s="800">
        <f t="shared" si="10"/>
        <v>2</v>
      </c>
      <c r="G80" s="816">
        <f>IF($E$12="NO",G79+1,
IF(OR(D80&lt;$F$8,D80&gt;$F$9),MAX($G$26:G79)+1,""))</f>
        <v>42</v>
      </c>
      <c r="H80" s="809">
        <f t="shared" si="13"/>
        <v>62377641.443945274</v>
      </c>
      <c r="I80" s="809">
        <f t="shared" si="14"/>
        <v>-298892.86525223777</v>
      </c>
      <c r="J80" s="817">
        <f t="shared" si="15"/>
        <v>-83149.512932638972</v>
      </c>
      <c r="K80" s="809">
        <f t="shared" si="2"/>
        <v>-382042.37818487675</v>
      </c>
      <c r="L80" s="791">
        <f t="shared" si="11"/>
        <v>62294491.931012638</v>
      </c>
    </row>
    <row r="81" spans="3:12">
      <c r="C81" s="814">
        <f t="shared" si="9"/>
        <v>55</v>
      </c>
      <c r="D81" s="815">
        <f t="shared" si="12"/>
        <v>49429</v>
      </c>
      <c r="E81" s="800">
        <f t="shared" si="5"/>
        <v>5</v>
      </c>
      <c r="F81" s="800">
        <f t="shared" si="10"/>
        <v>3</v>
      </c>
      <c r="G81" s="816">
        <f>IF($E$12="NO",G80+1,
IF(OR(D81&lt;$F$8,D81&gt;$F$9),MAX($G$26:G80)+1,""))</f>
        <v>43</v>
      </c>
      <c r="H81" s="809">
        <f t="shared" si="13"/>
        <v>62294491.931012638</v>
      </c>
      <c r="I81" s="809">
        <f t="shared" si="14"/>
        <v>-298494.44050276891</v>
      </c>
      <c r="J81" s="817">
        <f t="shared" si="15"/>
        <v>-83547.937682107877</v>
      </c>
      <c r="K81" s="809">
        <f t="shared" si="2"/>
        <v>-382042.37818487675</v>
      </c>
      <c r="L81" s="791">
        <f t="shared" si="11"/>
        <v>62210943.993330531</v>
      </c>
    </row>
    <row r="82" spans="3:12">
      <c r="C82" s="814">
        <f t="shared" si="9"/>
        <v>56</v>
      </c>
      <c r="D82" s="815">
        <f t="shared" si="12"/>
        <v>49460</v>
      </c>
      <c r="E82" s="800">
        <f t="shared" si="5"/>
        <v>5</v>
      </c>
      <c r="F82" s="800">
        <f t="shared" si="10"/>
        <v>3</v>
      </c>
      <c r="G82" s="816">
        <f>IF($E$12="NO",G81+1,
IF(OR(D82&lt;$F$8,D82&gt;$F$9),MAX($G$26:G81)+1,""))</f>
        <v>44</v>
      </c>
      <c r="H82" s="809">
        <f t="shared" si="13"/>
        <v>62210943.993330531</v>
      </c>
      <c r="I82" s="809">
        <f t="shared" si="14"/>
        <v>-298094.10663470882</v>
      </c>
      <c r="J82" s="817">
        <f t="shared" si="15"/>
        <v>-83948.271550167992</v>
      </c>
      <c r="K82" s="809">
        <f t="shared" si="2"/>
        <v>-382042.37818487681</v>
      </c>
      <c r="L82" s="791">
        <f t="shared" si="11"/>
        <v>62126995.72178036</v>
      </c>
    </row>
    <row r="83" spans="3:12">
      <c r="C83" s="814">
        <f t="shared" si="9"/>
        <v>57</v>
      </c>
      <c r="D83" s="815">
        <f t="shared" si="12"/>
        <v>49490</v>
      </c>
      <c r="E83" s="800">
        <f t="shared" si="5"/>
        <v>5</v>
      </c>
      <c r="F83" s="800">
        <f t="shared" si="10"/>
        <v>3</v>
      </c>
      <c r="G83" s="816">
        <f>IF($E$12="NO",G82+1,
IF(OR(D83&lt;$F$8,D83&gt;$F$9),MAX($G$26:G82)+1,""))</f>
        <v>45</v>
      </c>
      <c r="H83" s="809">
        <f t="shared" si="13"/>
        <v>62126995.72178036</v>
      </c>
      <c r="I83" s="809">
        <f t="shared" si="14"/>
        <v>-297691.85450019757</v>
      </c>
      <c r="J83" s="817">
        <f t="shared" si="15"/>
        <v>-84350.523684679181</v>
      </c>
      <c r="K83" s="809">
        <f t="shared" si="2"/>
        <v>-382042.37818487675</v>
      </c>
      <c r="L83" s="791">
        <f t="shared" si="11"/>
        <v>62042645.198095679</v>
      </c>
    </row>
    <row r="84" spans="3:12">
      <c r="C84" s="814">
        <f t="shared" si="9"/>
        <v>58</v>
      </c>
      <c r="D84" s="815">
        <f t="shared" si="12"/>
        <v>49521</v>
      </c>
      <c r="E84" s="800">
        <f t="shared" si="5"/>
        <v>5</v>
      </c>
      <c r="F84" s="800">
        <f t="shared" si="10"/>
        <v>4</v>
      </c>
      <c r="G84" s="816">
        <f>IF($E$12="NO",G83+1,
IF(OR(D84&lt;$F$8,D84&gt;$F$9),MAX($G$26:G83)+1,""))</f>
        <v>46</v>
      </c>
      <c r="H84" s="809">
        <f t="shared" si="13"/>
        <v>62042645.198095679</v>
      </c>
      <c r="I84" s="809">
        <f t="shared" si="14"/>
        <v>-297287.67490754178</v>
      </c>
      <c r="J84" s="817">
        <f t="shared" si="15"/>
        <v>-84754.703277334949</v>
      </c>
      <c r="K84" s="809">
        <f t="shared" si="2"/>
        <v>-382042.37818487675</v>
      </c>
      <c r="L84" s="791">
        <f t="shared" si="11"/>
        <v>61957890.494818345</v>
      </c>
    </row>
    <row r="85" spans="3:12">
      <c r="C85" s="814">
        <f t="shared" si="9"/>
        <v>59</v>
      </c>
      <c r="D85" s="815">
        <f t="shared" si="12"/>
        <v>49552</v>
      </c>
      <c r="E85" s="800">
        <f t="shared" si="5"/>
        <v>5</v>
      </c>
      <c r="F85" s="800">
        <f t="shared" si="10"/>
        <v>4</v>
      </c>
      <c r="G85" s="816">
        <f>IF($E$12="NO",G84+1,
IF(OR(D85&lt;$F$8,D85&gt;$F$9),MAX($G$26:G84)+1,""))</f>
        <v>47</v>
      </c>
      <c r="H85" s="809">
        <f t="shared" si="13"/>
        <v>61957890.494818345</v>
      </c>
      <c r="I85" s="809">
        <f t="shared" si="14"/>
        <v>-296881.55862100457</v>
      </c>
      <c r="J85" s="817">
        <f t="shared" si="15"/>
        <v>-85160.819563872195</v>
      </c>
      <c r="K85" s="809">
        <f t="shared" si="2"/>
        <v>-382042.37818487675</v>
      </c>
      <c r="L85" s="791">
        <f t="shared" si="11"/>
        <v>61872729.675254472</v>
      </c>
    </row>
    <row r="86" spans="3:12">
      <c r="C86" s="818">
        <f t="shared" si="9"/>
        <v>60</v>
      </c>
      <c r="D86" s="819">
        <f t="shared" si="12"/>
        <v>49582</v>
      </c>
      <c r="E86" s="820">
        <f t="shared" si="5"/>
        <v>5</v>
      </c>
      <c r="F86" s="821">
        <f t="shared" si="10"/>
        <v>4</v>
      </c>
      <c r="G86" s="821">
        <f>IF($E$12="NO",G85+1,
IF(OR(D86&lt;$F$8,D86&gt;$F$9),MAX($G$26:G85)+1,""))</f>
        <v>48</v>
      </c>
      <c r="H86" s="810">
        <f t="shared" si="13"/>
        <v>61872729.675254472</v>
      </c>
      <c r="I86" s="810">
        <f t="shared" si="14"/>
        <v>-296473.49636059435</v>
      </c>
      <c r="J86" s="822">
        <f t="shared" si="15"/>
        <v>-85568.881824282405</v>
      </c>
      <c r="K86" s="810">
        <f t="shared" si="2"/>
        <v>-382042.37818487675</v>
      </c>
      <c r="L86" s="808">
        <f t="shared" si="11"/>
        <v>61787160.793430187</v>
      </c>
    </row>
  </sheetData>
  <conditionalFormatting sqref="E10:F10 E11">
    <cfRule type="expression" dxfId="112" priority="1">
      <formula>#REF!=#REF!</formula>
    </cfRule>
  </conditionalFormatting>
  <dataValidations disablePrompts="1" count="1">
    <dataValidation type="list" allowBlank="1" showInputMessage="1" showErrorMessage="1" sqref="E12:F12" xr:uid="{74D07BB6-7DD9-48EE-8AA8-3A5E1DDE9D47}">
      <formula1>"YES, NO"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F0771-0AD8-4D8C-A815-DF24E700AE04}">
  <sheetPr>
    <tabColor rgb="FF92D050"/>
    <pageSetUpPr fitToPage="1"/>
  </sheetPr>
  <dimension ref="A1:AC181"/>
  <sheetViews>
    <sheetView showGridLines="0" zoomScale="85" zoomScaleNormal="85" zoomScaleSheetLayoutView="90" workbookViewId="0">
      <selection activeCell="D8" sqref="D8"/>
    </sheetView>
  </sheetViews>
  <sheetFormatPr defaultColWidth="8.85546875" defaultRowHeight="23.25" customHeight="1"/>
  <cols>
    <col min="1" max="1" width="46.140625" style="5" bestFit="1" customWidth="1"/>
    <col min="2" max="2" width="28.85546875" style="5" bestFit="1" customWidth="1"/>
    <col min="3" max="3" width="35.5703125" style="5" customWidth="1"/>
    <col min="4" max="4" width="19.42578125" style="5" bestFit="1" customWidth="1"/>
    <col min="5" max="5" width="15.5703125" style="5" bestFit="1" customWidth="1"/>
    <col min="6" max="6" width="12.42578125" style="5" bestFit="1" customWidth="1"/>
    <col min="7" max="7" width="32.85546875" style="5" bestFit="1" customWidth="1"/>
    <col min="8" max="8" width="28.85546875" style="5" bestFit="1" customWidth="1"/>
    <col min="9" max="9" width="35.5703125" style="5" customWidth="1"/>
    <col min="10" max="11" width="26.85546875" style="5" customWidth="1"/>
    <col min="12" max="12" width="1.5703125" style="5" customWidth="1"/>
    <col min="13" max="13" width="32.85546875" style="5" bestFit="1" customWidth="1"/>
    <col min="14" max="14" width="28.85546875" style="5" bestFit="1" customWidth="1"/>
    <col min="15" max="15" width="35.5703125" style="5" customWidth="1"/>
    <col min="16" max="17" width="26.85546875" style="5" customWidth="1"/>
    <col min="18" max="18" width="1.5703125" style="5" customWidth="1"/>
    <col min="19" max="19" width="32.85546875" style="5" bestFit="1" customWidth="1"/>
    <col min="20" max="20" width="28.85546875" style="5" bestFit="1" customWidth="1"/>
    <col min="21" max="21" width="35.5703125" style="5" customWidth="1"/>
    <col min="22" max="23" width="26.85546875" style="5" customWidth="1"/>
    <col min="24" max="24" width="21.42578125" style="5" bestFit="1" customWidth="1"/>
    <col min="25" max="26" width="24.42578125" style="5" customWidth="1"/>
    <col min="27" max="27" width="32.42578125" style="5" customWidth="1"/>
    <col min="28" max="28" width="20.140625" style="5" customWidth="1"/>
    <col min="29" max="29" width="13.42578125" style="5" bestFit="1" customWidth="1"/>
    <col min="30" max="16384" width="8.85546875" style="5"/>
  </cols>
  <sheetData>
    <row r="1" spans="1:29" ht="23.25" customHeight="1" thickBot="1">
      <c r="A1" s="2"/>
      <c r="B1" s="75"/>
      <c r="C1" s="3"/>
      <c r="D1" s="4"/>
      <c r="Y1" s="124"/>
    </row>
    <row r="2" spans="1:29" ht="30" customHeight="1" thickBot="1">
      <c r="A2" s="1000" t="s">
        <v>381</v>
      </c>
      <c r="B2" s="142"/>
      <c r="C2" s="142" t="s">
        <v>89</v>
      </c>
      <c r="D2" s="1075" t="s">
        <v>102</v>
      </c>
      <c r="E2" s="1076"/>
      <c r="Y2" s="99"/>
    </row>
    <row r="3" spans="1:29" ht="20.25" customHeight="1">
      <c r="B3" s="55"/>
      <c r="C3" s="55"/>
      <c r="D3" s="55"/>
      <c r="E3" s="55"/>
      <c r="Y3" s="137"/>
    </row>
    <row r="4" spans="1:29" ht="24.95" customHeight="1" thickBot="1">
      <c r="A4" s="181" t="s">
        <v>382</v>
      </c>
      <c r="B4" s="117"/>
      <c r="Y4" s="123"/>
      <c r="Z4" s="135"/>
      <c r="AA4" s="55"/>
      <c r="AB4" s="55"/>
      <c r="AC4" s="55"/>
    </row>
    <row r="5" spans="1:29" ht="15" customHeight="1" thickBot="1">
      <c r="A5" s="750" t="s">
        <v>383</v>
      </c>
      <c r="B5" s="751"/>
      <c r="C5" s="180" t="s">
        <v>384</v>
      </c>
      <c r="D5" s="170">
        <f>SUM(E129,K129,Q129)</f>
        <v>9077180.6596000008</v>
      </c>
      <c r="E5" s="568">
        <f>B28-B10-B11+B25</f>
        <v>146651809.13193071</v>
      </c>
      <c r="J5" s="168"/>
      <c r="Y5" s="123"/>
      <c r="Z5" s="135"/>
      <c r="AA5" s="55"/>
      <c r="AB5" s="135"/>
      <c r="AC5" s="55"/>
    </row>
    <row r="6" spans="1:29" ht="15" customHeight="1" thickBot="1">
      <c r="A6" s="752" t="s">
        <v>33</v>
      </c>
      <c r="B6" s="753" t="s">
        <v>385</v>
      </c>
      <c r="C6" s="180" t="s">
        <v>386</v>
      </c>
      <c r="D6" s="170">
        <f>SUM(B171,H171,N171)</f>
        <v>11158172.674004721</v>
      </c>
      <c r="E6" s="274"/>
      <c r="J6" s="168"/>
      <c r="Y6" s="123"/>
      <c r="Z6" s="135"/>
      <c r="AA6" s="55"/>
      <c r="AB6" s="135"/>
      <c r="AC6" s="55"/>
    </row>
    <row r="7" spans="1:29" ht="15" customHeight="1">
      <c r="A7" s="754" t="s">
        <v>387</v>
      </c>
      <c r="B7" s="755">
        <f>SUM(C133,I133,O133)</f>
        <v>120788070</v>
      </c>
      <c r="C7" s="180" t="s">
        <v>388</v>
      </c>
      <c r="D7" s="364">
        <f>IFERROR((D6/D5)^(1/(D8+1))-1,0)</f>
        <v>3.499999999999992E-2</v>
      </c>
      <c r="G7" s="278"/>
      <c r="J7" s="168"/>
      <c r="Y7" s="123"/>
      <c r="Z7" s="135"/>
      <c r="AA7" s="55"/>
      <c r="AB7" s="135"/>
      <c r="AC7" s="55"/>
    </row>
    <row r="8" spans="1:29" ht="15" customHeight="1">
      <c r="A8" s="17" t="s">
        <v>77</v>
      </c>
      <c r="B8" s="143">
        <f>SUM(C134,I134,O134)</f>
        <v>6039403.5</v>
      </c>
      <c r="C8" s="180" t="s">
        <v>125</v>
      </c>
      <c r="D8" s="362">
        <f>Assumptions!$L$41</f>
        <v>5</v>
      </c>
      <c r="E8" s="274"/>
      <c r="F8" s="361"/>
      <c r="J8" s="168"/>
      <c r="Y8" s="123"/>
      <c r="Z8" s="135"/>
      <c r="AA8" s="55"/>
      <c r="AB8" s="135"/>
      <c r="AC8" s="55"/>
    </row>
    <row r="9" spans="1:29" ht="15" customHeight="1">
      <c r="A9" s="17" t="s">
        <v>389</v>
      </c>
      <c r="B9" s="143">
        <f>SUM(C135,I135,O135)</f>
        <v>0</v>
      </c>
      <c r="C9" s="272" t="s">
        <v>390</v>
      </c>
      <c r="D9" s="170">
        <f>SUM(B$164,H$164,N$164)</f>
        <v>0</v>
      </c>
      <c r="J9" s="168"/>
      <c r="Y9" s="123"/>
      <c r="Z9" s="135"/>
      <c r="AA9" s="55"/>
      <c r="AB9" s="135"/>
      <c r="AC9" s="55"/>
    </row>
    <row r="10" spans="1:29" ht="15" customHeight="1">
      <c r="A10" s="17" t="s">
        <v>391</v>
      </c>
      <c r="B10" s="143">
        <f t="shared" ref="B10:B23" si="0">SUM(C136,I136,O136)</f>
        <v>808909.2</v>
      </c>
      <c r="C10" s="180" t="s">
        <v>392</v>
      </c>
      <c r="D10" s="170">
        <f>SUM(B$175,H$175,N$175)</f>
        <v>243008203.30496958</v>
      </c>
      <c r="J10" s="168"/>
      <c r="Y10" s="123"/>
      <c r="Z10" s="135"/>
      <c r="AA10" s="55"/>
      <c r="AB10" s="135"/>
      <c r="AC10" s="55"/>
    </row>
    <row r="11" spans="1:29" ht="15" customHeight="1" thickBot="1">
      <c r="A11" s="17" t="s">
        <v>393</v>
      </c>
      <c r="B11" s="143">
        <f t="shared" si="0"/>
        <v>2480000</v>
      </c>
      <c r="C11" s="180" t="s">
        <v>394</v>
      </c>
      <c r="D11" s="543" t="str">
        <f>IF(OR(B35="YES",H35="YES",N35="YES"),"YES","NO")</f>
        <v>NO</v>
      </c>
      <c r="J11" s="168"/>
      <c r="Y11" s="123"/>
      <c r="Z11" s="135"/>
      <c r="AA11" s="55"/>
      <c r="AB11" s="135"/>
      <c r="AC11" s="55"/>
    </row>
    <row r="12" spans="1:29" ht="15" customHeight="1">
      <c r="A12" s="17" t="s">
        <v>79</v>
      </c>
      <c r="B12" s="143">
        <f t="shared" si="0"/>
        <v>2415761.4</v>
      </c>
      <c r="C12" s="749" t="s">
        <v>395</v>
      </c>
      <c r="D12" s="757"/>
      <c r="E12" s="758"/>
      <c r="G12" s="124"/>
      <c r="H12" s="124"/>
      <c r="J12" s="117"/>
      <c r="Y12" s="123"/>
      <c r="Z12" s="135"/>
      <c r="AA12" s="55"/>
      <c r="AB12" s="135"/>
      <c r="AC12" s="55"/>
    </row>
    <row r="13" spans="1:29" ht="15" customHeight="1">
      <c r="A13" s="377" t="s">
        <v>83</v>
      </c>
      <c r="B13" s="143">
        <f t="shared" si="0"/>
        <v>1811821.05</v>
      </c>
      <c r="C13" s="844"/>
      <c r="D13" s="541" t="s">
        <v>12</v>
      </c>
      <c r="E13" s="542" t="s">
        <v>396</v>
      </c>
      <c r="G13" s="289"/>
      <c r="H13" s="554"/>
      <c r="Y13" s="123"/>
      <c r="Z13" s="135"/>
      <c r="AA13" s="55"/>
      <c r="AB13" s="135"/>
      <c r="AC13" s="55"/>
    </row>
    <row r="14" spans="1:29" ht="15" customHeight="1">
      <c r="A14" s="377" t="s">
        <v>84</v>
      </c>
      <c r="B14" s="143">
        <f t="shared" si="0"/>
        <v>20222.73</v>
      </c>
      <c r="C14" s="845" t="s">
        <v>9</v>
      </c>
      <c r="D14" s="546">
        <f>SUM(B157,H157,N157)</f>
        <v>102769800.24908829</v>
      </c>
      <c r="E14" s="759">
        <f>D14/$D$17</f>
        <v>0.61807479411147181</v>
      </c>
      <c r="G14" s="283"/>
      <c r="H14" s="130"/>
      <c r="Y14" s="123"/>
      <c r="Z14" s="135"/>
      <c r="AA14" s="55"/>
      <c r="AB14" s="135"/>
      <c r="AC14" s="55"/>
    </row>
    <row r="15" spans="1:29" ht="15" customHeight="1">
      <c r="A15" s="377" t="s">
        <v>85</v>
      </c>
      <c r="B15" s="143">
        <f t="shared" si="0"/>
        <v>2415761.4</v>
      </c>
      <c r="C15" s="846" t="s">
        <v>11</v>
      </c>
      <c r="D15" s="546">
        <f>SUM(B158,H158,N158)</f>
        <v>55337584.749509074</v>
      </c>
      <c r="E15" s="759">
        <f>D15/$D$17</f>
        <v>0.33280950452156177</v>
      </c>
      <c r="G15" s="283"/>
      <c r="H15" s="130"/>
      <c r="Y15" s="123"/>
      <c r="Z15" s="135"/>
      <c r="AA15" s="55"/>
      <c r="AB15" s="135"/>
      <c r="AC15" s="55"/>
    </row>
    <row r="16" spans="1:29" ht="15" customHeight="1">
      <c r="A16" s="377" t="s">
        <v>86</v>
      </c>
      <c r="B16" s="143">
        <f t="shared" si="0"/>
        <v>4227582.45</v>
      </c>
      <c r="C16" s="847" t="s">
        <v>10</v>
      </c>
      <c r="D16" s="547">
        <f>-B25</f>
        <v>8166666.666666667</v>
      </c>
      <c r="E16" s="759">
        <f>D16/$D$17</f>
        <v>4.9115701366966504E-2</v>
      </c>
      <c r="Y16" s="123"/>
      <c r="Z16" s="135"/>
      <c r="AA16" s="55"/>
      <c r="AB16" s="135"/>
      <c r="AC16" s="55"/>
    </row>
    <row r="17" spans="1:29" ht="15" customHeight="1" thickBot="1">
      <c r="A17" s="377" t="s">
        <v>88</v>
      </c>
      <c r="B17" s="143">
        <f t="shared" si="0"/>
        <v>2415761.4</v>
      </c>
      <c r="C17" s="848" t="s">
        <v>397</v>
      </c>
      <c r="D17" s="552">
        <f>SUM(D14:D16)</f>
        <v>166274051.66526401</v>
      </c>
      <c r="E17" s="561">
        <f>SUM(E14:E16)</f>
        <v>1</v>
      </c>
      <c r="Y17" s="123"/>
      <c r="Z17" s="135"/>
      <c r="AA17" s="55"/>
      <c r="AB17" s="135"/>
      <c r="AC17" s="55"/>
    </row>
    <row r="18" spans="1:29" ht="15" customHeight="1" thickTop="1" thickBot="1">
      <c r="A18" s="377" t="s">
        <v>93</v>
      </c>
      <c r="B18" s="143">
        <f t="shared" si="0"/>
        <v>6039403.5</v>
      </c>
      <c r="C18" s="849" t="s">
        <v>398</v>
      </c>
      <c r="D18" s="550" t="str">
        <f>IF(B29=D17,"YES","NO")</f>
        <v>YES</v>
      </c>
      <c r="E18" s="551"/>
      <c r="G18" s="356"/>
      <c r="H18" s="555"/>
      <c r="Y18" s="123"/>
      <c r="Z18" s="135"/>
      <c r="AA18" s="55"/>
      <c r="AB18" s="135"/>
      <c r="AC18" s="55"/>
    </row>
    <row r="19" spans="1:29" ht="15" customHeight="1">
      <c r="A19" s="377" t="s">
        <v>97</v>
      </c>
      <c r="B19" s="143">
        <f t="shared" si="0"/>
        <v>1811821.05</v>
      </c>
      <c r="C19" s="854" t="s">
        <v>399</v>
      </c>
      <c r="D19" s="853"/>
      <c r="G19" s="124"/>
      <c r="H19" s="124"/>
      <c r="Y19" s="123"/>
      <c r="Z19" s="135"/>
      <c r="AA19" s="55"/>
      <c r="AB19" s="135"/>
      <c r="AC19" s="55"/>
    </row>
    <row r="20" spans="1:29" ht="15" customHeight="1">
      <c r="A20" s="377" t="s">
        <v>100</v>
      </c>
      <c r="B20" s="143">
        <f t="shared" si="0"/>
        <v>500000</v>
      </c>
      <c r="C20" s="377" t="s">
        <v>400</v>
      </c>
      <c r="D20" s="413">
        <f ca="1">'2-C DRAW'!B50</f>
        <v>158289531.53322157</v>
      </c>
      <c r="G20" s="12"/>
      <c r="H20" s="556"/>
      <c r="Y20" s="123"/>
      <c r="Z20" s="135"/>
      <c r="AA20" s="55"/>
      <c r="AB20" s="135"/>
      <c r="AC20" s="55"/>
    </row>
    <row r="21" spans="1:29" ht="15" customHeight="1">
      <c r="A21" s="377" t="s">
        <v>103</v>
      </c>
      <c r="B21" s="143">
        <f t="shared" si="0"/>
        <v>3605102.736</v>
      </c>
      <c r="C21" s="377" t="s">
        <v>401</v>
      </c>
      <c r="D21" s="549">
        <f ca="1">(D20+D15)/D15</f>
        <v>3.8604344090862375</v>
      </c>
      <c r="G21" s="12"/>
      <c r="H21" s="556"/>
      <c r="Y21" s="123"/>
      <c r="Z21" s="135"/>
      <c r="AA21" s="55"/>
      <c r="AB21" s="135"/>
      <c r="AC21" s="55"/>
    </row>
    <row r="22" spans="1:29" ht="15" customHeight="1">
      <c r="A22" s="377" t="s">
        <v>106</v>
      </c>
      <c r="B22" s="143">
        <f t="shared" si="0"/>
        <v>1579536.3000000003</v>
      </c>
      <c r="C22" s="860" t="s">
        <v>402</v>
      </c>
      <c r="D22" s="861">
        <f ca="1">'2-C DRAW'!B59</f>
        <v>0.15181230780812949</v>
      </c>
      <c r="G22" s="12"/>
      <c r="H22" s="556"/>
      <c r="Y22" s="123"/>
      <c r="Z22" s="135"/>
      <c r="AA22" s="55"/>
      <c r="AB22" s="135"/>
      <c r="AC22" s="55"/>
    </row>
    <row r="23" spans="1:29" ht="15" customHeight="1">
      <c r="A23" s="377" t="s">
        <v>403</v>
      </c>
      <c r="B23" s="143">
        <f t="shared" si="0"/>
        <v>50545.161600000007</v>
      </c>
      <c r="C23" s="860" t="s">
        <v>404</v>
      </c>
      <c r="D23" s="861">
        <f ca="1">'2-C DRAW'!B55</f>
        <v>9.3720630612297073E-2</v>
      </c>
      <c r="G23" s="12"/>
      <c r="H23" s="556"/>
      <c r="Y23" s="123"/>
      <c r="Z23" s="135"/>
      <c r="AA23" s="55"/>
      <c r="AB23" s="135"/>
      <c r="AC23" s="55"/>
    </row>
    <row r="24" spans="1:29" ht="15" customHeight="1">
      <c r="A24" s="377" t="s">
        <v>112</v>
      </c>
      <c r="B24" s="143">
        <f>SUM(C150,I150,O150)</f>
        <v>534349.78766400006</v>
      </c>
      <c r="C24" s="860" t="s">
        <v>405</v>
      </c>
      <c r="D24" s="865">
        <f>IF(OR(B$35="YES",H35="YES",N35="YES"),"-",D5/B28)</f>
        <v>5.7411490675660273E-2</v>
      </c>
      <c r="E24" s="18"/>
      <c r="G24" s="328"/>
      <c r="H24" s="560"/>
      <c r="Y24" s="123"/>
      <c r="Z24" s="135"/>
      <c r="AA24" s="55"/>
      <c r="AB24" s="135"/>
      <c r="AC24" s="55"/>
    </row>
    <row r="25" spans="1:29" ht="15" customHeight="1">
      <c r="A25" s="17" t="s">
        <v>165</v>
      </c>
      <c r="B25" s="143">
        <f>SUM(C151,I151,O151)</f>
        <v>-8166666.666666667</v>
      </c>
      <c r="C25" s="860" t="s">
        <v>158</v>
      </c>
      <c r="D25" s="865">
        <f>SUM(D9,D10)/B28</f>
        <v>1.5369819904815036</v>
      </c>
      <c r="F25" s="544"/>
      <c r="G25" s="124"/>
      <c r="H25" s="124"/>
      <c r="Y25" s="123"/>
      <c r="Z25" s="135"/>
      <c r="AA25" s="55"/>
      <c r="AB25" s="135"/>
      <c r="AC25" s="55"/>
    </row>
    <row r="26" spans="1:29" ht="15" customHeight="1" thickBot="1">
      <c r="A26" s="408" t="s">
        <v>38</v>
      </c>
      <c r="B26" s="756">
        <f>SUM(C152,I152,O152)</f>
        <v>510000</v>
      </c>
      <c r="C26" s="863" t="s">
        <v>406</v>
      </c>
      <c r="D26" s="864">
        <f>IF((D5/D14)=0,"-",D5/D14)</f>
        <v>8.8325370270246562E-2</v>
      </c>
      <c r="G26" s="12"/>
      <c r="H26" s="557"/>
      <c r="Y26" s="123"/>
      <c r="Z26" s="135"/>
      <c r="AA26" s="55"/>
      <c r="AB26" s="135"/>
      <c r="AC26" s="55"/>
    </row>
    <row r="27" spans="1:29" ht="15" customHeight="1" thickBot="1">
      <c r="A27" s="762" t="s">
        <v>407</v>
      </c>
      <c r="B27" s="763">
        <f>SUM(C153,I153,O153)</f>
        <v>8220000</v>
      </c>
      <c r="G27" s="328"/>
      <c r="H27" s="558"/>
      <c r="Y27" s="123"/>
      <c r="Z27" s="135"/>
      <c r="AA27" s="55"/>
      <c r="AB27" s="135"/>
      <c r="AC27" s="55"/>
    </row>
    <row r="28" spans="1:29" ht="15" customHeight="1" thickTop="1">
      <c r="A28" s="760" t="s">
        <v>408</v>
      </c>
      <c r="B28" s="761">
        <f>SUM(B7:B27)</f>
        <v>158107384.99859735</v>
      </c>
      <c r="C28" s="328"/>
      <c r="D28" s="851"/>
      <c r="G28" s="328"/>
      <c r="H28" s="558"/>
      <c r="Y28" s="123"/>
      <c r="Z28" s="135"/>
      <c r="AA28" s="55"/>
      <c r="AB28" s="135"/>
      <c r="AC28" s="55"/>
    </row>
    <row r="29" spans="1:29" ht="15" customHeight="1" thickBot="1">
      <c r="A29" s="850" t="s">
        <v>409</v>
      </c>
      <c r="B29" s="862">
        <f>B28-B25</f>
        <v>166274051.66526401</v>
      </c>
      <c r="C29" s="12"/>
      <c r="D29" s="852"/>
      <c r="E29" s="12"/>
      <c r="G29" s="12"/>
      <c r="H29" s="132"/>
      <c r="Y29" s="123"/>
      <c r="Z29" s="135"/>
      <c r="AA29" s="55"/>
      <c r="AB29" s="135"/>
      <c r="AC29" s="55"/>
    </row>
    <row r="30" spans="1:29" ht="15" customHeight="1">
      <c r="A30" s="328"/>
      <c r="B30" s="843"/>
      <c r="G30" s="12"/>
      <c r="H30" s="548"/>
      <c r="Y30" s="123"/>
      <c r="Z30" s="135"/>
      <c r="AA30" s="55"/>
      <c r="AB30" s="135"/>
      <c r="AC30" s="55"/>
    </row>
    <row r="31" spans="1:29" ht="15" customHeight="1">
      <c r="A31" s="328"/>
      <c r="B31" s="843"/>
      <c r="E31" s="131"/>
      <c r="Y31" s="123"/>
      <c r="Z31" s="135"/>
      <c r="AA31" s="55"/>
      <c r="AB31" s="135"/>
      <c r="AC31" s="55"/>
    </row>
    <row r="32" spans="1:29" ht="15" customHeight="1">
      <c r="E32" s="132"/>
      <c r="Y32" s="123"/>
      <c r="Z32" s="135"/>
      <c r="AA32" s="55"/>
      <c r="AB32" s="135"/>
      <c r="AC32" s="55"/>
    </row>
    <row r="33" spans="1:29" ht="24.95" customHeight="1" thickBot="1">
      <c r="A33" s="169" t="s">
        <v>410</v>
      </c>
      <c r="M33" s="293"/>
      <c r="AB33" s="55"/>
      <c r="AC33" s="136"/>
    </row>
    <row r="34" spans="1:29" ht="20.25" customHeight="1">
      <c r="A34" s="1001" t="s">
        <v>219</v>
      </c>
      <c r="B34" s="1002" t="s">
        <v>42</v>
      </c>
      <c r="C34" s="1003" t="s">
        <v>411</v>
      </c>
      <c r="D34" s="1004">
        <f>IFERROR(INDEX('Building Configuration'!$B$2:$AA$34,MATCH(B$34,'Building Configuration'!$D$2:$D$34,0),MATCH("Total",'Building Configuration'!$B$2:$AA$2,0)),0)</f>
        <v>619426</v>
      </c>
      <c r="E34" s="1005"/>
      <c r="G34" s="1001" t="s">
        <v>219</v>
      </c>
      <c r="H34" s="1002"/>
      <c r="I34" s="1003" t="s">
        <v>411</v>
      </c>
      <c r="J34" s="1004">
        <f>IFERROR(INDEX('Building Configuration'!$B$2:$AA$34,MATCH(H$34,'Building Configuration'!$D$2:$D$34,0),MATCH("Total",'Building Configuration'!$B$2:$AA$2,0)),0)</f>
        <v>0</v>
      </c>
      <c r="K34" s="1005"/>
      <c r="L34" s="123"/>
      <c r="M34" s="1001" t="s">
        <v>219</v>
      </c>
      <c r="N34" s="1002"/>
      <c r="O34" s="1003" t="s">
        <v>411</v>
      </c>
      <c r="P34" s="1004">
        <f>IFERROR(INDEX('Building Configuration'!$B$2:$AA$34,MATCH(N$34,'Building Configuration'!$D$2:$D$34,0),MATCH("Total",'Building Configuration'!$B$2:$AA$2,0)),0)</f>
        <v>0</v>
      </c>
      <c r="Q34" s="1005"/>
      <c r="R34" s="123"/>
      <c r="S34" s="304"/>
      <c r="T34" s="285"/>
      <c r="V34" s="168"/>
      <c r="W34" s="123"/>
      <c r="X34" s="124"/>
    </row>
    <row r="35" spans="1:29" ht="15" customHeight="1">
      <c r="A35" s="6" t="s">
        <v>412</v>
      </c>
      <c r="B35" s="137" t="str">
        <f>IF(OR(D$37&gt;0,D$39&gt;0,D$43&gt;0),"YES","NO")</f>
        <v>NO</v>
      </c>
      <c r="D35" s="119"/>
      <c r="E35" s="103"/>
      <c r="G35" s="6" t="s">
        <v>412</v>
      </c>
      <c r="H35" s="137" t="str">
        <f>IF(OR(J$37&gt;0,J$39&gt;0,J$43&gt;0),"YES","NO")</f>
        <v>NO</v>
      </c>
      <c r="J35" s="119"/>
      <c r="K35" s="103"/>
      <c r="L35" s="123"/>
      <c r="M35" s="6" t="s">
        <v>412</v>
      </c>
      <c r="N35" s="137" t="str">
        <f>IF(OR(P$37&gt;0,P$39&gt;0,P$43&gt;0),"YES","NO")</f>
        <v>NO</v>
      </c>
      <c r="P35" s="119"/>
      <c r="Q35" s="103"/>
      <c r="R35" s="123"/>
      <c r="S35" s="123"/>
      <c r="T35" s="137"/>
      <c r="V35" s="168"/>
      <c r="W35" s="123"/>
      <c r="X35" s="124"/>
    </row>
    <row r="36" spans="1:29" ht="15" customHeight="1">
      <c r="A36" s="6" t="s">
        <v>222</v>
      </c>
      <c r="B36" s="118" t="str">
        <f>IFERROR(INDEX('Building Configuration'!$B$2:$AA$34,MATCH(B$34,'Building Configuration'!$D$2:$D$34,0),MATCH(A36,'Building Configuration'!$B$2:$AA$2,0)),"-")</f>
        <v>Multifamily-Market</v>
      </c>
      <c r="C36" s="5" t="s">
        <v>231</v>
      </c>
      <c r="D36" s="119">
        <f>IFERROR(INDEX('Building Configuration'!$B$2:$AA$34,MATCH(B$34,'Building Configuration'!$D$2:$D$34,0),MATCH(B36,'Building Configuration'!$B$2:$AA$2,0)),0)</f>
        <v>384141.67200000002</v>
      </c>
      <c r="E36" s="103"/>
      <c r="G36" s="6" t="s">
        <v>222</v>
      </c>
      <c r="H36" s="118" t="str">
        <f>IFERROR(INDEX('Building Configuration'!$B$2:$AA$34,MATCH(H$34,'Building Configuration'!$D$2:$D$34,0),MATCH(G36,'Building Configuration'!$B$2:$AA$2,0)),"-")</f>
        <v>-</v>
      </c>
      <c r="I36" s="5" t="s">
        <v>231</v>
      </c>
      <c r="J36" s="119">
        <f>IFERROR(INDEX('Building Configuration'!$B$2:$AA$34,MATCH(H$34,'Building Configuration'!$D$2:$D$34,0),MATCH(H36,'Building Configuration'!$B$2:$AA$2,0)),0)</f>
        <v>0</v>
      </c>
      <c r="K36" s="103"/>
      <c r="L36" s="123"/>
      <c r="M36" s="6" t="s">
        <v>222</v>
      </c>
      <c r="N36" s="118" t="str">
        <f>IFERROR(INDEX('Building Configuration'!$B$2:$AA$34,MATCH(N$34,'Building Configuration'!$D$2:$D$34,0),MATCH(M36,'Building Configuration'!$B$2:$AA$2,0)),"-")</f>
        <v>-</v>
      </c>
      <c r="O36" s="5" t="s">
        <v>231</v>
      </c>
      <c r="P36" s="119">
        <f>IFERROR(INDEX('Building Configuration'!$B$2:$AA$34,MATCH(N$34,'Building Configuration'!$D$2:$D$34,0),MATCH(N36,'Building Configuration'!$B$2:$AA$2,0)),0)</f>
        <v>0</v>
      </c>
      <c r="Q36" s="103"/>
      <c r="R36" s="123"/>
      <c r="S36" s="123"/>
      <c r="T36" s="118"/>
      <c r="V36" s="168"/>
      <c r="W36" s="123"/>
      <c r="X36" s="124"/>
    </row>
    <row r="37" spans="1:29" ht="15" customHeight="1">
      <c r="A37" s="6" t="s">
        <v>223</v>
      </c>
      <c r="B37" s="118" t="str">
        <f>IFERROR(INDEX('Building Configuration'!$B$2:$AA$34,MATCH(B$34,'Building Configuration'!$D$2:$D$34,0),MATCH(A37,'Building Configuration'!$B$2:$AA$2,0)),"-")</f>
        <v>-</v>
      </c>
      <c r="C37" s="5" t="s">
        <v>413</v>
      </c>
      <c r="D37" s="119">
        <f>IFERROR(INDEX('Building Configuration'!$B$2:$AA$34,MATCH(B$34,'Building Configuration'!$D$2:$D$34,0),MATCH(B37,'Building Configuration'!$B$2:$AA$2,0)),0)</f>
        <v>0</v>
      </c>
      <c r="E37" s="103"/>
      <c r="G37" s="6" t="s">
        <v>223</v>
      </c>
      <c r="H37" s="118" t="str">
        <f>IFERROR(INDEX('Building Configuration'!$B$2:$AA$34,MATCH(H$34,'Building Configuration'!$D$2:$D$34,0),MATCH(G37,'Building Configuration'!$B$2:$AA$2,0)),"-")</f>
        <v>-</v>
      </c>
      <c r="I37" s="5" t="s">
        <v>413</v>
      </c>
      <c r="J37" s="119">
        <f>IFERROR(INDEX('Building Configuration'!$B$2:$AA$34,MATCH(H$34,'Building Configuration'!$D$2:$D$34,0),MATCH(H37,'Building Configuration'!$B$2:$AA$2,0)),0)</f>
        <v>0</v>
      </c>
      <c r="K37" s="103"/>
      <c r="L37" s="123"/>
      <c r="M37" s="6" t="s">
        <v>223</v>
      </c>
      <c r="N37" s="118" t="str">
        <f>IFERROR(INDEX('Building Configuration'!$B$2:$AA$34,MATCH(N$34,'Building Configuration'!$D$2:$D$34,0),MATCH(M37,'Building Configuration'!$B$2:$AA$2,0)),"-")</f>
        <v>-</v>
      </c>
      <c r="O37" s="5" t="s">
        <v>413</v>
      </c>
      <c r="P37" s="119">
        <f>IFERROR(INDEX('Building Configuration'!$B$2:$AA$34,MATCH(N$34,'Building Configuration'!$D$2:$D$34,0),MATCH(N37,'Building Configuration'!$B$2:$AA$2,0)),0)</f>
        <v>0</v>
      </c>
      <c r="Q37" s="103"/>
      <c r="R37" s="123"/>
      <c r="S37" s="123"/>
      <c r="T37" s="118"/>
      <c r="V37" s="168"/>
      <c r="W37" s="123"/>
      <c r="X37" s="124"/>
    </row>
    <row r="38" spans="1:29" ht="15" customHeight="1">
      <c r="A38" s="6" t="s">
        <v>224</v>
      </c>
      <c r="B38" s="118" t="str">
        <f>IFERROR(INDEX('Building Configuration'!$B$2:$AA$34,MATCH(B$34,'Building Configuration'!$D$2:$D$34,0),MATCH(A38,'Building Configuration'!$B$2:$AA$2,0)),"-")</f>
        <v>Multifamily-Affordable</v>
      </c>
      <c r="C38" s="5" t="s">
        <v>233</v>
      </c>
      <c r="D38" s="119">
        <f>IFERROR(INDEX('Building Configuration'!$B$2:$AA$34,MATCH(B$34,'Building Configuration'!$D$2:$D$34,0),MATCH(B38,'Building Configuration'!$B$2:$AA$2,0)),0)</f>
        <v>96035.418000000005</v>
      </c>
      <c r="E38" s="103"/>
      <c r="G38" s="6" t="s">
        <v>224</v>
      </c>
      <c r="H38" s="118" t="str">
        <f>IFERROR(INDEX('Building Configuration'!$B$2:$AA$34,MATCH(H$34,'Building Configuration'!$D$2:$D$34,0),MATCH(G38,'Building Configuration'!$B$2:$AA$2,0)),"-")</f>
        <v>-</v>
      </c>
      <c r="I38" s="5" t="s">
        <v>233</v>
      </c>
      <c r="J38" s="119">
        <f>IFERROR(INDEX('Building Configuration'!$B$2:$AA$34,MATCH(H$34,'Building Configuration'!$D$2:$D$34,0),MATCH(H38,'Building Configuration'!$B$2:$AA$2,0)),0)</f>
        <v>0</v>
      </c>
      <c r="K38" s="103"/>
      <c r="L38" s="123"/>
      <c r="M38" s="6" t="s">
        <v>224</v>
      </c>
      <c r="N38" s="118" t="str">
        <f>IFERROR(INDEX('Building Configuration'!$B$2:$AA$34,MATCH(N$34,'Building Configuration'!$D$2:$D$34,0),MATCH(M38,'Building Configuration'!$B$2:$AA$2,0)),"-")</f>
        <v>-</v>
      </c>
      <c r="O38" s="5" t="s">
        <v>233</v>
      </c>
      <c r="P38" s="119">
        <f>IFERROR(INDEX('Building Configuration'!$B$2:$AA$34,MATCH(N$34,'Building Configuration'!$D$2:$D$34,0),MATCH(N38,'Building Configuration'!$B$2:$AA$2,0)),0)</f>
        <v>0</v>
      </c>
      <c r="Q38" s="103"/>
      <c r="R38" s="123"/>
      <c r="S38" s="123"/>
      <c r="T38" s="118"/>
      <c r="V38" s="168"/>
      <c r="W38" s="123"/>
      <c r="X38" s="124"/>
      <c r="Z38" s="168"/>
    </row>
    <row r="39" spans="1:29" ht="15" customHeight="1">
      <c r="A39" s="6" t="s">
        <v>225</v>
      </c>
      <c r="B39" s="118" t="str">
        <f>IFERROR(INDEX('Building Configuration'!$B$2:$AA$34,MATCH(B$34,'Building Configuration'!$D$2:$D$34,0),MATCH(A39,'Building Configuration'!$B$2:$AA$2,0)),"-")</f>
        <v>-</v>
      </c>
      <c r="C39" s="5" t="s">
        <v>414</v>
      </c>
      <c r="D39" s="119">
        <f>IFERROR(INDEX('Building Configuration'!$B$2:$AA$34,MATCH(B$34,'Building Configuration'!$D$2:$D$34,0),MATCH(B39,'Building Configuration'!$B$2:$AA$2,0)),0)</f>
        <v>0</v>
      </c>
      <c r="E39" s="103"/>
      <c r="G39" s="6" t="s">
        <v>225</v>
      </c>
      <c r="H39" s="118" t="str">
        <f>IFERROR(INDEX('Building Configuration'!$B$2:$AA$34,MATCH(H$34,'Building Configuration'!$D$2:$D$34,0),MATCH(G39,'Building Configuration'!$B$2:$AA$2,0)),"-")</f>
        <v>-</v>
      </c>
      <c r="I39" s="5" t="s">
        <v>414</v>
      </c>
      <c r="J39" s="119">
        <f>IFERROR(INDEX('Building Configuration'!$B$2:$AA$34,MATCH(H$34,'Building Configuration'!$D$2:$D$34,0),MATCH(H39,'Building Configuration'!$B$2:$AA$2,0)),0)</f>
        <v>0</v>
      </c>
      <c r="K39" s="103"/>
      <c r="L39" s="123"/>
      <c r="M39" s="6" t="s">
        <v>225</v>
      </c>
      <c r="N39" s="118" t="str">
        <f>IFERROR(INDEX('Building Configuration'!$B$2:$AA$34,MATCH(N$34,'Building Configuration'!$D$2:$D$34,0),MATCH(M39,'Building Configuration'!$B$2:$AA$2,0)),"-")</f>
        <v>-</v>
      </c>
      <c r="O39" s="5" t="s">
        <v>414</v>
      </c>
      <c r="P39" s="119">
        <f>IFERROR(INDEX('Building Configuration'!$B$2:$AA$34,MATCH(N$34,'Building Configuration'!$D$2:$D$34,0),MATCH(N39,'Building Configuration'!$B$2:$AA$2,0)),0)</f>
        <v>0</v>
      </c>
      <c r="Q39" s="103"/>
      <c r="R39" s="123"/>
      <c r="S39" s="123"/>
      <c r="T39" s="118"/>
      <c r="V39" s="168"/>
      <c r="W39" s="123"/>
      <c r="X39" s="124"/>
      <c r="Z39" s="168"/>
    </row>
    <row r="40" spans="1:29" ht="15" customHeight="1">
      <c r="A40" s="6" t="s">
        <v>226</v>
      </c>
      <c r="B40" s="118" t="str">
        <f>IFERROR(INDEX('Building Configuration'!$B$2:$AA$34,MATCH(B$34,'Building Configuration'!$D$2:$D$34,0),MATCH(A40,'Building Configuration'!$B$2:$AA$2,0)),"-")</f>
        <v>-</v>
      </c>
      <c r="C40" s="5" t="s">
        <v>59</v>
      </c>
      <c r="D40" s="119">
        <f>IFERROR(INDEX('Building Configuration'!$B$2:$AA$34,MATCH(B$34,'Building Configuration'!$D$2:$D$34,0),MATCH(B40,'Building Configuration'!$B$2:$AA$2,0)),0)</f>
        <v>0</v>
      </c>
      <c r="E40" s="103"/>
      <c r="G40" s="6" t="s">
        <v>226</v>
      </c>
      <c r="H40" s="118" t="str">
        <f>IFERROR(INDEX('Building Configuration'!$B$2:$AA$34,MATCH(H$34,'Building Configuration'!$D$2:$D$34,0),MATCH(G40,'Building Configuration'!$B$2:$AA$2,0)),"-")</f>
        <v>-</v>
      </c>
      <c r="I40" s="5" t="s">
        <v>59</v>
      </c>
      <c r="J40" s="119">
        <f>IFERROR(INDEX('Building Configuration'!$B$2:$AA$34,MATCH(H$34,'Building Configuration'!$D$2:$D$34,0),MATCH(H40,'Building Configuration'!$B$2:$AA$2,0)),0)</f>
        <v>0</v>
      </c>
      <c r="K40" s="103"/>
      <c r="L40" s="123"/>
      <c r="M40" s="6" t="s">
        <v>226</v>
      </c>
      <c r="N40" s="118" t="str">
        <f>IFERROR(INDEX('Building Configuration'!$B$2:$AA$34,MATCH(N$34,'Building Configuration'!$D$2:$D$34,0),MATCH(M40,'Building Configuration'!$B$2:$AA$2,0)),"-")</f>
        <v>-</v>
      </c>
      <c r="O40" s="5" t="s">
        <v>59</v>
      </c>
      <c r="P40" s="119">
        <f>IFERROR(INDEX('Building Configuration'!$B$2:$AA$34,MATCH(N$34,'Building Configuration'!$D$2:$D$34,0),MATCH(N40,'Building Configuration'!$B$2:$AA$2,0)),0)</f>
        <v>0</v>
      </c>
      <c r="Q40" s="103"/>
      <c r="R40" s="123"/>
      <c r="S40" s="123"/>
      <c r="T40" s="118"/>
      <c r="V40" s="168"/>
      <c r="W40" s="123"/>
      <c r="X40" s="124"/>
      <c r="Z40" s="168"/>
    </row>
    <row r="41" spans="1:29" ht="15" customHeight="1">
      <c r="A41" s="6" t="s">
        <v>227</v>
      </c>
      <c r="B41" s="118" t="str">
        <f>IFERROR(INDEX('Building Configuration'!$B$2:$AA$34,MATCH(B$34,'Building Configuration'!$D$2:$D$34,0),MATCH(A41,'Building Configuration'!$B$2:$AA$2,0)),"-")</f>
        <v>Retail</v>
      </c>
      <c r="C41" s="5" t="s">
        <v>415</v>
      </c>
      <c r="D41" s="119">
        <f>IFERROR(INDEX('Building Configuration'!$B$2:$AA$34,MATCH(B$34,'Building Configuration'!$D$2:$D$34,0),MATCH(B41,'Building Configuration'!$B$2:$AA$2,0)),0)</f>
        <v>61942.600000000006</v>
      </c>
      <c r="E41" s="103"/>
      <c r="G41" s="6" t="s">
        <v>227</v>
      </c>
      <c r="H41" s="118" t="str">
        <f>IFERROR(INDEX('Building Configuration'!$B$2:$AA$34,MATCH(H$34,'Building Configuration'!$D$2:$D$34,0),MATCH(G41,'Building Configuration'!$B$2:$AA$2,0)),"-")</f>
        <v>-</v>
      </c>
      <c r="I41" s="5" t="s">
        <v>415</v>
      </c>
      <c r="J41" s="119">
        <f>IFERROR(INDEX('Building Configuration'!$B$2:$AA$34,MATCH(H$34,'Building Configuration'!$D$2:$D$34,0),MATCH(H41,'Building Configuration'!$B$2:$AA$2,0)),0)</f>
        <v>0</v>
      </c>
      <c r="K41" s="103"/>
      <c r="L41" s="123"/>
      <c r="M41" s="6" t="s">
        <v>227</v>
      </c>
      <c r="N41" s="118" t="str">
        <f>IFERROR(INDEX('Building Configuration'!$B$2:$AA$34,MATCH(N$34,'Building Configuration'!$D$2:$D$34,0),MATCH(M41,'Building Configuration'!$B$2:$AA$2,0)),"-")</f>
        <v>-</v>
      </c>
      <c r="O41" s="5" t="s">
        <v>415</v>
      </c>
      <c r="P41" s="119">
        <f>IFERROR(INDEX('Building Configuration'!$B$2:$AA$34,MATCH(N$34,'Building Configuration'!$D$2:$D$34,0),MATCH(N41,'Building Configuration'!$B$2:$AA$2,0)),0)</f>
        <v>0</v>
      </c>
      <c r="Q41" s="103"/>
      <c r="R41" s="123"/>
      <c r="S41" s="123"/>
      <c r="T41" s="118"/>
      <c r="V41" s="168"/>
      <c r="W41" s="123"/>
      <c r="X41" s="124"/>
      <c r="Z41" s="168"/>
    </row>
    <row r="42" spans="1:29" ht="15" customHeight="1">
      <c r="A42" s="6" t="s">
        <v>228</v>
      </c>
      <c r="B42" s="118" t="str">
        <f>IFERROR(INDEX('Building Configuration'!$B$2:$AA$34,MATCH(B$34,'Building Configuration'!$D$2:$D$34,0),MATCH(A42,'Building Configuration'!$B$2:$AA$2,0)),"-")</f>
        <v>-</v>
      </c>
      <c r="C42" s="5" t="s">
        <v>416</v>
      </c>
      <c r="D42" s="119">
        <f>IFERROR(INDEX('Building Configuration'!$B$2:$AA$34,MATCH(B$34,'Building Configuration'!$D$2:$D$34,0),MATCH(B42,'Building Configuration'!$B$2:$AA$2,0)),0)</f>
        <v>0</v>
      </c>
      <c r="E42" s="103"/>
      <c r="G42" s="6" t="s">
        <v>228</v>
      </c>
      <c r="H42" s="118" t="str">
        <f>IFERROR(INDEX('Building Configuration'!$B$2:$AA$34,MATCH(H$34,'Building Configuration'!$D$2:$D$34,0),MATCH(G42,'Building Configuration'!$B$2:$AA$2,0)),"-")</f>
        <v>-</v>
      </c>
      <c r="I42" s="5" t="s">
        <v>416</v>
      </c>
      <c r="J42" s="119">
        <f>IFERROR(INDEX('Building Configuration'!$B$2:$AA$34,MATCH(H$34,'Building Configuration'!$D$2:$D$34,0),MATCH(H42,'Building Configuration'!$B$2:$AA$2,0)),0)</f>
        <v>0</v>
      </c>
      <c r="K42" s="103"/>
      <c r="L42" s="123"/>
      <c r="M42" s="6" t="s">
        <v>228</v>
      </c>
      <c r="N42" s="118" t="str">
        <f>IFERROR(INDEX('Building Configuration'!$B$2:$AA$34,MATCH(N$34,'Building Configuration'!$D$2:$D$34,0),MATCH(M42,'Building Configuration'!$B$2:$AA$2,0)),"-")</f>
        <v>-</v>
      </c>
      <c r="O42" s="5" t="s">
        <v>416</v>
      </c>
      <c r="P42" s="119">
        <f>IFERROR(INDEX('Building Configuration'!$B$2:$AA$34,MATCH(N$34,'Building Configuration'!$D$2:$D$34,0),MATCH(N42,'Building Configuration'!$B$2:$AA$2,0)),0)</f>
        <v>0</v>
      </c>
      <c r="Q42" s="103"/>
      <c r="R42" s="123"/>
      <c r="S42" s="123"/>
      <c r="T42" s="118"/>
      <c r="V42" s="168"/>
      <c r="W42" s="123"/>
      <c r="X42" s="124"/>
      <c r="Z42" s="168"/>
    </row>
    <row r="43" spans="1:29" ht="15" customHeight="1">
      <c r="A43" s="6" t="s">
        <v>229</v>
      </c>
      <c r="B43" s="118" t="str">
        <f>IFERROR(INDEX('Building Configuration'!$B$2:$AA$34,MATCH(B$34,'Building Configuration'!$D$2:$D$34,0),MATCH(A43,'Building Configuration'!$B$2:$AA$2,0)),"-")</f>
        <v>-</v>
      </c>
      <c r="C43" s="5" t="s">
        <v>229</v>
      </c>
      <c r="D43" s="119">
        <f>IFERROR(INDEX('Building Configuration'!$B$2:$AA$34,MATCH(B$34,'Building Configuration'!$D$2:$D$34,0),MATCH(B43,'Building Configuration'!$B$2:$AA$2,0)),0)</f>
        <v>0</v>
      </c>
      <c r="E43" s="103"/>
      <c r="G43" s="6" t="s">
        <v>229</v>
      </c>
      <c r="H43" s="118" t="str">
        <f>IFERROR(INDEX('Building Configuration'!$B$2:$AA$34,MATCH(H$34,'Building Configuration'!$D$2:$D$34,0),MATCH(G43,'Building Configuration'!$B$2:$AA$2,0)),"-")</f>
        <v>-</v>
      </c>
      <c r="I43" s="5" t="s">
        <v>229</v>
      </c>
      <c r="J43" s="119">
        <f>IFERROR(INDEX('Building Configuration'!$B$2:$AA$34,MATCH(H$34,'Building Configuration'!$D$2:$D$34,0),MATCH(H43,'Building Configuration'!$B$2:$AA$2,0)),0)</f>
        <v>0</v>
      </c>
      <c r="K43" s="103"/>
      <c r="L43" s="123"/>
      <c r="M43" s="6" t="s">
        <v>229</v>
      </c>
      <c r="N43" s="118" t="str">
        <f>IFERROR(INDEX('Building Configuration'!$B$2:$AA$34,MATCH(N$34,'Building Configuration'!$D$2:$D$34,0),MATCH(M43,'Building Configuration'!$B$2:$AA$2,0)),"-")</f>
        <v>-</v>
      </c>
      <c r="O43" s="5" t="s">
        <v>229</v>
      </c>
      <c r="P43" s="119">
        <f>IFERROR(INDEX('Building Configuration'!$B$2:$AA$34,MATCH(N$34,'Building Configuration'!$D$2:$D$34,0),MATCH(N43,'Building Configuration'!$B$2:$AA$2,0)),0)</f>
        <v>0</v>
      </c>
      <c r="Q43" s="103"/>
      <c r="R43" s="123"/>
      <c r="S43" s="123"/>
      <c r="T43" s="118"/>
      <c r="V43" s="168"/>
      <c r="W43" s="123"/>
      <c r="X43" s="124"/>
      <c r="Z43" s="168"/>
    </row>
    <row r="44" spans="1:29" ht="15" customHeight="1">
      <c r="A44" s="6" t="s">
        <v>230</v>
      </c>
      <c r="B44" s="118" t="str">
        <f>IFERROR(INDEX('Building Configuration'!$B$2:$AA$34,MATCH(B$34,'Building Configuration'!$D$2:$D$34,0),MATCH(A44,'Building Configuration'!$B$2:$AA$2,0)),"-")</f>
        <v>-</v>
      </c>
      <c r="C44" s="5" t="s">
        <v>230</v>
      </c>
      <c r="D44" s="119">
        <f>IFERROR(INDEX('Building Configuration'!$B$2:$AA$34,MATCH(B$34,'Building Configuration'!$D$2:$D$34,0),MATCH(B44,'Building Configuration'!$B$2:$AA$2,0)),0)</f>
        <v>0</v>
      </c>
      <c r="E44" s="103"/>
      <c r="G44" s="6" t="s">
        <v>230</v>
      </c>
      <c r="H44" s="118" t="str">
        <f>IFERROR(INDEX('Building Configuration'!$B$2:$AA$34,MATCH(H$34,'Building Configuration'!$D$2:$D$34,0),MATCH(G44,'Building Configuration'!$B$2:$AA$2,0)),"-")</f>
        <v>-</v>
      </c>
      <c r="I44" s="5" t="s">
        <v>230</v>
      </c>
      <c r="J44" s="119">
        <f>IFERROR(INDEX('Building Configuration'!$B$2:$AA$34,MATCH(H$34,'Building Configuration'!$D$2:$D$34,0),MATCH(H44,'Building Configuration'!$B$2:$AA$2,0)),0)</f>
        <v>0</v>
      </c>
      <c r="K44" s="103"/>
      <c r="L44" s="123"/>
      <c r="M44" s="6" t="s">
        <v>230</v>
      </c>
      <c r="N44" s="118" t="str">
        <f>IFERROR(INDEX('Building Configuration'!$B$2:$AA$34,MATCH(N$34,'Building Configuration'!$D$2:$D$34,0),MATCH(M44,'Building Configuration'!$B$2:$AA$2,0)),"-")</f>
        <v>-</v>
      </c>
      <c r="O44" s="5" t="s">
        <v>230</v>
      </c>
      <c r="P44" s="119">
        <f>IFERROR(INDEX('Building Configuration'!$B$2:$AA$34,MATCH(N$34,'Building Configuration'!$D$2:$D$34,0),MATCH(N44,'Building Configuration'!$B$2:$AA$2,0)),0)</f>
        <v>0</v>
      </c>
      <c r="Q44" s="103"/>
      <c r="R44" s="123"/>
      <c r="S44" s="123"/>
      <c r="T44" s="118"/>
      <c r="V44" s="168"/>
      <c r="W44" s="123"/>
      <c r="X44" s="124"/>
      <c r="Z44" s="168"/>
    </row>
    <row r="45" spans="1:29" ht="15" customHeight="1">
      <c r="A45" s="6" t="s">
        <v>417</v>
      </c>
      <c r="B45" s="118" t="str">
        <f>IFERROR(IF(INDEX('Building Configuration'!$B$2:$AA$34,MATCH(B$34,'Building Configuration'!$D$2:$D$34,0),MATCH(C45,'Building Configuration'!$B$2:$AA$2,0))&gt;0,"YES","NO"),"-")</f>
        <v>YES</v>
      </c>
      <c r="C45" s="5" t="s">
        <v>116</v>
      </c>
      <c r="D45" s="119">
        <f>IFERROR(INDEX('Building Configuration'!$B$2:$AA$34,MATCH(B$34,'Building Configuration'!$D$2:$D$34,0),MATCH(C45,'Building Configuration'!$B$2:$AA$2,0)),0)</f>
        <v>77306.31</v>
      </c>
      <c r="E45" s="65"/>
      <c r="G45" s="6" t="s">
        <v>417</v>
      </c>
      <c r="H45" s="118" t="str">
        <f>IFERROR(IF(INDEX('Building Configuration'!$B$2:$AA$34,MATCH(H$34,'Building Configuration'!$D$2:$D$34,0),MATCH(I45,'Building Configuration'!$B$2:$AA$2,0))&gt;0,"YES","NO"),"-")</f>
        <v>-</v>
      </c>
      <c r="I45" s="5" t="s">
        <v>116</v>
      </c>
      <c r="J45" s="119">
        <f>IFERROR(INDEX('Building Configuration'!$B$2:$AA$34,MATCH(H$34,'Building Configuration'!$D$2:$D$34,0),MATCH(I45,'Building Configuration'!$B$2:$AA$2,0)),0)</f>
        <v>0</v>
      </c>
      <c r="K45" s="65"/>
      <c r="L45" s="55"/>
      <c r="M45" s="6" t="s">
        <v>417</v>
      </c>
      <c r="N45" s="118" t="str">
        <f>IFERROR(IF(INDEX('Building Configuration'!$B$2:$AA$34,MATCH(N$34,'Building Configuration'!$D$2:$D$34,0),MATCH(O45,'Building Configuration'!$B$2:$AA$2,0))&gt;0,"YES","NO"),"-")</f>
        <v>-</v>
      </c>
      <c r="O45" s="5" t="s">
        <v>116</v>
      </c>
      <c r="P45" s="119">
        <f>IFERROR(INDEX('Building Configuration'!$B$2:$AA$34,MATCH(N$34,'Building Configuration'!$D$2:$D$34,0),MATCH(O45,'Building Configuration'!$B$2:$AA$2,0)),0)</f>
        <v>0</v>
      </c>
      <c r="Q45" s="65"/>
      <c r="R45" s="55"/>
      <c r="S45" s="123"/>
      <c r="T45" s="118"/>
      <c r="V45" s="168"/>
      <c r="W45" s="55"/>
      <c r="X45" s="99"/>
      <c r="Z45" s="117"/>
    </row>
    <row r="46" spans="1:29" ht="15" customHeight="1">
      <c r="A46" s="6" t="s">
        <v>418</v>
      </c>
      <c r="B46" s="161">
        <v>0.9</v>
      </c>
      <c r="C46" s="162">
        <f>100%-B46</f>
        <v>9.9999999999999978E-2</v>
      </c>
      <c r="D46" s="119"/>
      <c r="E46" s="65"/>
      <c r="G46" s="6" t="s">
        <v>418</v>
      </c>
      <c r="H46" s="161">
        <v>1</v>
      </c>
      <c r="I46" s="162">
        <f>100%-H46</f>
        <v>0</v>
      </c>
      <c r="J46" s="119"/>
      <c r="K46" s="65"/>
      <c r="L46" s="55"/>
      <c r="M46" s="6" t="s">
        <v>418</v>
      </c>
      <c r="N46" s="161">
        <v>1</v>
      </c>
      <c r="O46" s="162">
        <f>100%-N46</f>
        <v>0</v>
      </c>
      <c r="P46" s="119"/>
      <c r="Q46" s="65"/>
      <c r="R46" s="55"/>
      <c r="S46" s="123"/>
      <c r="T46" s="294"/>
      <c r="U46" s="305"/>
      <c r="V46" s="168"/>
      <c r="W46" s="55"/>
      <c r="X46" s="99"/>
    </row>
    <row r="47" spans="1:29" ht="15" customHeight="1">
      <c r="A47" s="6"/>
      <c r="B47" s="118"/>
      <c r="D47" s="119"/>
      <c r="E47" s="65"/>
      <c r="G47" s="6"/>
      <c r="H47" s="118"/>
      <c r="J47" s="119"/>
      <c r="K47" s="65"/>
      <c r="L47" s="55"/>
      <c r="M47" s="6"/>
      <c r="N47" s="118"/>
      <c r="P47" s="119"/>
      <c r="Q47" s="65"/>
      <c r="R47" s="55"/>
      <c r="S47" s="123"/>
      <c r="T47" s="118"/>
      <c r="V47" s="168"/>
      <c r="W47" s="55"/>
      <c r="X47" s="99"/>
    </row>
    <row r="48" spans="1:29" ht="15" customHeight="1">
      <c r="A48" s="104" t="s">
        <v>222</v>
      </c>
      <c r="B48" s="105" t="str">
        <f>B$36</f>
        <v>Multifamily-Market</v>
      </c>
      <c r="C48" s="166" t="s">
        <v>419</v>
      </c>
      <c r="D48" s="111">
        <f>D$36*E$48</f>
        <v>295789.08744000003</v>
      </c>
      <c r="E48" s="106">
        <f>Assumptions!$Y$28</f>
        <v>0.77</v>
      </c>
      <c r="F48" s="99"/>
      <c r="G48" s="104" t="s">
        <v>222</v>
      </c>
      <c r="H48" s="105" t="str">
        <f>H$36</f>
        <v>-</v>
      </c>
      <c r="I48" s="166" t="s">
        <v>419</v>
      </c>
      <c r="J48" s="111">
        <f>J$36*K$48</f>
        <v>0</v>
      </c>
      <c r="K48" s="106">
        <f>Assumptions!$Y$28</f>
        <v>0.77</v>
      </c>
      <c r="L48" s="55"/>
      <c r="M48" s="104" t="s">
        <v>222</v>
      </c>
      <c r="N48" s="105" t="str">
        <f>N$36</f>
        <v>-</v>
      </c>
      <c r="O48" s="166" t="s">
        <v>419</v>
      </c>
      <c r="P48" s="111">
        <f>P$36*Q$48</f>
        <v>0</v>
      </c>
      <c r="Q48" s="106">
        <f>Assumptions!$Y$28</f>
        <v>0.77</v>
      </c>
      <c r="R48" s="55"/>
      <c r="S48" s="123"/>
      <c r="T48" s="99"/>
      <c r="U48" s="135"/>
      <c r="V48" s="295"/>
      <c r="W48" s="55"/>
      <c r="X48" s="99"/>
    </row>
    <row r="49" spans="1:24" ht="15" customHeight="1">
      <c r="A49" s="104" t="s">
        <v>420</v>
      </c>
      <c r="B49" s="160">
        <v>298</v>
      </c>
      <c r="C49" s="113" t="str">
        <f>IF(C55&gt;D48,"# of Units Over Available Area","# of Units Within Available Area")</f>
        <v># of Units Within Available Area</v>
      </c>
      <c r="D49" s="112" t="s">
        <v>421</v>
      </c>
      <c r="E49" s="120">
        <v>0</v>
      </c>
      <c r="F49" s="101"/>
      <c r="G49" s="104" t="s">
        <v>420</v>
      </c>
      <c r="H49" s="160">
        <v>0</v>
      </c>
      <c r="I49" s="113" t="str">
        <f>IF(I55&gt;J48,"# of Units Over Available Area","# of Units Within Available Area")</f>
        <v># of Units Within Available Area</v>
      </c>
      <c r="J49" s="112" t="s">
        <v>421</v>
      </c>
      <c r="K49" s="120">
        <v>0</v>
      </c>
      <c r="L49" s="102"/>
      <c r="M49" s="104" t="s">
        <v>420</v>
      </c>
      <c r="N49" s="160">
        <v>0</v>
      </c>
      <c r="O49" s="113" t="str">
        <f>IF(O55&gt;P48,"# of Units Over Available Area","# of Units Within Available Area")</f>
        <v># of Units Within Available Area</v>
      </c>
      <c r="P49" s="112" t="s">
        <v>421</v>
      </c>
      <c r="Q49" s="120">
        <v>0</v>
      </c>
      <c r="R49" s="102"/>
      <c r="S49" s="123"/>
      <c r="T49" s="296"/>
      <c r="U49" s="297"/>
      <c r="V49" s="112"/>
      <c r="W49" s="102"/>
      <c r="X49" s="99"/>
    </row>
    <row r="50" spans="1:24" ht="15" customHeight="1">
      <c r="A50" s="107" t="s">
        <v>308</v>
      </c>
      <c r="B50" s="200" t="s">
        <v>422</v>
      </c>
      <c r="C50" s="109" t="s">
        <v>419</v>
      </c>
      <c r="D50" s="108" t="s">
        <v>423</v>
      </c>
      <c r="E50" s="110" t="s">
        <v>424</v>
      </c>
      <c r="F50" s="99"/>
      <c r="G50" s="107" t="s">
        <v>308</v>
      </c>
      <c r="H50" s="200" t="s">
        <v>422</v>
      </c>
      <c r="I50" s="109" t="s">
        <v>419</v>
      </c>
      <c r="J50" s="108" t="s">
        <v>423</v>
      </c>
      <c r="K50" s="110" t="s">
        <v>424</v>
      </c>
      <c r="L50" s="124"/>
      <c r="M50" s="107" t="s">
        <v>308</v>
      </c>
      <c r="N50" s="200" t="s">
        <v>422</v>
      </c>
      <c r="O50" s="109" t="s">
        <v>419</v>
      </c>
      <c r="P50" s="108" t="s">
        <v>423</v>
      </c>
      <c r="Q50" s="110" t="s">
        <v>424</v>
      </c>
      <c r="R50" s="124"/>
      <c r="S50" s="123"/>
      <c r="T50" s="306"/>
      <c r="U50" s="276"/>
      <c r="V50" s="124"/>
      <c r="W50" s="124"/>
      <c r="X50" s="99"/>
    </row>
    <row r="51" spans="1:24" ht="15" customHeight="1">
      <c r="A51" s="31" t="str">
        <f>Assumptions!$W$5</f>
        <v>Studio</v>
      </c>
      <c r="B51" s="76">
        <f>B$49*INDEX(Assumptions!$Y$5:$Y$8,MATCH(A51,Assumptions!$W$5:$W$8,0))</f>
        <v>59.6</v>
      </c>
      <c r="C51" s="32">
        <f>Assumptions!$R$15</f>
        <v>550</v>
      </c>
      <c r="D51" s="42">
        <f>Assumptions!$R$16*(1+E$49)</f>
        <v>3</v>
      </c>
      <c r="E51" s="43">
        <f>12*B51*C51*D51</f>
        <v>1180080</v>
      </c>
      <c r="F51" s="99"/>
      <c r="G51" s="31" t="str">
        <f>Assumptions!$W$5</f>
        <v>Studio</v>
      </c>
      <c r="H51" s="76">
        <f>H$49*INDEX(Assumptions!$Y$5:$Y$8,MATCH(G51,Assumptions!$W$5:$W$8,0))</f>
        <v>0</v>
      </c>
      <c r="I51" s="32">
        <f>Assumptions!$R$15</f>
        <v>550</v>
      </c>
      <c r="J51" s="42">
        <f>Assumptions!$R$16*(1+K$49)</f>
        <v>3</v>
      </c>
      <c r="K51" s="43">
        <f>12*H51*I51*J51</f>
        <v>0</v>
      </c>
      <c r="L51" s="125"/>
      <c r="M51" s="31" t="str">
        <f>Assumptions!$W$5</f>
        <v>Studio</v>
      </c>
      <c r="N51" s="76">
        <f>N$49*INDEX(Assumptions!$Y$5:$Y$8,MATCH(M51,Assumptions!$W$5:$W$8,0))</f>
        <v>0</v>
      </c>
      <c r="O51" s="32">
        <f>Assumptions!$R$15</f>
        <v>550</v>
      </c>
      <c r="P51" s="42">
        <f>Assumptions!$R$16*(1+Q$49)</f>
        <v>3</v>
      </c>
      <c r="Q51" s="43">
        <f>12*N51*O51*P51</f>
        <v>0</v>
      </c>
      <c r="R51" s="125"/>
      <c r="S51" s="307"/>
      <c r="T51" s="100"/>
      <c r="U51" s="308"/>
      <c r="V51" s="309"/>
      <c r="W51" s="125"/>
      <c r="X51" s="99"/>
    </row>
    <row r="52" spans="1:24" ht="15" customHeight="1">
      <c r="A52" s="31" t="str">
        <f>Assumptions!$W$6</f>
        <v>1BR</v>
      </c>
      <c r="B52" s="76">
        <f>B$49*INDEX(Assumptions!$Y$5:$Y$8,MATCH(A52,Assumptions!$W$5:$W$8,0))</f>
        <v>149</v>
      </c>
      <c r="C52" s="378">
        <f>Assumptions!$R$18</f>
        <v>800</v>
      </c>
      <c r="D52" s="379">
        <f>Assumptions!$R$19*(1+E$49)</f>
        <v>2.4</v>
      </c>
      <c r="E52" s="380">
        <f>12*B52*C52*D52</f>
        <v>3432960</v>
      </c>
      <c r="F52" s="99"/>
      <c r="G52" s="31" t="str">
        <f>Assumptions!$W$6</f>
        <v>1BR</v>
      </c>
      <c r="H52" s="76">
        <f>H$49*INDEX(Assumptions!$Y$5:$Y$8,MATCH(G52,Assumptions!$W$5:$W$8,0))</f>
        <v>0</v>
      </c>
      <c r="I52" s="378">
        <f>Assumptions!$R$18</f>
        <v>800</v>
      </c>
      <c r="J52" s="379">
        <f>Assumptions!$R$19*(1+K$49)</f>
        <v>2.4</v>
      </c>
      <c r="K52" s="380">
        <f>12*H52*I52*J52</f>
        <v>0</v>
      </c>
      <c r="L52" s="125"/>
      <c r="M52" s="31" t="str">
        <f>Assumptions!$W$6</f>
        <v>1BR</v>
      </c>
      <c r="N52" s="76">
        <f>N$49*INDEX(Assumptions!$Y$5:$Y$8,MATCH(M52,Assumptions!$W$5:$W$8,0))</f>
        <v>0</v>
      </c>
      <c r="O52" s="378">
        <f>Assumptions!$R$18</f>
        <v>800</v>
      </c>
      <c r="P52" s="379">
        <f>Assumptions!$R$19*(1+Q$49)</f>
        <v>2.4</v>
      </c>
      <c r="Q52" s="380">
        <f>12*N52*O52*P52</f>
        <v>0</v>
      </c>
      <c r="R52" s="125"/>
      <c r="S52" s="307"/>
      <c r="T52" s="100"/>
      <c r="U52" s="308"/>
      <c r="V52" s="309"/>
      <c r="W52" s="125"/>
      <c r="X52" s="99"/>
    </row>
    <row r="53" spans="1:24" ht="15" customHeight="1">
      <c r="A53" s="31" t="str">
        <f>Assumptions!$W$7</f>
        <v>2BR</v>
      </c>
      <c r="B53" s="76">
        <f>B$49*INDEX(Assumptions!$Y$5:$Y$8,MATCH(A53,Assumptions!$W$5:$W$8,0))</f>
        <v>44.699999999999996</v>
      </c>
      <c r="C53" s="32">
        <f>Assumptions!$R$21</f>
        <v>1200</v>
      </c>
      <c r="D53" s="379">
        <f>Assumptions!$R$22*(1+E$49)</f>
        <v>2.2000000000000002</v>
      </c>
      <c r="E53" s="380">
        <f>12*B53*C53*D53</f>
        <v>1416096</v>
      </c>
      <c r="F53" s="100"/>
      <c r="G53" s="31" t="str">
        <f>Assumptions!$W$7</f>
        <v>2BR</v>
      </c>
      <c r="H53" s="76">
        <f>H$49*INDEX(Assumptions!$Y$5:$Y$8,MATCH(G53,Assumptions!$W$5:$W$8,0))</f>
        <v>0</v>
      </c>
      <c r="I53" s="32">
        <f>Assumptions!$R$21</f>
        <v>1200</v>
      </c>
      <c r="J53" s="379">
        <f>Assumptions!$R$22*(1+K$49)</f>
        <v>2.2000000000000002</v>
      </c>
      <c r="K53" s="380">
        <f>12*H53*I53*J53</f>
        <v>0</v>
      </c>
      <c r="L53" s="125"/>
      <c r="M53" s="31" t="str">
        <f>Assumptions!$W$7</f>
        <v>2BR</v>
      </c>
      <c r="N53" s="76">
        <f>N$49*INDEX(Assumptions!$Y$5:$Y$8,MATCH(M53,Assumptions!$W$5:$W$8,0))</f>
        <v>0</v>
      </c>
      <c r="O53" s="32">
        <f>Assumptions!$R$21</f>
        <v>1200</v>
      </c>
      <c r="P53" s="379">
        <f>Assumptions!$R$22*(1+Q$49)</f>
        <v>2.2000000000000002</v>
      </c>
      <c r="Q53" s="380">
        <f>12*N53*O53*P53</f>
        <v>0</v>
      </c>
      <c r="R53" s="125"/>
      <c r="S53" s="307"/>
      <c r="T53" s="100"/>
      <c r="U53" s="308"/>
      <c r="V53" s="309"/>
      <c r="W53" s="125"/>
    </row>
    <row r="54" spans="1:24" ht="15" customHeight="1" thickBot="1">
      <c r="A54" s="31" t="str">
        <f>Assumptions!$W$8</f>
        <v>3BR</v>
      </c>
      <c r="B54" s="76">
        <f>B$49*INDEX(Assumptions!$Y$5:$Y$8,MATCH(A54,Assumptions!$W$5:$W$8,0))</f>
        <v>44.699999999999996</v>
      </c>
      <c r="C54" s="378">
        <f>Assumptions!$R$24</f>
        <v>2000</v>
      </c>
      <c r="D54" s="379">
        <f>Assumptions!$R$25*(1+E$49)</f>
        <v>2.5</v>
      </c>
      <c r="E54" s="380">
        <f>12*B54*C54*D54</f>
        <v>2682000</v>
      </c>
      <c r="G54" s="31" t="str">
        <f>Assumptions!$W$8</f>
        <v>3BR</v>
      </c>
      <c r="H54" s="76">
        <f>H$49*INDEX(Assumptions!$Y$5:$Y$8,MATCH(G54,Assumptions!$W$5:$W$8,0))</f>
        <v>0</v>
      </c>
      <c r="I54" s="378">
        <f>Assumptions!$R$24</f>
        <v>2000</v>
      </c>
      <c r="J54" s="379">
        <f>Assumptions!$R$25*(1+K$49)</f>
        <v>2.5</v>
      </c>
      <c r="K54" s="380">
        <f>12*H54*I54*J54</f>
        <v>0</v>
      </c>
      <c r="L54" s="125"/>
      <c r="M54" s="31" t="str">
        <f>Assumptions!$W$8</f>
        <v>3BR</v>
      </c>
      <c r="N54" s="76">
        <f>N$49*INDEX(Assumptions!$Y$5:$Y$8,MATCH(M54,Assumptions!$W$5:$W$8,0))</f>
        <v>0</v>
      </c>
      <c r="O54" s="378">
        <f>Assumptions!$R$24</f>
        <v>2000</v>
      </c>
      <c r="P54" s="379">
        <f>Assumptions!$R$25*(1+Q$49)</f>
        <v>2.5</v>
      </c>
      <c r="Q54" s="380">
        <f>12*N54*O54*P54</f>
        <v>0</v>
      </c>
      <c r="R54" s="125"/>
      <c r="S54" s="307"/>
      <c r="T54" s="100"/>
      <c r="U54" s="308"/>
      <c r="V54" s="309"/>
      <c r="W54" s="125"/>
    </row>
    <row r="55" spans="1:24" ht="15" customHeight="1" thickTop="1" thickBot="1">
      <c r="A55" s="7" t="s">
        <v>425</v>
      </c>
      <c r="B55" s="8">
        <f>SUM(B51:B54)</f>
        <v>298</v>
      </c>
      <c r="C55" s="9">
        <f>SUMPRODUCT(B51:B54,C51:C54)</f>
        <v>295020</v>
      </c>
      <c r="D55" s="61"/>
      <c r="E55" s="62">
        <f>SUM(E51:E54)</f>
        <v>8711136</v>
      </c>
      <c r="F55" s="100"/>
      <c r="G55" s="7" t="s">
        <v>425</v>
      </c>
      <c r="H55" s="8">
        <f>SUM(H51:H54)</f>
        <v>0</v>
      </c>
      <c r="I55" s="9">
        <f>SUMPRODUCT(H51:H54,I51:I54)</f>
        <v>0</v>
      </c>
      <c r="J55" s="61"/>
      <c r="K55" s="62">
        <f>SUM(K51:K54)</f>
        <v>0</v>
      </c>
      <c r="L55" s="122"/>
      <c r="M55" s="7" t="s">
        <v>425</v>
      </c>
      <c r="N55" s="8">
        <f>SUM(N51:N54)</f>
        <v>0</v>
      </c>
      <c r="O55" s="9">
        <f>SUMPRODUCT(N51:N54,O51:O54)</f>
        <v>0</v>
      </c>
      <c r="P55" s="61"/>
      <c r="Q55" s="62">
        <f>SUM(Q51:Q54)</f>
        <v>0</v>
      </c>
      <c r="R55" s="122"/>
      <c r="S55" s="12"/>
      <c r="T55" s="310"/>
      <c r="U55" s="311"/>
      <c r="V55" s="312"/>
      <c r="W55" s="122"/>
    </row>
    <row r="56" spans="1:24" ht="15" customHeight="1" thickTop="1" thickBot="1">
      <c r="A56" s="10" t="s">
        <v>426</v>
      </c>
      <c r="B56" s="60"/>
      <c r="C56" s="11">
        <f>IFERROR(C55/B55,0)</f>
        <v>990</v>
      </c>
      <c r="D56" s="63">
        <f>IFERROR((E55/12)/C55,0)</f>
        <v>2.4606060606060605</v>
      </c>
      <c r="E56" s="64"/>
      <c r="G56" s="10" t="s">
        <v>426</v>
      </c>
      <c r="H56" s="60"/>
      <c r="I56" s="11">
        <f>IFERROR(I55/H55,0)</f>
        <v>0</v>
      </c>
      <c r="J56" s="63">
        <f>IFERROR((K55/12)/I55,0)</f>
        <v>0</v>
      </c>
      <c r="K56" s="64"/>
      <c r="L56" s="12"/>
      <c r="M56" s="10" t="s">
        <v>426</v>
      </c>
      <c r="N56" s="60"/>
      <c r="O56" s="11">
        <f>IFERROR(O55/N55,0)</f>
        <v>0</v>
      </c>
      <c r="P56" s="63">
        <f>IFERROR((Q55/12)/O55,0)</f>
        <v>0</v>
      </c>
      <c r="Q56" s="64"/>
      <c r="R56" s="12"/>
      <c r="S56" s="12"/>
      <c r="T56" s="313"/>
      <c r="U56" s="314"/>
      <c r="V56" s="315"/>
      <c r="W56" s="12"/>
      <c r="X56" s="100"/>
    </row>
    <row r="57" spans="1:24" ht="15" customHeight="1">
      <c r="A57" s="104" t="s">
        <v>223</v>
      </c>
      <c r="B57" s="105" t="str">
        <f>B$37</f>
        <v>-</v>
      </c>
      <c r="C57" s="166" t="s">
        <v>419</v>
      </c>
      <c r="D57" s="165">
        <f>D$37*E$57</f>
        <v>0</v>
      </c>
      <c r="E57" s="106">
        <f>Assumptions!$Y$28</f>
        <v>0.77</v>
      </c>
      <c r="G57" s="104" t="s">
        <v>223</v>
      </c>
      <c r="H57" s="105" t="str">
        <f>H$37</f>
        <v>-</v>
      </c>
      <c r="I57" s="166" t="s">
        <v>419</v>
      </c>
      <c r="J57" s="165">
        <f>J$37*K$57</f>
        <v>0</v>
      </c>
      <c r="K57" s="106">
        <f>Assumptions!$Y$28</f>
        <v>0.77</v>
      </c>
      <c r="L57" s="55"/>
      <c r="M57" s="104" t="s">
        <v>223</v>
      </c>
      <c r="N57" s="105" t="str">
        <f>N$37</f>
        <v>-</v>
      </c>
      <c r="O57" s="166" t="s">
        <v>419</v>
      </c>
      <c r="P57" s="165">
        <f>P$37*Q$57</f>
        <v>0</v>
      </c>
      <c r="Q57" s="106">
        <f>Assumptions!$Y$28</f>
        <v>0.77</v>
      </c>
      <c r="R57" s="55"/>
      <c r="S57" s="123"/>
      <c r="T57" s="99"/>
      <c r="U57" s="135"/>
      <c r="V57" s="298"/>
      <c r="W57" s="55"/>
      <c r="X57" s="100"/>
    </row>
    <row r="58" spans="1:24" ht="15" customHeight="1">
      <c r="A58" s="104" t="s">
        <v>420</v>
      </c>
      <c r="B58" s="160">
        <v>0</v>
      </c>
      <c r="C58" s="113" t="str">
        <f>IF(C63&gt;D57,"# of Units Over Available Area","# of Units Within Available Area")</f>
        <v># of Units Within Available Area</v>
      </c>
      <c r="D58" s="158"/>
      <c r="E58" s="159"/>
      <c r="G58" s="104" t="s">
        <v>420</v>
      </c>
      <c r="H58" s="160">
        <v>0</v>
      </c>
      <c r="I58" s="113" t="str">
        <f>IF(I63&gt;J57,"# of Units Over Available Area","# of Units Within Available Area")</f>
        <v># of Units Within Available Area</v>
      </c>
      <c r="J58" s="158"/>
      <c r="K58" s="159"/>
      <c r="L58" s="102"/>
      <c r="M58" s="104" t="s">
        <v>420</v>
      </c>
      <c r="N58" s="160">
        <v>0</v>
      </c>
      <c r="O58" s="113" t="str">
        <f>IF(O63&gt;P57,"# of Units Over Available Area","# of Units Within Available Area")</f>
        <v># of Units Within Available Area</v>
      </c>
      <c r="P58" s="158"/>
      <c r="Q58" s="159"/>
      <c r="R58" s="102"/>
      <c r="S58" s="123"/>
      <c r="T58" s="296"/>
      <c r="U58" s="297"/>
      <c r="V58" s="112"/>
      <c r="W58" s="102"/>
      <c r="X58" s="100"/>
    </row>
    <row r="59" spans="1:24" ht="15" customHeight="1">
      <c r="A59" s="107" t="s">
        <v>308</v>
      </c>
      <c r="B59" s="108" t="s">
        <v>427</v>
      </c>
      <c r="C59" s="109" t="s">
        <v>428</v>
      </c>
      <c r="D59" s="108" t="s">
        <v>74</v>
      </c>
      <c r="E59" s="110" t="s">
        <v>429</v>
      </c>
      <c r="G59" s="107" t="s">
        <v>308</v>
      </c>
      <c r="H59" s="108" t="s">
        <v>427</v>
      </c>
      <c r="I59" s="109" t="s">
        <v>428</v>
      </c>
      <c r="J59" s="108" t="s">
        <v>74</v>
      </c>
      <c r="K59" s="110" t="s">
        <v>429</v>
      </c>
      <c r="L59" s="124"/>
      <c r="M59" s="107" t="s">
        <v>308</v>
      </c>
      <c r="N59" s="108" t="s">
        <v>427</v>
      </c>
      <c r="O59" s="109" t="s">
        <v>428</v>
      </c>
      <c r="P59" s="108" t="s">
        <v>74</v>
      </c>
      <c r="Q59" s="110" t="s">
        <v>429</v>
      </c>
      <c r="R59" s="124"/>
      <c r="S59" s="123"/>
      <c r="T59" s="124"/>
      <c r="U59" s="276"/>
      <c r="V59" s="124"/>
      <c r="W59" s="124"/>
      <c r="X59" s="100"/>
    </row>
    <row r="60" spans="1:24" ht="15" customHeight="1">
      <c r="A60" s="31" t="str">
        <f>Assumptions!$W$15</f>
        <v>1BR</v>
      </c>
      <c r="B60" s="76">
        <f>B$58*INDEX(Assumptions!$Y$10:$Y$12,MATCH(A60,Assumptions!$W$10:$W$12,0))</f>
        <v>0</v>
      </c>
      <c r="C60" s="32">
        <f>Assumptions!$S$18</f>
        <v>1000</v>
      </c>
      <c r="D60" s="379">
        <f>Assumptions!$S$19</f>
        <v>400</v>
      </c>
      <c r="E60" s="380">
        <f>B60*C60*D60</f>
        <v>0</v>
      </c>
      <c r="G60" s="31" t="str">
        <f>Assumptions!$W$15</f>
        <v>1BR</v>
      </c>
      <c r="H60" s="76">
        <f>H$58*INDEX(Assumptions!$Y$10:$Y$12,MATCH(G60,Assumptions!$W$10:$W$12,0))</f>
        <v>0</v>
      </c>
      <c r="I60" s="32">
        <f>Assumptions!$S$18</f>
        <v>1000</v>
      </c>
      <c r="J60" s="379">
        <f>Assumptions!$S$19</f>
        <v>400</v>
      </c>
      <c r="K60" s="380">
        <f>H60*I60*J60</f>
        <v>0</v>
      </c>
      <c r="L60" s="124"/>
      <c r="M60" s="31" t="str">
        <f>Assumptions!$W$15</f>
        <v>1BR</v>
      </c>
      <c r="N60" s="76">
        <f>N$58*INDEX(Assumptions!$Y$10:$Y$12,MATCH(M60,Assumptions!$W$10:$W$12,0))</f>
        <v>0</v>
      </c>
      <c r="O60" s="32">
        <f>Assumptions!$S$18</f>
        <v>1000</v>
      </c>
      <c r="P60" s="379">
        <f>Assumptions!$S$19</f>
        <v>400</v>
      </c>
      <c r="Q60" s="380">
        <f>N60*O60*P60</f>
        <v>0</v>
      </c>
      <c r="R60" s="124"/>
      <c r="S60" s="307"/>
      <c r="T60" s="100"/>
      <c r="U60" s="308"/>
      <c r="V60" s="309"/>
      <c r="W60" s="125"/>
      <c r="X60" s="100"/>
    </row>
    <row r="61" spans="1:24" ht="15" customHeight="1">
      <c r="A61" s="31" t="str">
        <f>Assumptions!$W$16</f>
        <v>2BR</v>
      </c>
      <c r="B61" s="76">
        <f>B$58*INDEX(Assumptions!$Y$10:$Y$12,MATCH(A61,Assumptions!$W$10:$W$12,0))</f>
        <v>0</v>
      </c>
      <c r="C61" s="32">
        <f>Assumptions!$S$21</f>
        <v>1500</v>
      </c>
      <c r="D61" s="379">
        <f>Assumptions!$S$22</f>
        <v>370</v>
      </c>
      <c r="E61" s="380">
        <f>B61*C61*D61</f>
        <v>0</v>
      </c>
      <c r="G61" s="31" t="str">
        <f>Assumptions!$W$16</f>
        <v>2BR</v>
      </c>
      <c r="H61" s="76">
        <f>H$58*INDEX(Assumptions!$Y$10:$Y$12,MATCH(G61,Assumptions!$W$10:$W$12,0))</f>
        <v>0</v>
      </c>
      <c r="I61" s="32">
        <f>Assumptions!$S$21</f>
        <v>1500</v>
      </c>
      <c r="J61" s="379">
        <f>Assumptions!$S$22</f>
        <v>370</v>
      </c>
      <c r="K61" s="380">
        <f>H61*I61*J61</f>
        <v>0</v>
      </c>
      <c r="L61" s="125"/>
      <c r="M61" s="31" t="str">
        <f>Assumptions!$W$16</f>
        <v>2BR</v>
      </c>
      <c r="N61" s="76">
        <f>N$58*INDEX(Assumptions!$Y$10:$Y$12,MATCH(M61,Assumptions!$W$10:$W$12,0))</f>
        <v>0</v>
      </c>
      <c r="O61" s="32">
        <f>Assumptions!$S$21</f>
        <v>1500</v>
      </c>
      <c r="P61" s="379">
        <f>Assumptions!$S$22</f>
        <v>370</v>
      </c>
      <c r="Q61" s="380">
        <f>N61*O61*P61</f>
        <v>0</v>
      </c>
      <c r="R61" s="125"/>
      <c r="S61" s="307"/>
      <c r="T61" s="100"/>
      <c r="U61" s="308"/>
      <c r="V61" s="309"/>
      <c r="W61" s="125"/>
      <c r="X61" s="100"/>
    </row>
    <row r="62" spans="1:24" ht="15" customHeight="1" thickBot="1">
      <c r="A62" s="31" t="str">
        <f>Assumptions!$W$17</f>
        <v>3BR</v>
      </c>
      <c r="B62" s="76">
        <f>B$58*INDEX(Assumptions!$Y$10:$Y$12,MATCH(A62,Assumptions!$W$10:$W$12,0))</f>
        <v>0</v>
      </c>
      <c r="C62" s="378">
        <f>Assumptions!$S$24</f>
        <v>2300</v>
      </c>
      <c r="D62" s="379">
        <f>Assumptions!$S$25</f>
        <v>340</v>
      </c>
      <c r="E62" s="380">
        <f>B62*C62*D62</f>
        <v>0</v>
      </c>
      <c r="G62" s="31" t="str">
        <f>Assumptions!$W$17</f>
        <v>3BR</v>
      </c>
      <c r="H62" s="76">
        <f>H$58*INDEX(Assumptions!$Y$10:$Y$12,MATCH(G62,Assumptions!$W$10:$W$12,0))</f>
        <v>0</v>
      </c>
      <c r="I62" s="378">
        <f>Assumptions!$S$24</f>
        <v>2300</v>
      </c>
      <c r="J62" s="379">
        <f>Assumptions!$S$25</f>
        <v>340</v>
      </c>
      <c r="K62" s="380">
        <f>H62*I62*J62</f>
        <v>0</v>
      </c>
      <c r="L62" s="125"/>
      <c r="M62" s="31" t="str">
        <f>Assumptions!$W$17</f>
        <v>3BR</v>
      </c>
      <c r="N62" s="76">
        <f>N$58*INDEX(Assumptions!$Y$10:$Y$12,MATCH(M62,Assumptions!$W$10:$W$12,0))</f>
        <v>0</v>
      </c>
      <c r="O62" s="378">
        <f>Assumptions!$S$24</f>
        <v>2300</v>
      </c>
      <c r="P62" s="379">
        <f>Assumptions!$S$25</f>
        <v>340</v>
      </c>
      <c r="Q62" s="380">
        <f>N62*O62*P62</f>
        <v>0</v>
      </c>
      <c r="R62" s="125"/>
      <c r="S62" s="307"/>
      <c r="T62" s="100"/>
      <c r="U62" s="308"/>
      <c r="V62" s="309"/>
      <c r="W62" s="125"/>
      <c r="X62" s="100"/>
    </row>
    <row r="63" spans="1:24" ht="15" customHeight="1" thickTop="1" thickBot="1">
      <c r="A63" s="7" t="s">
        <v>425</v>
      </c>
      <c r="B63" s="8">
        <f>SUM(B61:B62)</f>
        <v>0</v>
      </c>
      <c r="C63" s="9">
        <f>SUMPRODUCT(B60:B62,C60:C62)</f>
        <v>0</v>
      </c>
      <c r="D63" s="61"/>
      <c r="E63" s="62">
        <f>SUM(E60:E62)</f>
        <v>0</v>
      </c>
      <c r="G63" s="7" t="s">
        <v>425</v>
      </c>
      <c r="H63" s="8">
        <f>SUM(H61:H62)</f>
        <v>0</v>
      </c>
      <c r="I63" s="9">
        <f>SUMPRODUCT(H60:H62,I60:I62)</f>
        <v>0</v>
      </c>
      <c r="J63" s="61"/>
      <c r="K63" s="62">
        <f>SUM(K60:K62)</f>
        <v>0</v>
      </c>
      <c r="L63" s="122"/>
      <c r="M63" s="7" t="s">
        <v>425</v>
      </c>
      <c r="N63" s="8">
        <f>SUM(N61:N62)</f>
        <v>0</v>
      </c>
      <c r="O63" s="9">
        <f>SUMPRODUCT(N60:N62,O60:O62)</f>
        <v>0</v>
      </c>
      <c r="P63" s="61"/>
      <c r="Q63" s="62">
        <f>SUM(Q60:Q62)</f>
        <v>0</v>
      </c>
      <c r="R63" s="122"/>
      <c r="S63" s="12"/>
      <c r="T63" s="310"/>
      <c r="U63" s="311"/>
      <c r="V63" s="312"/>
      <c r="W63" s="122"/>
      <c r="X63" s="100"/>
    </row>
    <row r="64" spans="1:24" ht="15" customHeight="1" thickTop="1" thickBot="1">
      <c r="A64" s="10" t="s">
        <v>426</v>
      </c>
      <c r="B64" s="60"/>
      <c r="C64" s="11">
        <f>IFERROR(C63/B63,0)</f>
        <v>0</v>
      </c>
      <c r="D64" s="63">
        <f>IFERROR((E63/12)/C63,0)</f>
        <v>0</v>
      </c>
      <c r="E64" s="64"/>
      <c r="G64" s="10" t="s">
        <v>426</v>
      </c>
      <c r="H64" s="60"/>
      <c r="I64" s="11">
        <f>IFERROR(I63/H63,0)</f>
        <v>0</v>
      </c>
      <c r="J64" s="63">
        <f>IFERROR((K63/12)/I63,0)</f>
        <v>0</v>
      </c>
      <c r="K64" s="64"/>
      <c r="L64" s="12"/>
      <c r="M64" s="10" t="s">
        <v>426</v>
      </c>
      <c r="N64" s="60"/>
      <c r="O64" s="11">
        <f>IFERROR(O63/N63,0)</f>
        <v>0</v>
      </c>
      <c r="P64" s="63">
        <f>IFERROR((Q63/12)/O63,0)</f>
        <v>0</v>
      </c>
      <c r="Q64" s="64"/>
      <c r="R64" s="12"/>
      <c r="S64" s="12"/>
      <c r="T64" s="313"/>
      <c r="U64" s="314"/>
      <c r="V64" s="315"/>
      <c r="W64" s="12"/>
      <c r="X64" s="100"/>
    </row>
    <row r="65" spans="1:24" ht="15" customHeight="1">
      <c r="A65" s="104" t="s">
        <v>224</v>
      </c>
      <c r="B65" s="105" t="str">
        <f>B$38</f>
        <v>Multifamily-Affordable</v>
      </c>
      <c r="C65" s="166" t="s">
        <v>419</v>
      </c>
      <c r="D65" s="111">
        <f>D$38*E$65</f>
        <v>73947.271860000008</v>
      </c>
      <c r="E65" s="106">
        <f>Assumptions!$Y$28</f>
        <v>0.77</v>
      </c>
      <c r="G65" s="104" t="s">
        <v>224</v>
      </c>
      <c r="H65" s="105" t="str">
        <f>H$38</f>
        <v>-</v>
      </c>
      <c r="I65" s="166" t="s">
        <v>419</v>
      </c>
      <c r="J65" s="111">
        <f>J$38*K$65</f>
        <v>0</v>
      </c>
      <c r="K65" s="106">
        <f>Assumptions!$Y$28</f>
        <v>0.77</v>
      </c>
      <c r="L65" s="12"/>
      <c r="M65" s="104" t="s">
        <v>224</v>
      </c>
      <c r="N65" s="105" t="str">
        <f>N$38</f>
        <v>-</v>
      </c>
      <c r="O65" s="166" t="s">
        <v>419</v>
      </c>
      <c r="P65" s="111">
        <f>P$38*Q$65</f>
        <v>0</v>
      </c>
      <c r="Q65" s="106">
        <f>Assumptions!$Y$28</f>
        <v>0.77</v>
      </c>
      <c r="R65" s="12"/>
      <c r="S65" s="123"/>
      <c r="T65" s="99"/>
      <c r="U65" s="135"/>
      <c r="V65" s="295"/>
      <c r="W65" s="55"/>
      <c r="X65" s="100"/>
    </row>
    <row r="66" spans="1:24" ht="15" customHeight="1">
      <c r="A66" s="104" t="s">
        <v>420</v>
      </c>
      <c r="B66" s="160">
        <v>76</v>
      </c>
      <c r="C66" s="113" t="str">
        <f>IF(C72&gt;D65,"# of Units Over Available Area","# of Units Within Available Area")</f>
        <v># of Units Within Available Area</v>
      </c>
      <c r="D66" s="112" t="s">
        <v>421</v>
      </c>
      <c r="E66" s="120">
        <v>0</v>
      </c>
      <c r="G66" s="104" t="s">
        <v>420</v>
      </c>
      <c r="H66" s="160">
        <v>0</v>
      </c>
      <c r="I66" s="113" t="str">
        <f>IF(I72&gt;J65,"# of Units Over Available Area","# of Units Within Available Area")</f>
        <v># of Units Within Available Area</v>
      </c>
      <c r="J66" s="112" t="s">
        <v>421</v>
      </c>
      <c r="K66" s="120">
        <v>0</v>
      </c>
      <c r="L66" s="12"/>
      <c r="M66" s="104" t="s">
        <v>420</v>
      </c>
      <c r="N66" s="160">
        <v>0</v>
      </c>
      <c r="O66" s="113" t="str">
        <f>IF(O72&gt;P65,"# of Units Over Available Area","# of Units Within Available Area")</f>
        <v># of Units Within Available Area</v>
      </c>
      <c r="P66" s="112" t="s">
        <v>421</v>
      </c>
      <c r="Q66" s="120">
        <v>0</v>
      </c>
      <c r="R66" s="12"/>
      <c r="S66" s="123"/>
      <c r="T66" s="296"/>
      <c r="U66" s="297"/>
      <c r="V66" s="112"/>
      <c r="W66" s="102"/>
      <c r="X66" s="100"/>
    </row>
    <row r="67" spans="1:24" ht="15" customHeight="1">
      <c r="A67" s="107" t="s">
        <v>308</v>
      </c>
      <c r="B67" s="108" t="s">
        <v>427</v>
      </c>
      <c r="C67" s="109" t="s">
        <v>428</v>
      </c>
      <c r="D67" s="108" t="s">
        <v>423</v>
      </c>
      <c r="E67" s="110" t="s">
        <v>424</v>
      </c>
      <c r="G67" s="107" t="s">
        <v>308</v>
      </c>
      <c r="H67" s="108" t="s">
        <v>427</v>
      </c>
      <c r="I67" s="109" t="s">
        <v>428</v>
      </c>
      <c r="J67" s="108" t="s">
        <v>423</v>
      </c>
      <c r="K67" s="110" t="s">
        <v>424</v>
      </c>
      <c r="L67" s="12"/>
      <c r="M67" s="107" t="s">
        <v>308</v>
      </c>
      <c r="N67" s="108" t="s">
        <v>427</v>
      </c>
      <c r="O67" s="109" t="s">
        <v>428</v>
      </c>
      <c r="P67" s="108" t="s">
        <v>423</v>
      </c>
      <c r="Q67" s="110" t="s">
        <v>424</v>
      </c>
      <c r="R67" s="12"/>
      <c r="S67" s="123"/>
      <c r="T67" s="124"/>
      <c r="U67" s="276"/>
      <c r="V67" s="124"/>
      <c r="W67" s="124"/>
      <c r="X67" s="100"/>
    </row>
    <row r="68" spans="1:24" ht="15" customHeight="1">
      <c r="A68" s="31" t="str">
        <f>Assumptions!$W$14</f>
        <v>Studio</v>
      </c>
      <c r="B68" s="76">
        <f>B$66*INDEX(Assumptions!$Y$14:$Y$17,MATCH(A68,Assumptions!$W$14:$W$17,0))</f>
        <v>22.8</v>
      </c>
      <c r="C68" s="32">
        <f>Assumptions!$R$28</f>
        <v>550</v>
      </c>
      <c r="D68" s="42">
        <f>Assumptions!$R29*(1+E$66)</f>
        <v>2.4</v>
      </c>
      <c r="E68" s="43">
        <f>12*B68*C68*D68</f>
        <v>361152</v>
      </c>
      <c r="G68" s="31" t="str">
        <f>Assumptions!$W$14</f>
        <v>Studio</v>
      </c>
      <c r="H68" s="76">
        <f>H$66*INDEX(Assumptions!$Y$14:$Y$17,MATCH(G68,Assumptions!$W$14:$W$17,0))</f>
        <v>0</v>
      </c>
      <c r="I68" s="32">
        <f>Assumptions!$R$28</f>
        <v>550</v>
      </c>
      <c r="J68" s="42">
        <f>Assumptions!$R29*(1+K$66)</f>
        <v>2.4</v>
      </c>
      <c r="K68" s="43">
        <f>12*H68*I68*J68</f>
        <v>0</v>
      </c>
      <c r="L68" s="12"/>
      <c r="M68" s="31" t="str">
        <f>Assumptions!$W$14</f>
        <v>Studio</v>
      </c>
      <c r="N68" s="76">
        <f>N$66*INDEX(Assumptions!$Y$14:$Y$17,MATCH(M68,Assumptions!$W$14:$W$17,0))</f>
        <v>0</v>
      </c>
      <c r="O68" s="32">
        <f>Assumptions!$R$28</f>
        <v>550</v>
      </c>
      <c r="P68" s="42">
        <f>Assumptions!$R29*(1+Q$66)</f>
        <v>2.4</v>
      </c>
      <c r="Q68" s="43">
        <f>12*N68*O68*P68</f>
        <v>0</v>
      </c>
      <c r="R68" s="12"/>
      <c r="S68" s="307"/>
      <c r="T68" s="100"/>
      <c r="U68" s="308"/>
      <c r="V68" s="309"/>
      <c r="W68" s="125"/>
      <c r="X68" s="100"/>
    </row>
    <row r="69" spans="1:24" ht="15" customHeight="1">
      <c r="A69" s="31" t="str">
        <f>Assumptions!$W$15</f>
        <v>1BR</v>
      </c>
      <c r="B69" s="76">
        <f>B$66*INDEX(Assumptions!$Y$14:$Y$17,MATCH(A69,Assumptions!$W$14:$W$17,0))</f>
        <v>30.400000000000002</v>
      </c>
      <c r="C69" s="32">
        <f>Assumptions!$R$31</f>
        <v>800</v>
      </c>
      <c r="D69" s="42">
        <f>Assumptions!$R32*(1+E$66)</f>
        <v>2.0487500000000001</v>
      </c>
      <c r="E69" s="43">
        <f>12*B69*C69*D69</f>
        <v>597907.20000000007</v>
      </c>
      <c r="G69" s="31" t="str">
        <f>Assumptions!$W$15</f>
        <v>1BR</v>
      </c>
      <c r="H69" s="76">
        <f>H$66*INDEX(Assumptions!$Y$14:$Y$17,MATCH(G69,Assumptions!$W$14:$W$17,0))</f>
        <v>0</v>
      </c>
      <c r="I69" s="32">
        <f>Assumptions!$R$31</f>
        <v>800</v>
      </c>
      <c r="J69" s="42">
        <f>Assumptions!$R32*(1+K$66)</f>
        <v>2.0487500000000001</v>
      </c>
      <c r="K69" s="43">
        <f>12*H69*I69*J69</f>
        <v>0</v>
      </c>
      <c r="L69" s="12"/>
      <c r="M69" s="31" t="str">
        <f>Assumptions!$W$15</f>
        <v>1BR</v>
      </c>
      <c r="N69" s="76">
        <f>N$66*INDEX(Assumptions!$Y$14:$Y$17,MATCH(M69,Assumptions!$W$14:$W$17,0))</f>
        <v>0</v>
      </c>
      <c r="O69" s="32">
        <f>Assumptions!$R$31</f>
        <v>800</v>
      </c>
      <c r="P69" s="42">
        <f>Assumptions!$R32*(1+Q$66)</f>
        <v>2.0487500000000001</v>
      </c>
      <c r="Q69" s="43">
        <f>12*N69*O69*P69</f>
        <v>0</v>
      </c>
      <c r="R69" s="12"/>
      <c r="S69" s="307"/>
      <c r="T69" s="100"/>
      <c r="U69" s="308"/>
      <c r="V69" s="309"/>
      <c r="W69" s="125"/>
      <c r="X69" s="100"/>
    </row>
    <row r="70" spans="1:24" ht="15" customHeight="1">
      <c r="A70" s="31" t="str">
        <f>Assumptions!$W$16</f>
        <v>2BR</v>
      </c>
      <c r="B70" s="76">
        <f>B$66*INDEX(Assumptions!$Y$14:$Y$17,MATCH(A70,Assumptions!$W$14:$W$17,0))</f>
        <v>11.4</v>
      </c>
      <c r="C70" s="378">
        <f>Assumptions!$R$34</f>
        <v>1200</v>
      </c>
      <c r="D70" s="379">
        <f>Assumptions!$R$36*(1+E$66)</f>
        <v>1.5083333333333333</v>
      </c>
      <c r="E70" s="380">
        <f>12*B70*C70*D70</f>
        <v>247608</v>
      </c>
      <c r="G70" s="31" t="str">
        <f>Assumptions!$W$16</f>
        <v>2BR</v>
      </c>
      <c r="H70" s="76">
        <f>H$66*INDEX(Assumptions!$Y$14:$Y$17,MATCH(G70,Assumptions!$W$14:$W$17,0))</f>
        <v>0</v>
      </c>
      <c r="I70" s="378">
        <f>Assumptions!$R$34</f>
        <v>1200</v>
      </c>
      <c r="J70" s="379">
        <f>Assumptions!$R$36*(1+K$66)</f>
        <v>1.5083333333333333</v>
      </c>
      <c r="K70" s="380">
        <f>12*H70*I70*J70</f>
        <v>0</v>
      </c>
      <c r="L70" s="12"/>
      <c r="M70" s="31" t="str">
        <f>Assumptions!$W$16</f>
        <v>2BR</v>
      </c>
      <c r="N70" s="76">
        <f>N$66*INDEX(Assumptions!$Y$14:$Y$17,MATCH(M70,Assumptions!$W$14:$W$17,0))</f>
        <v>0</v>
      </c>
      <c r="O70" s="378">
        <f>Assumptions!$R$34</f>
        <v>1200</v>
      </c>
      <c r="P70" s="379">
        <f>Assumptions!$R$36*(1+Q$66)</f>
        <v>1.5083333333333333</v>
      </c>
      <c r="Q70" s="380">
        <f>12*N70*O70*P70</f>
        <v>0</v>
      </c>
      <c r="R70" s="12"/>
      <c r="S70" s="307"/>
      <c r="T70" s="100"/>
      <c r="U70" s="308"/>
      <c r="V70" s="309"/>
      <c r="W70" s="125"/>
      <c r="X70" s="100"/>
    </row>
    <row r="71" spans="1:24" ht="15" customHeight="1" thickBot="1">
      <c r="A71" s="31" t="str">
        <f>Assumptions!$W$17</f>
        <v>3BR</v>
      </c>
      <c r="B71" s="76">
        <f>B$66*INDEX(Assumptions!$Y$14:$Y$17,MATCH(A71,Assumptions!$W$14:$W$17,0))</f>
        <v>11.4</v>
      </c>
      <c r="C71" s="32">
        <f>Assumptions!$R$38</f>
        <v>2000</v>
      </c>
      <c r="D71" s="379">
        <f>Assumptions!$R$39*(1+E$66)</f>
        <v>1.5145</v>
      </c>
      <c r="E71" s="380">
        <f>12*B71*C71*D71</f>
        <v>414367.2</v>
      </c>
      <c r="G71" s="31" t="str">
        <f>Assumptions!$W$17</f>
        <v>3BR</v>
      </c>
      <c r="H71" s="76">
        <f>H$66*INDEX(Assumptions!$Y$14:$Y$17,MATCH(G71,Assumptions!$W$14:$W$17,0))</f>
        <v>0</v>
      </c>
      <c r="I71" s="32">
        <f>Assumptions!$R$38</f>
        <v>2000</v>
      </c>
      <c r="J71" s="379">
        <f>Assumptions!$R$39*(1+K$66)</f>
        <v>1.5145</v>
      </c>
      <c r="K71" s="380">
        <f>12*H71*I71*J71</f>
        <v>0</v>
      </c>
      <c r="L71" s="12"/>
      <c r="M71" s="31" t="str">
        <f>Assumptions!$W$17</f>
        <v>3BR</v>
      </c>
      <c r="N71" s="76">
        <f>N$66*INDEX(Assumptions!$Y$14:$Y$17,MATCH(M71,Assumptions!$W$14:$W$17,0))</f>
        <v>0</v>
      </c>
      <c r="O71" s="32">
        <f>Assumptions!$R$38</f>
        <v>2000</v>
      </c>
      <c r="P71" s="379">
        <f>Assumptions!$R$39*(1+Q$66)</f>
        <v>1.5145</v>
      </c>
      <c r="Q71" s="380">
        <f>12*N71*O71*P71</f>
        <v>0</v>
      </c>
      <c r="R71" s="12"/>
      <c r="S71" s="307"/>
      <c r="T71" s="100"/>
      <c r="U71" s="308"/>
      <c r="V71" s="309"/>
      <c r="W71" s="125"/>
      <c r="X71" s="100"/>
    </row>
    <row r="72" spans="1:24" ht="15" customHeight="1" thickTop="1" thickBot="1">
      <c r="A72" s="7" t="s">
        <v>425</v>
      </c>
      <c r="B72" s="8">
        <f>SUM(B68:B71)</f>
        <v>76.000000000000014</v>
      </c>
      <c r="C72" s="9">
        <f>SUMPRODUCT(B68:B71,C68:C71)</f>
        <v>73340</v>
      </c>
      <c r="D72" s="61"/>
      <c r="E72" s="62">
        <f>SUM(E68:E71)</f>
        <v>1621034.4000000001</v>
      </c>
      <c r="G72" s="7" t="s">
        <v>425</v>
      </c>
      <c r="H72" s="8">
        <f>SUM(H68:H71)</f>
        <v>0</v>
      </c>
      <c r="I72" s="9">
        <f>SUMPRODUCT(H68:H71,I68:I71)</f>
        <v>0</v>
      </c>
      <c r="J72" s="61"/>
      <c r="K72" s="62">
        <f>SUM(K68:K71)</f>
        <v>0</v>
      </c>
      <c r="L72" s="12"/>
      <c r="M72" s="7" t="s">
        <v>425</v>
      </c>
      <c r="N72" s="8">
        <f>SUM(N68:N71)</f>
        <v>0</v>
      </c>
      <c r="O72" s="9">
        <f>SUMPRODUCT(N68:N71,O68:O71)</f>
        <v>0</v>
      </c>
      <c r="P72" s="61"/>
      <c r="Q72" s="62">
        <f>SUM(Q68:Q71)</f>
        <v>0</v>
      </c>
      <c r="R72" s="12"/>
      <c r="S72" s="12"/>
      <c r="T72" s="310"/>
      <c r="U72" s="311"/>
      <c r="V72" s="312"/>
      <c r="W72" s="122"/>
      <c r="X72" s="100"/>
    </row>
    <row r="73" spans="1:24" ht="15" customHeight="1" thickTop="1" thickBot="1">
      <c r="A73" s="10" t="s">
        <v>426</v>
      </c>
      <c r="B73" s="60"/>
      <c r="C73" s="11">
        <f>IFERROR(C72/B72,0)</f>
        <v>964.99999999999977</v>
      </c>
      <c r="D73" s="63">
        <f>IFERROR((E72/12)/C72,0)</f>
        <v>1.8419170984455959</v>
      </c>
      <c r="E73" s="64"/>
      <c r="G73" s="10" t="s">
        <v>426</v>
      </c>
      <c r="H73" s="60"/>
      <c r="I73" s="11">
        <f>IFERROR(I72/H72,0)</f>
        <v>0</v>
      </c>
      <c r="J73" s="63">
        <f>IFERROR((K72/12)/I72,0)</f>
        <v>0</v>
      </c>
      <c r="K73" s="64"/>
      <c r="L73" s="12"/>
      <c r="M73" s="10" t="s">
        <v>426</v>
      </c>
      <c r="N73" s="60"/>
      <c r="O73" s="11">
        <f>IFERROR(O72/N72,0)</f>
        <v>0</v>
      </c>
      <c r="P73" s="63">
        <f>IFERROR((Q72/12)/O72,0)</f>
        <v>0</v>
      </c>
      <c r="Q73" s="64"/>
      <c r="R73" s="12"/>
      <c r="S73" s="12"/>
      <c r="T73" s="313"/>
      <c r="U73" s="314"/>
      <c r="V73" s="315"/>
      <c r="W73" s="12"/>
      <c r="X73" s="100"/>
    </row>
    <row r="74" spans="1:24" ht="15" customHeight="1">
      <c r="A74" s="104" t="s">
        <v>225</v>
      </c>
      <c r="B74" s="105" t="str">
        <f>B$39</f>
        <v>-</v>
      </c>
      <c r="C74" s="166" t="s">
        <v>419</v>
      </c>
      <c r="D74" s="111">
        <f>D$39*E$74</f>
        <v>0</v>
      </c>
      <c r="E74" s="106">
        <f>Assumptions!$Y$28</f>
        <v>0.77</v>
      </c>
      <c r="G74" s="104" t="s">
        <v>225</v>
      </c>
      <c r="H74" s="105" t="str">
        <f>H$39</f>
        <v>-</v>
      </c>
      <c r="I74" s="166" t="s">
        <v>419</v>
      </c>
      <c r="J74" s="111">
        <f>J$39*K$74</f>
        <v>0</v>
      </c>
      <c r="K74" s="106">
        <f>Assumptions!$Y$28</f>
        <v>0.77</v>
      </c>
      <c r="L74" s="12"/>
      <c r="M74" s="104" t="s">
        <v>225</v>
      </c>
      <c r="N74" s="105" t="str">
        <f>N$39</f>
        <v>-</v>
      </c>
      <c r="O74" s="166" t="s">
        <v>419</v>
      </c>
      <c r="P74" s="111">
        <f>P$39*Q$74</f>
        <v>0</v>
      </c>
      <c r="Q74" s="106">
        <f>Assumptions!$Y$28</f>
        <v>0.77</v>
      </c>
      <c r="R74" s="12"/>
      <c r="S74" s="123"/>
      <c r="T74" s="99"/>
      <c r="U74" s="135"/>
      <c r="V74" s="295"/>
      <c r="W74" s="55"/>
      <c r="X74" s="100"/>
    </row>
    <row r="75" spans="1:24" ht="15" customHeight="1">
      <c r="A75" s="104" t="s">
        <v>420</v>
      </c>
      <c r="B75" s="160">
        <v>0</v>
      </c>
      <c r="C75" s="113" t="str">
        <f>IF(C80&gt;D74,"# of Units Over Available Area","# of Units Within Available Area")</f>
        <v># of Units Within Available Area</v>
      </c>
      <c r="D75" s="158"/>
      <c r="E75" s="159"/>
      <c r="G75" s="104" t="s">
        <v>420</v>
      </c>
      <c r="H75" s="160">
        <v>0</v>
      </c>
      <c r="I75" s="113" t="str">
        <f>IF(I80&gt;J74,"# of Units Over Available Area","# of Units Within Available Area")</f>
        <v># of Units Within Available Area</v>
      </c>
      <c r="J75" s="158"/>
      <c r="K75" s="159"/>
      <c r="L75" s="12"/>
      <c r="M75" s="104" t="s">
        <v>420</v>
      </c>
      <c r="N75" s="160">
        <v>0</v>
      </c>
      <c r="O75" s="113" t="str">
        <f>IF(O80&gt;P74,"# of Units Over Available Area","# of Units Within Available Area")</f>
        <v># of Units Within Available Area</v>
      </c>
      <c r="P75" s="158"/>
      <c r="Q75" s="159"/>
      <c r="R75" s="12"/>
      <c r="S75" s="123"/>
      <c r="T75" s="296"/>
      <c r="U75" s="297"/>
      <c r="V75" s="112"/>
      <c r="W75" s="102"/>
      <c r="X75" s="100"/>
    </row>
    <row r="76" spans="1:24" ht="15" customHeight="1">
      <c r="A76" s="107" t="s">
        <v>308</v>
      </c>
      <c r="B76" s="108" t="s">
        <v>427</v>
      </c>
      <c r="C76" s="109" t="s">
        <v>428</v>
      </c>
      <c r="D76" s="108" t="s">
        <v>74</v>
      </c>
      <c r="E76" s="110" t="s">
        <v>429</v>
      </c>
      <c r="G76" s="107" t="s">
        <v>308</v>
      </c>
      <c r="H76" s="108" t="s">
        <v>427</v>
      </c>
      <c r="I76" s="109" t="s">
        <v>428</v>
      </c>
      <c r="J76" s="108" t="s">
        <v>74</v>
      </c>
      <c r="K76" s="110" t="s">
        <v>429</v>
      </c>
      <c r="L76" s="12"/>
      <c r="M76" s="107" t="s">
        <v>308</v>
      </c>
      <c r="N76" s="108" t="s">
        <v>427</v>
      </c>
      <c r="O76" s="109" t="s">
        <v>428</v>
      </c>
      <c r="P76" s="108" t="s">
        <v>74</v>
      </c>
      <c r="Q76" s="110" t="s">
        <v>429</v>
      </c>
      <c r="R76" s="12"/>
      <c r="S76" s="123"/>
      <c r="T76" s="124"/>
      <c r="U76" s="276"/>
      <c r="V76" s="124"/>
      <c r="W76" s="124"/>
      <c r="X76" s="100"/>
    </row>
    <row r="77" spans="1:24" ht="15" customHeight="1">
      <c r="A77" s="31" t="str">
        <f>Assumptions!$W$19</f>
        <v>1BR</v>
      </c>
      <c r="B77" s="76">
        <f>B$75*INDEX(Assumptions!$Y$19:$Y$21,MATCH(A77,Assumptions!$W$19:$W$21,0))</f>
        <v>0</v>
      </c>
      <c r="C77" s="32">
        <f>Assumptions!$S$18</f>
        <v>1000</v>
      </c>
      <c r="D77" s="379">
        <f>Assumptions!$S$32</f>
        <v>268</v>
      </c>
      <c r="E77" s="380">
        <f>B77*C77*D77</f>
        <v>0</v>
      </c>
      <c r="G77" s="31" t="str">
        <f>Assumptions!$W$19</f>
        <v>1BR</v>
      </c>
      <c r="H77" s="76">
        <f>H$75*INDEX(Assumptions!$Y$19:$Y$21,MATCH(G77,Assumptions!$W$19:$W$21,0))</f>
        <v>0</v>
      </c>
      <c r="I77" s="32">
        <f>Assumptions!$S$18</f>
        <v>1000</v>
      </c>
      <c r="J77" s="379">
        <f>Assumptions!$S$32</f>
        <v>268</v>
      </c>
      <c r="K77" s="380">
        <f>H77*I77*J77</f>
        <v>0</v>
      </c>
      <c r="L77" s="12"/>
      <c r="M77" s="31" t="str">
        <f>Assumptions!$W$19</f>
        <v>1BR</v>
      </c>
      <c r="N77" s="76">
        <f>N$75*INDEX(Assumptions!$Y$19:$Y$21,MATCH(M77,Assumptions!$W$19:$W$21,0))</f>
        <v>0</v>
      </c>
      <c r="O77" s="32">
        <f>Assumptions!$S$18</f>
        <v>1000</v>
      </c>
      <c r="P77" s="379">
        <f>Assumptions!$S$32</f>
        <v>268</v>
      </c>
      <c r="Q77" s="380">
        <f>N77*O77*P77</f>
        <v>0</v>
      </c>
      <c r="R77" s="12"/>
      <c r="S77" s="307"/>
      <c r="T77" s="100"/>
      <c r="U77" s="308"/>
      <c r="V77" s="309"/>
      <c r="W77" s="125"/>
      <c r="X77" s="100"/>
    </row>
    <row r="78" spans="1:24" ht="15" customHeight="1">
      <c r="A78" s="31" t="str">
        <f>Assumptions!$W$20</f>
        <v>2BR</v>
      </c>
      <c r="B78" s="76">
        <f>B$75*INDEX(Assumptions!$Y$19:$Y$21,MATCH(A78,Assumptions!$W$19:$W$21,0))</f>
        <v>0</v>
      </c>
      <c r="C78" s="32">
        <f>Assumptions!$S$21</f>
        <v>1500</v>
      </c>
      <c r="D78" s="379">
        <f>Assumptions!$S$36</f>
        <v>216</v>
      </c>
      <c r="E78" s="380">
        <f>B78*C78*D78</f>
        <v>0</v>
      </c>
      <c r="G78" s="31" t="str">
        <f>Assumptions!$W$20</f>
        <v>2BR</v>
      </c>
      <c r="H78" s="76">
        <f>H$75*INDEX(Assumptions!$Y$19:$Y$21,MATCH(G78,Assumptions!$W$19:$W$21,0))</f>
        <v>0</v>
      </c>
      <c r="I78" s="32">
        <f>Assumptions!$S$21</f>
        <v>1500</v>
      </c>
      <c r="J78" s="379">
        <f>Assumptions!$S$36</f>
        <v>216</v>
      </c>
      <c r="K78" s="380">
        <f>H78*I78*J78</f>
        <v>0</v>
      </c>
      <c r="L78" s="12"/>
      <c r="M78" s="31" t="str">
        <f>Assumptions!$W$20</f>
        <v>2BR</v>
      </c>
      <c r="N78" s="76">
        <f>N$75*INDEX(Assumptions!$Y$19:$Y$21,MATCH(M78,Assumptions!$W$19:$W$21,0))</f>
        <v>0</v>
      </c>
      <c r="O78" s="32">
        <f>Assumptions!$S$21</f>
        <v>1500</v>
      </c>
      <c r="P78" s="379">
        <f>Assumptions!$S$36</f>
        <v>216</v>
      </c>
      <c r="Q78" s="380">
        <f>N78*O78*P78</f>
        <v>0</v>
      </c>
      <c r="R78" s="12"/>
      <c r="S78" s="307"/>
      <c r="T78" s="100"/>
      <c r="U78" s="308"/>
      <c r="V78" s="309"/>
      <c r="W78" s="125"/>
      <c r="X78" s="100"/>
    </row>
    <row r="79" spans="1:24" ht="15" customHeight="1" thickBot="1">
      <c r="A79" s="31" t="str">
        <f>Assumptions!$W$21</f>
        <v>3BR</v>
      </c>
      <c r="B79" s="76">
        <f>B$75*INDEX(Assumptions!$Y$19:$Y$21,MATCH(A79,Assumptions!$W$19:$W$21,0))</f>
        <v>0</v>
      </c>
      <c r="C79" s="378">
        <f>Assumptions!$S$24</f>
        <v>2300</v>
      </c>
      <c r="D79" s="379">
        <f>Assumptions!$S$39</f>
        <v>174.34782608695653</v>
      </c>
      <c r="E79" s="380">
        <f>B79*C79*D79</f>
        <v>0</v>
      </c>
      <c r="G79" s="31" t="str">
        <f>Assumptions!$W$21</f>
        <v>3BR</v>
      </c>
      <c r="H79" s="76">
        <f>H$75*INDEX(Assumptions!$Y$19:$Y$21,MATCH(G79,Assumptions!$W$19:$W$21,0))</f>
        <v>0</v>
      </c>
      <c r="I79" s="378">
        <f>Assumptions!$S$24</f>
        <v>2300</v>
      </c>
      <c r="J79" s="379">
        <f>Assumptions!$S$39</f>
        <v>174.34782608695653</v>
      </c>
      <c r="K79" s="380">
        <f>H79*I79*J79</f>
        <v>0</v>
      </c>
      <c r="L79" s="12"/>
      <c r="M79" s="31" t="str">
        <f>Assumptions!$W$21</f>
        <v>3BR</v>
      </c>
      <c r="N79" s="76">
        <f>N$75*INDEX(Assumptions!$Y$19:$Y$21,MATCH(M79,Assumptions!$W$19:$W$21,0))</f>
        <v>0</v>
      </c>
      <c r="O79" s="378">
        <f>Assumptions!$S$24</f>
        <v>2300</v>
      </c>
      <c r="P79" s="379">
        <f>Assumptions!$S$39</f>
        <v>174.34782608695653</v>
      </c>
      <c r="Q79" s="380">
        <f>N79*O79*P79</f>
        <v>0</v>
      </c>
      <c r="R79" s="12"/>
      <c r="S79" s="307"/>
      <c r="T79" s="100"/>
      <c r="U79" s="308"/>
      <c r="V79" s="309"/>
      <c r="W79" s="125"/>
      <c r="X79" s="100"/>
    </row>
    <row r="80" spans="1:24" ht="15" customHeight="1" thickTop="1" thickBot="1">
      <c r="A80" s="7" t="s">
        <v>425</v>
      </c>
      <c r="B80" s="8">
        <f>SUM(B77:B79)</f>
        <v>0</v>
      </c>
      <c r="C80" s="9">
        <f>SUMPRODUCT(B77:B79,C77:C79)</f>
        <v>0</v>
      </c>
      <c r="D80" s="61"/>
      <c r="E80" s="62">
        <f>SUM(E77:E79)</f>
        <v>0</v>
      </c>
      <c r="G80" s="7" t="s">
        <v>425</v>
      </c>
      <c r="H80" s="8">
        <f>SUM(H77:H79)</f>
        <v>0</v>
      </c>
      <c r="I80" s="9">
        <f>SUMPRODUCT(H77:H79,I77:I79)</f>
        <v>0</v>
      </c>
      <c r="J80" s="61"/>
      <c r="K80" s="62">
        <f>SUM(K77:K79)</f>
        <v>0</v>
      </c>
      <c r="L80" s="12"/>
      <c r="M80" s="7" t="s">
        <v>425</v>
      </c>
      <c r="N80" s="8">
        <f>SUM(N77:N79)</f>
        <v>0</v>
      </c>
      <c r="O80" s="9">
        <f>SUMPRODUCT(N77:N79,O77:O79)</f>
        <v>0</v>
      </c>
      <c r="P80" s="61"/>
      <c r="Q80" s="62">
        <f>SUM(Q77:Q79)</f>
        <v>0</v>
      </c>
      <c r="R80" s="12"/>
      <c r="S80" s="12"/>
      <c r="T80" s="310"/>
      <c r="U80" s="311"/>
      <c r="V80" s="312"/>
      <c r="W80" s="122"/>
      <c r="X80" s="100"/>
    </row>
    <row r="81" spans="1:24" ht="15" customHeight="1" thickTop="1" thickBot="1">
      <c r="A81" s="10" t="s">
        <v>426</v>
      </c>
      <c r="B81" s="60"/>
      <c r="C81" s="11">
        <f>IFERROR(C80/B80,0)</f>
        <v>0</v>
      </c>
      <c r="D81" s="63">
        <f>IFERROR((E80/12)/C80,0)</f>
        <v>0</v>
      </c>
      <c r="E81" s="64"/>
      <c r="G81" s="10" t="s">
        <v>426</v>
      </c>
      <c r="H81" s="60"/>
      <c r="I81" s="11">
        <f>IFERROR(I80/H80,0)</f>
        <v>0</v>
      </c>
      <c r="J81" s="63">
        <f>IFERROR((K80/12)/I80,0)</f>
        <v>0</v>
      </c>
      <c r="K81" s="64"/>
      <c r="L81" s="12"/>
      <c r="M81" s="10" t="s">
        <v>426</v>
      </c>
      <c r="N81" s="60"/>
      <c r="O81" s="11">
        <f>IFERROR(O80/N80,0)</f>
        <v>0</v>
      </c>
      <c r="P81" s="63">
        <f>IFERROR((Q80/12)/O80,0)</f>
        <v>0</v>
      </c>
      <c r="Q81" s="64"/>
      <c r="R81" s="12"/>
      <c r="S81" s="12"/>
      <c r="T81" s="313"/>
      <c r="U81" s="314"/>
      <c r="V81" s="315"/>
      <c r="W81" s="12"/>
      <c r="X81" s="100"/>
    </row>
    <row r="82" spans="1:24" ht="15" customHeight="1">
      <c r="A82" s="104" t="s">
        <v>226</v>
      </c>
      <c r="B82" s="105" t="str">
        <f>B$38</f>
        <v>Multifamily-Affordable</v>
      </c>
      <c r="C82" s="166" t="s">
        <v>419</v>
      </c>
      <c r="D82" s="111">
        <f>D$40*E$82</f>
        <v>0</v>
      </c>
      <c r="E82" s="106">
        <f>Assumptions!$Y$29</f>
        <v>0.8</v>
      </c>
      <c r="G82" s="104" t="s">
        <v>226</v>
      </c>
      <c r="H82" s="105" t="str">
        <f>H$38</f>
        <v>-</v>
      </c>
      <c r="I82" s="166" t="s">
        <v>419</v>
      </c>
      <c r="J82" s="111">
        <f>J$40*K$82</f>
        <v>0</v>
      </c>
      <c r="K82" s="106">
        <f>Assumptions!$Y$29</f>
        <v>0.8</v>
      </c>
      <c r="M82" s="104" t="s">
        <v>226</v>
      </c>
      <c r="N82" s="105" t="str">
        <f>N$38</f>
        <v>-</v>
      </c>
      <c r="O82" s="166" t="s">
        <v>419</v>
      </c>
      <c r="P82" s="111">
        <f>P$40*Q$82</f>
        <v>0</v>
      </c>
      <c r="Q82" s="106">
        <f>Assumptions!$Y$29</f>
        <v>0.8</v>
      </c>
      <c r="S82" s="123"/>
      <c r="T82" s="99"/>
      <c r="U82" s="135"/>
      <c r="V82" s="295"/>
      <c r="W82" s="55"/>
    </row>
    <row r="83" spans="1:24" ht="15" customHeight="1">
      <c r="A83" s="104" t="s">
        <v>430</v>
      </c>
      <c r="B83" s="160">
        <v>0</v>
      </c>
      <c r="C83" s="113" t="str">
        <f>IF(C88&gt;D82,"# of Units Over Available Area","# of Units Within Available Area")</f>
        <v># of Units Within Available Area</v>
      </c>
      <c r="D83" s="112" t="s">
        <v>421</v>
      </c>
      <c r="E83" s="120">
        <v>0.3</v>
      </c>
      <c r="G83" s="104" t="s">
        <v>430</v>
      </c>
      <c r="H83" s="160">
        <v>0</v>
      </c>
      <c r="I83" s="113" t="str">
        <f>IF(I88&gt;J82,"# of Units Over Available Area","# of Units Within Available Area")</f>
        <v># of Units Within Available Area</v>
      </c>
      <c r="J83" s="112" t="s">
        <v>421</v>
      </c>
      <c r="K83" s="120">
        <v>0.3</v>
      </c>
      <c r="M83" s="104" t="s">
        <v>430</v>
      </c>
      <c r="N83" s="160">
        <v>0</v>
      </c>
      <c r="O83" s="113" t="str">
        <f>IF(O88&gt;P82,"# of Units Over Available Area","# of Units Within Available Area")</f>
        <v># of Units Within Available Area</v>
      </c>
      <c r="P83" s="112" t="s">
        <v>421</v>
      </c>
      <c r="Q83" s="120">
        <v>0.3</v>
      </c>
      <c r="S83" s="123"/>
      <c r="T83" s="296"/>
      <c r="U83" s="297"/>
      <c r="V83" s="112"/>
      <c r="W83" s="102"/>
    </row>
    <row r="84" spans="1:24" ht="15" customHeight="1">
      <c r="A84" s="107" t="s">
        <v>431</v>
      </c>
      <c r="B84" s="108" t="s">
        <v>427</v>
      </c>
      <c r="C84" s="109" t="s">
        <v>428</v>
      </c>
      <c r="D84" s="108" t="s">
        <v>432</v>
      </c>
      <c r="E84" s="110" t="s">
        <v>433</v>
      </c>
      <c r="G84" s="107" t="s">
        <v>431</v>
      </c>
      <c r="H84" s="108" t="s">
        <v>427</v>
      </c>
      <c r="I84" s="109" t="s">
        <v>428</v>
      </c>
      <c r="J84" s="108" t="s">
        <v>432</v>
      </c>
      <c r="K84" s="110" t="s">
        <v>433</v>
      </c>
      <c r="M84" s="107" t="s">
        <v>431</v>
      </c>
      <c r="N84" s="108" t="s">
        <v>427</v>
      </c>
      <c r="O84" s="109" t="s">
        <v>428</v>
      </c>
      <c r="P84" s="108" t="s">
        <v>432</v>
      </c>
      <c r="Q84" s="110" t="s">
        <v>433</v>
      </c>
      <c r="S84" s="123"/>
      <c r="T84" s="124"/>
      <c r="U84" s="276"/>
      <c r="V84" s="124"/>
      <c r="W84" s="124"/>
    </row>
    <row r="85" spans="1:24" ht="15" customHeight="1">
      <c r="A85" s="31" t="str">
        <f>Assumptions!$W$23</f>
        <v>Studio</v>
      </c>
      <c r="B85" s="76">
        <f>B$83*INDEX(Assumptions!$Y$23:$Y$25,MATCH(A85,Assumptions!$W$23:$W$25,0))</f>
        <v>0</v>
      </c>
      <c r="C85" s="32">
        <f>Assumptions!$R$42</f>
        <v>500</v>
      </c>
      <c r="D85" s="42">
        <f>Assumptions!$R$43*(1+$E$83)</f>
        <v>3.9000000000000004</v>
      </c>
      <c r="E85" s="43">
        <f>12*B85*C85*D85</f>
        <v>0</v>
      </c>
      <c r="G85" s="31" t="str">
        <f>Assumptions!$W$23</f>
        <v>Studio</v>
      </c>
      <c r="H85" s="76">
        <f>H$83*INDEX(Assumptions!$Y$23:$Y$25,MATCH(G85,Assumptions!$W$23:$W$25,0))</f>
        <v>0</v>
      </c>
      <c r="I85" s="32">
        <f>Assumptions!$R$42</f>
        <v>500</v>
      </c>
      <c r="J85" s="42">
        <f>Assumptions!$R$43*(1+$E$83)</f>
        <v>3.9000000000000004</v>
      </c>
      <c r="K85" s="43">
        <f>12*H85*I85*J85</f>
        <v>0</v>
      </c>
      <c r="M85" s="31" t="str">
        <f>Assumptions!$W$23</f>
        <v>Studio</v>
      </c>
      <c r="N85" s="76">
        <f>N$83*INDEX(Assumptions!$Y$23:$Y$25,MATCH(M85,Assumptions!$W$23:$W$25,0))</f>
        <v>0</v>
      </c>
      <c r="O85" s="32">
        <f>Assumptions!$R$42</f>
        <v>500</v>
      </c>
      <c r="P85" s="42">
        <f>Assumptions!$R$43*(1+$E$83)</f>
        <v>3.9000000000000004</v>
      </c>
      <c r="Q85" s="43">
        <f>12*N85*O85*P85</f>
        <v>0</v>
      </c>
      <c r="S85" s="307"/>
      <c r="T85" s="100"/>
      <c r="U85" s="308"/>
      <c r="V85" s="309"/>
      <c r="W85" s="125"/>
    </row>
    <row r="86" spans="1:24" ht="15" customHeight="1">
      <c r="A86" s="31" t="str">
        <f>Assumptions!$W$24</f>
        <v>1BR</v>
      </c>
      <c r="B86" s="76">
        <f>B$83*INDEX(Assumptions!$Y$23:$Y$25,MATCH(A86,Assumptions!$W$23:$W$25,0))</f>
        <v>0</v>
      </c>
      <c r="C86" s="378">
        <f>Assumptions!$R$45</f>
        <v>700</v>
      </c>
      <c r="D86" s="42">
        <f>Assumptions!$R$46*(1+$E$83)</f>
        <v>3.25</v>
      </c>
      <c r="E86" s="380">
        <f>12*B86*C86*D86</f>
        <v>0</v>
      </c>
      <c r="G86" s="31" t="str">
        <f>Assumptions!$W$24</f>
        <v>1BR</v>
      </c>
      <c r="H86" s="76">
        <f>H$83*INDEX(Assumptions!$Y$23:$Y$25,MATCH(G86,Assumptions!$W$23:$W$25,0))</f>
        <v>0</v>
      </c>
      <c r="I86" s="378">
        <f>Assumptions!$R$45</f>
        <v>700</v>
      </c>
      <c r="J86" s="42">
        <f>Assumptions!$R$46*(1+$E$83)</f>
        <v>3.25</v>
      </c>
      <c r="K86" s="380">
        <f>12*H86*I86*J86</f>
        <v>0</v>
      </c>
      <c r="M86" s="31" t="str">
        <f>Assumptions!$W$24</f>
        <v>1BR</v>
      </c>
      <c r="N86" s="76">
        <f>N$83*INDEX(Assumptions!$Y$23:$Y$25,MATCH(M86,Assumptions!$W$23:$W$25,0))</f>
        <v>0</v>
      </c>
      <c r="O86" s="378">
        <f>Assumptions!$R$45</f>
        <v>700</v>
      </c>
      <c r="P86" s="42">
        <f>Assumptions!$R$46*(1+$E$83)</f>
        <v>3.25</v>
      </c>
      <c r="Q86" s="380">
        <f>12*N86*O86*P86</f>
        <v>0</v>
      </c>
      <c r="S86" s="307"/>
      <c r="T86" s="100"/>
      <c r="U86" s="308"/>
      <c r="V86" s="309"/>
      <c r="W86" s="125"/>
    </row>
    <row r="87" spans="1:24" ht="15" customHeight="1" thickBot="1">
      <c r="A87" s="31" t="str">
        <f>Assumptions!$W$25</f>
        <v>2BR</v>
      </c>
      <c r="B87" s="76">
        <f>B$83*INDEX(Assumptions!$Y$23:$Y$25,MATCH(A87,Assumptions!$W$23:$W$25,0))</f>
        <v>0</v>
      </c>
      <c r="C87" s="32">
        <f>Assumptions!$R$48</f>
        <v>1100</v>
      </c>
      <c r="D87" s="42">
        <f>Assumptions!$R$49*(1+$E$83)</f>
        <v>2.9899999999999998</v>
      </c>
      <c r="E87" s="380">
        <f>12*B87*C87*D87</f>
        <v>0</v>
      </c>
      <c r="G87" s="31" t="str">
        <f>Assumptions!$W$25</f>
        <v>2BR</v>
      </c>
      <c r="H87" s="76">
        <f>H$83*INDEX(Assumptions!$Y$23:$Y$25,MATCH(G87,Assumptions!$W$23:$W$25,0))</f>
        <v>0</v>
      </c>
      <c r="I87" s="32">
        <f>Assumptions!$R$48</f>
        <v>1100</v>
      </c>
      <c r="J87" s="42">
        <f>Assumptions!$R$49*(1+$E$83)</f>
        <v>2.9899999999999998</v>
      </c>
      <c r="K87" s="380">
        <f>12*H87*I87*J87</f>
        <v>0</v>
      </c>
      <c r="M87" s="31" t="str">
        <f>Assumptions!$W$25</f>
        <v>2BR</v>
      </c>
      <c r="N87" s="76">
        <f>N$83*INDEX(Assumptions!$Y$23:$Y$25,MATCH(M87,Assumptions!$W$23:$W$25,0))</f>
        <v>0</v>
      </c>
      <c r="O87" s="32">
        <f>Assumptions!$R$48</f>
        <v>1100</v>
      </c>
      <c r="P87" s="42">
        <f>Assumptions!$R$49*(1+$E$83)</f>
        <v>2.9899999999999998</v>
      </c>
      <c r="Q87" s="380">
        <f>12*N87*O87*P87</f>
        <v>0</v>
      </c>
      <c r="S87" s="307"/>
      <c r="T87" s="100"/>
      <c r="U87" s="308"/>
      <c r="V87" s="309"/>
      <c r="W87" s="125"/>
    </row>
    <row r="88" spans="1:24" ht="15" customHeight="1" thickTop="1" thickBot="1">
      <c r="A88" s="7" t="s">
        <v>425</v>
      </c>
      <c r="B88" s="8">
        <f>SUM(B85:B87)</f>
        <v>0</v>
      </c>
      <c r="C88" s="9">
        <f>SUMPRODUCT(B85:B87,C85:C87)</f>
        <v>0</v>
      </c>
      <c r="D88" s="61"/>
      <c r="E88" s="62">
        <f>SUM(E85:E87)</f>
        <v>0</v>
      </c>
      <c r="G88" s="7" t="s">
        <v>425</v>
      </c>
      <c r="H88" s="8">
        <f>SUM(H85:H87)</f>
        <v>0</v>
      </c>
      <c r="I88" s="9">
        <f>SUMPRODUCT(H85:H87,I85:I87)</f>
        <v>0</v>
      </c>
      <c r="J88" s="61"/>
      <c r="K88" s="62">
        <f>SUM(K85:K87)</f>
        <v>0</v>
      </c>
      <c r="M88" s="7" t="s">
        <v>425</v>
      </c>
      <c r="N88" s="8">
        <f>SUM(N85:N87)</f>
        <v>0</v>
      </c>
      <c r="O88" s="9">
        <f>SUMPRODUCT(N85:N87,O85:O87)</f>
        <v>0</v>
      </c>
      <c r="P88" s="61"/>
      <c r="Q88" s="62">
        <f>SUM(Q85:Q87)</f>
        <v>0</v>
      </c>
      <c r="S88" s="12"/>
      <c r="T88" s="310"/>
      <c r="U88" s="311"/>
      <c r="V88" s="312"/>
      <c r="W88" s="122"/>
    </row>
    <row r="89" spans="1:24" ht="15" customHeight="1" thickTop="1" thickBot="1">
      <c r="A89" s="10" t="s">
        <v>426</v>
      </c>
      <c r="B89" s="60"/>
      <c r="C89" s="11">
        <f>IFERROR(C88/B88,0)</f>
        <v>0</v>
      </c>
      <c r="D89" s="63">
        <f>IFERROR((E88/12)/C88,0)</f>
        <v>0</v>
      </c>
      <c r="E89" s="64"/>
      <c r="G89" s="10" t="s">
        <v>426</v>
      </c>
      <c r="H89" s="60"/>
      <c r="I89" s="11">
        <f>IFERROR(I88/H88,0)</f>
        <v>0</v>
      </c>
      <c r="J89" s="63">
        <f>IFERROR((K88/12)/I88,0)</f>
        <v>0</v>
      </c>
      <c r="K89" s="64"/>
      <c r="M89" s="10" t="s">
        <v>426</v>
      </c>
      <c r="N89" s="60"/>
      <c r="O89" s="11">
        <f>IFERROR(O88/N88,0)</f>
        <v>0</v>
      </c>
      <c r="P89" s="63">
        <f>IFERROR((Q88/12)/O88,0)</f>
        <v>0</v>
      </c>
      <c r="Q89" s="64"/>
      <c r="S89" s="12"/>
      <c r="T89" s="313"/>
      <c r="U89" s="314"/>
      <c r="V89" s="315"/>
      <c r="W89" s="12"/>
    </row>
    <row r="90" spans="1:24" ht="15" customHeight="1">
      <c r="A90" s="104" t="s">
        <v>434</v>
      </c>
      <c r="B90" s="116" t="str">
        <f>B$41</f>
        <v>Retail</v>
      </c>
      <c r="C90" s="114"/>
      <c r="D90" s="115"/>
      <c r="E90" s="121"/>
      <c r="G90" s="104" t="s">
        <v>434</v>
      </c>
      <c r="H90" s="116" t="str">
        <f>H$41</f>
        <v>-</v>
      </c>
      <c r="I90" s="114"/>
      <c r="J90" s="115"/>
      <c r="K90" s="121"/>
      <c r="L90" s="126"/>
      <c r="M90" s="104" t="s">
        <v>434</v>
      </c>
      <c r="N90" s="116" t="str">
        <f>N$41</f>
        <v>-</v>
      </c>
      <c r="O90" s="114"/>
      <c r="P90" s="115"/>
      <c r="Q90" s="121"/>
      <c r="R90" s="126"/>
      <c r="S90" s="123"/>
      <c r="T90" s="299"/>
      <c r="U90" s="300"/>
      <c r="V90" s="316"/>
      <c r="W90" s="126"/>
    </row>
    <row r="91" spans="1:24" ht="15" customHeight="1">
      <c r="A91" s="107" t="s">
        <v>33</v>
      </c>
      <c r="B91" s="108" t="s">
        <v>435</v>
      </c>
      <c r="C91" s="109" t="s">
        <v>436</v>
      </c>
      <c r="D91" s="108" t="s">
        <v>437</v>
      </c>
      <c r="E91" s="110" t="s">
        <v>433</v>
      </c>
      <c r="G91" s="107" t="s">
        <v>33</v>
      </c>
      <c r="H91" s="108" t="s">
        <v>435</v>
      </c>
      <c r="I91" s="109" t="s">
        <v>436</v>
      </c>
      <c r="J91" s="108" t="s">
        <v>437</v>
      </c>
      <c r="K91" s="110" t="s">
        <v>433</v>
      </c>
      <c r="L91" s="124"/>
      <c r="M91" s="107" t="s">
        <v>33</v>
      </c>
      <c r="N91" s="108" t="s">
        <v>435</v>
      </c>
      <c r="O91" s="109" t="s">
        <v>436</v>
      </c>
      <c r="P91" s="108" t="s">
        <v>437</v>
      </c>
      <c r="Q91" s="110" t="s">
        <v>433</v>
      </c>
      <c r="R91" s="124"/>
      <c r="S91" s="123"/>
      <c r="T91" s="124"/>
      <c r="U91" s="276"/>
      <c r="V91" s="124"/>
      <c r="W91" s="124"/>
    </row>
    <row r="92" spans="1:24" ht="15" customHeight="1" thickBot="1">
      <c r="A92" s="381" t="s">
        <v>40</v>
      </c>
      <c r="B92" s="382">
        <f>IFERROR(IF(B$90=A92,D$41,0),0)</f>
        <v>61942.600000000006</v>
      </c>
      <c r="C92" s="383">
        <f>IFERROR(B92*INDEX(Assumptions!$Y$30:$Y$31,MATCH(A92,Assumptions!$W$30:$W$31,0)),0)</f>
        <v>52651.210000000006</v>
      </c>
      <c r="D92" s="384">
        <f>IF(C92&gt;0,INDEX(Assumptions!$R$5:$R$6,MATCH(A92,Assumptions!$Q$5:$Q$6,0)),0)</f>
        <v>32</v>
      </c>
      <c r="E92" s="385">
        <f>C92*D92</f>
        <v>1684838.7200000002</v>
      </c>
      <c r="G92" s="56" t="s">
        <v>40</v>
      </c>
      <c r="H92" s="41">
        <f>IFERROR(IF(H$90=G92,J$41,0),0)</f>
        <v>0</v>
      </c>
      <c r="I92" s="57">
        <f>IFERROR(H92*INDEX(Assumptions!$Y$30:$Y$31,MATCH(G92,Assumptions!$W$30:$W$31,0)),0)</f>
        <v>0</v>
      </c>
      <c r="J92" s="58">
        <f>IF(I92&gt;0,INDEX(Assumptions!$R$5:$R$6,MATCH(G92,Assumptions!$Q$5:$Q$6,0)),0)</f>
        <v>0</v>
      </c>
      <c r="K92" s="59">
        <f>I92*J92</f>
        <v>0</v>
      </c>
      <c r="L92" s="127"/>
      <c r="M92" s="56" t="s">
        <v>40</v>
      </c>
      <c r="N92" s="41">
        <f>IFERROR(IF(N$90=M92,P$41,0),0)</f>
        <v>0</v>
      </c>
      <c r="O92" s="57">
        <f>IFERROR(N92*INDEX(Assumptions!$Y$30:$Y$31,MATCH(M92,Assumptions!$W$30:$W$31,0)),0)</f>
        <v>0</v>
      </c>
      <c r="P92" s="58">
        <f>IF(O92&gt;0,INDEX(Assumptions!$R$5:$R$6,MATCH(M92,Assumptions!$Q$5:$Q$6,0)),0)</f>
        <v>0</v>
      </c>
      <c r="Q92" s="59">
        <f>O92*P92</f>
        <v>0</v>
      </c>
      <c r="R92" s="127"/>
      <c r="S92" s="317"/>
      <c r="T92" s="100"/>
      <c r="U92" s="318"/>
      <c r="V92" s="319"/>
      <c r="W92" s="127"/>
    </row>
    <row r="93" spans="1:24" ht="15" customHeight="1" thickTop="1" thickBot="1">
      <c r="A93" s="1006" t="s">
        <v>425</v>
      </c>
      <c r="B93" s="40">
        <f>SUM(B92:B92)</f>
        <v>61942.600000000006</v>
      </c>
      <c r="C93" s="40">
        <f>SUM(C92:C92)</f>
        <v>52651.210000000006</v>
      </c>
      <c r="D93" s="38">
        <f>IF(B93=0,0,E93/B93)</f>
        <v>27.2</v>
      </c>
      <c r="E93" s="39">
        <f>SUM(E92:E92)</f>
        <v>1684838.7200000002</v>
      </c>
      <c r="G93" s="1006" t="s">
        <v>425</v>
      </c>
      <c r="H93" s="40">
        <f>SUM(H92:H92)</f>
        <v>0</v>
      </c>
      <c r="I93" s="40">
        <f>SUM(I92:I92)</f>
        <v>0</v>
      </c>
      <c r="J93" s="38">
        <f>IF(H93=0,0,K93/H93)</f>
        <v>0</v>
      </c>
      <c r="K93" s="39">
        <f>SUM(K92:K92)</f>
        <v>0</v>
      </c>
      <c r="L93" s="127"/>
      <c r="M93" s="1006" t="s">
        <v>425</v>
      </c>
      <c r="N93" s="40">
        <f>SUM(N92:N92)</f>
        <v>0</v>
      </c>
      <c r="O93" s="40">
        <f>SUM(O92:O92)</f>
        <v>0</v>
      </c>
      <c r="P93" s="38">
        <f>IF(N93=0,0,Q93/N93)</f>
        <v>0</v>
      </c>
      <c r="Q93" s="39">
        <f>SUM(Q92:Q92)</f>
        <v>0</v>
      </c>
      <c r="R93" s="127"/>
      <c r="S93" s="12"/>
      <c r="T93" s="320"/>
      <c r="U93" s="320"/>
      <c r="V93" s="319"/>
      <c r="W93" s="127"/>
    </row>
    <row r="94" spans="1:24" ht="15" customHeight="1">
      <c r="A94" s="104" t="s">
        <v>438</v>
      </c>
      <c r="B94" s="116" t="str">
        <f>B$42</f>
        <v>-</v>
      </c>
      <c r="C94" s="114"/>
      <c r="D94" s="115"/>
      <c r="E94" s="121"/>
      <c r="G94" s="104" t="s">
        <v>438</v>
      </c>
      <c r="H94" s="116" t="str">
        <f>H$42</f>
        <v>-</v>
      </c>
      <c r="I94" s="114"/>
      <c r="J94" s="115"/>
      <c r="K94" s="121"/>
      <c r="L94" s="126"/>
      <c r="M94" s="104" t="s">
        <v>438</v>
      </c>
      <c r="N94" s="116" t="str">
        <f>N$42</f>
        <v>-</v>
      </c>
      <c r="O94" s="114"/>
      <c r="P94" s="115"/>
      <c r="Q94" s="121"/>
      <c r="R94" s="126"/>
      <c r="S94" s="123"/>
      <c r="T94" s="299"/>
      <c r="U94" s="300"/>
      <c r="V94" s="316"/>
      <c r="W94" s="126"/>
    </row>
    <row r="95" spans="1:24" ht="15" customHeight="1">
      <c r="A95" s="107" t="s">
        <v>33</v>
      </c>
      <c r="B95" s="108" t="s">
        <v>435</v>
      </c>
      <c r="C95" s="109" t="s">
        <v>436</v>
      </c>
      <c r="D95" s="108" t="s">
        <v>437</v>
      </c>
      <c r="E95" s="110" t="s">
        <v>433</v>
      </c>
      <c r="G95" s="107" t="s">
        <v>33</v>
      </c>
      <c r="H95" s="108" t="s">
        <v>435</v>
      </c>
      <c r="I95" s="109" t="s">
        <v>436</v>
      </c>
      <c r="J95" s="108" t="s">
        <v>437</v>
      </c>
      <c r="K95" s="110" t="s">
        <v>433</v>
      </c>
      <c r="L95" s="124"/>
      <c r="M95" s="107" t="s">
        <v>33</v>
      </c>
      <c r="N95" s="108" t="s">
        <v>435</v>
      </c>
      <c r="O95" s="109" t="s">
        <v>436</v>
      </c>
      <c r="P95" s="108" t="s">
        <v>437</v>
      </c>
      <c r="Q95" s="110" t="s">
        <v>433</v>
      </c>
      <c r="R95" s="124"/>
      <c r="S95" s="123"/>
      <c r="T95" s="124"/>
      <c r="U95" s="276"/>
      <c r="V95" s="124"/>
      <c r="W95" s="124"/>
    </row>
    <row r="96" spans="1:24" ht="15" customHeight="1" thickBot="1">
      <c r="A96" s="381" t="s">
        <v>44</v>
      </c>
      <c r="B96" s="382">
        <f>IFERROR(IF(B$94=A96,D$42,0),0)</f>
        <v>0</v>
      </c>
      <c r="C96" s="383">
        <f>IFERROR(B96*INDEX(Assumptions!$Y$30:$Y$31,MATCH(A96,Assumptions!$W$30:$W$31,0)),0)</f>
        <v>0</v>
      </c>
      <c r="D96" s="384">
        <f>IF(C96&gt;0,INDEX(Assumptions!$R$5:$R$6,MATCH(A96,Assumptions!$Q$5:$Q$6,0)),0)</f>
        <v>0</v>
      </c>
      <c r="E96" s="385">
        <f>C96*D96</f>
        <v>0</v>
      </c>
      <c r="G96" s="381" t="s">
        <v>44</v>
      </c>
      <c r="H96" s="382">
        <f>IFERROR(IF(H$94=G96,J$42,0),0)</f>
        <v>0</v>
      </c>
      <c r="I96" s="383">
        <f>IFERROR(H96*INDEX(Assumptions!$Y$30:$Y$31,MATCH(G96,Assumptions!$W$30:$W$31,0)),0)</f>
        <v>0</v>
      </c>
      <c r="J96" s="384">
        <f>IF(I96&gt;0,INDEX(Assumptions!$R$5:$R$6,MATCH(G96,Assumptions!$Q$5:$Q$6,0)),0)</f>
        <v>0</v>
      </c>
      <c r="K96" s="59">
        <f>I96*J96</f>
        <v>0</v>
      </c>
      <c r="L96" s="127"/>
      <c r="M96" s="381" t="s">
        <v>44</v>
      </c>
      <c r="N96" s="382">
        <f>IFERROR(IF(N$94=M96,P$42,0),0)</f>
        <v>0</v>
      </c>
      <c r="O96" s="383">
        <f>IFERROR(N96*INDEX(Assumptions!$Y$30:$Y$31,MATCH(M96,Assumptions!$W$30:$W$31,0)),0)</f>
        <v>0</v>
      </c>
      <c r="P96" s="384">
        <f>IF(O96&gt;0,INDEX(Assumptions!$R$5:$R$6,MATCH(M96,Assumptions!$Q$5:$Q$6,0)),0)</f>
        <v>0</v>
      </c>
      <c r="Q96" s="385">
        <f>IF(P$43&gt;0,0,O96*P96*12)</f>
        <v>0</v>
      </c>
      <c r="R96" s="127"/>
      <c r="S96" s="317"/>
      <c r="T96" s="100"/>
      <c r="U96" s="318"/>
      <c r="V96" s="319"/>
      <c r="W96" s="127"/>
    </row>
    <row r="97" spans="1:23" ht="15" customHeight="1" thickTop="1" thickBot="1">
      <c r="A97" s="1006" t="s">
        <v>425</v>
      </c>
      <c r="B97" s="40">
        <f>SUM(B96:B96)</f>
        <v>0</v>
      </c>
      <c r="C97" s="40">
        <f>SUM(C96:C96)</f>
        <v>0</v>
      </c>
      <c r="D97" s="38">
        <f>IF(B97=0,0,E97/B97)</f>
        <v>0</v>
      </c>
      <c r="E97" s="39">
        <f>SUM(E96:E96)</f>
        <v>0</v>
      </c>
      <c r="G97" s="1006" t="s">
        <v>425</v>
      </c>
      <c r="H97" s="40">
        <f>SUM(H96:H96)</f>
        <v>0</v>
      </c>
      <c r="I97" s="40">
        <f>SUM(I96:I96)</f>
        <v>0</v>
      </c>
      <c r="J97" s="38">
        <f>IF(H97=0,0,K97/H97)</f>
        <v>0</v>
      </c>
      <c r="K97" s="39">
        <f>SUM(K96:K96)</f>
        <v>0</v>
      </c>
      <c r="L97" s="127"/>
      <c r="M97" s="1006" t="s">
        <v>425</v>
      </c>
      <c r="N97" s="40">
        <f>SUM(N96:N96)</f>
        <v>0</v>
      </c>
      <c r="O97" s="40">
        <f>SUM(O96:O96)</f>
        <v>0</v>
      </c>
      <c r="P97" s="38">
        <f>IF(N97=0,0,Q97/N97)</f>
        <v>0</v>
      </c>
      <c r="Q97" s="39">
        <f>SUM(Q96:Q96)</f>
        <v>0</v>
      </c>
      <c r="R97" s="127"/>
      <c r="S97" s="12"/>
      <c r="T97" s="320"/>
      <c r="U97" s="320"/>
      <c r="V97" s="319"/>
      <c r="W97" s="127"/>
    </row>
    <row r="98" spans="1:23" ht="15" customHeight="1">
      <c r="A98" s="104" t="s">
        <v>439</v>
      </c>
      <c r="B98" s="116" t="str">
        <f>B$43</f>
        <v>-</v>
      </c>
      <c r="C98" s="114"/>
      <c r="D98" s="115"/>
      <c r="E98" s="121"/>
      <c r="G98" s="104" t="s">
        <v>439</v>
      </c>
      <c r="H98" s="116" t="str">
        <f>H$43</f>
        <v>-</v>
      </c>
      <c r="I98" s="114"/>
      <c r="J98" s="115"/>
      <c r="K98" s="121"/>
      <c r="L98" s="126"/>
      <c r="M98" s="104" t="s">
        <v>439</v>
      </c>
      <c r="N98" s="116" t="str">
        <f>N$43</f>
        <v>-</v>
      </c>
      <c r="O98" s="114"/>
      <c r="P98" s="115"/>
      <c r="Q98" s="121"/>
      <c r="R98" s="126"/>
      <c r="S98" s="123"/>
      <c r="T98" s="299"/>
      <c r="U98" s="300"/>
      <c r="V98" s="316"/>
      <c r="W98" s="126"/>
    </row>
    <row r="99" spans="1:23" ht="15" customHeight="1">
      <c r="A99" s="107" t="s">
        <v>33</v>
      </c>
      <c r="B99" s="108" t="s">
        <v>435</v>
      </c>
      <c r="C99" s="109"/>
      <c r="D99" s="108" t="s">
        <v>74</v>
      </c>
      <c r="E99" s="110" t="s">
        <v>429</v>
      </c>
      <c r="G99" s="107" t="s">
        <v>33</v>
      </c>
      <c r="H99" s="108" t="s">
        <v>435</v>
      </c>
      <c r="I99" s="109"/>
      <c r="J99" s="108" t="s">
        <v>74</v>
      </c>
      <c r="K99" s="110" t="s">
        <v>429</v>
      </c>
      <c r="L99" s="124"/>
      <c r="M99" s="107" t="s">
        <v>33</v>
      </c>
      <c r="N99" s="108" t="s">
        <v>435</v>
      </c>
      <c r="O99" s="109"/>
      <c r="P99" s="108" t="s">
        <v>74</v>
      </c>
      <c r="Q99" s="110" t="s">
        <v>429</v>
      </c>
      <c r="R99" s="124"/>
      <c r="S99" s="123"/>
      <c r="T99" s="124"/>
      <c r="U99" s="276"/>
      <c r="V99" s="124"/>
      <c r="W99" s="124"/>
    </row>
    <row r="100" spans="1:23" ht="15" customHeight="1" thickBot="1">
      <c r="A100" s="381" t="s">
        <v>51</v>
      </c>
      <c r="B100" s="386">
        <f>IFERROR(IF(B$98=A100,D$43,0),0)</f>
        <v>0</v>
      </c>
      <c r="C100" s="383"/>
      <c r="D100" s="384">
        <f>Assumptions!$S$8</f>
        <v>500</v>
      </c>
      <c r="E100" s="385">
        <f>B100*D100</f>
        <v>0</v>
      </c>
      <c r="G100" s="381" t="s">
        <v>51</v>
      </c>
      <c r="H100" s="386">
        <f>IFERROR(IF(H$98=G100,J$43,0),0)</f>
        <v>0</v>
      </c>
      <c r="I100" s="383"/>
      <c r="J100" s="384">
        <f>Assumptions!$S$8</f>
        <v>500</v>
      </c>
      <c r="K100" s="385">
        <f>H100*J100</f>
        <v>0</v>
      </c>
      <c r="L100" s="127"/>
      <c r="M100" s="381" t="s">
        <v>51</v>
      </c>
      <c r="N100" s="386">
        <f>IFERROR(IF(N$98=M100,P$43,0),0)</f>
        <v>0</v>
      </c>
      <c r="O100" s="383"/>
      <c r="P100" s="384">
        <f>Assumptions!$S$8</f>
        <v>500</v>
      </c>
      <c r="Q100" s="59">
        <f>O100*P100</f>
        <v>0</v>
      </c>
      <c r="R100" s="127"/>
      <c r="S100" s="317"/>
      <c r="T100" s="100"/>
      <c r="U100" s="318"/>
      <c r="V100" s="319"/>
      <c r="W100" s="127"/>
    </row>
    <row r="101" spans="1:23" ht="15" customHeight="1" thickTop="1" thickBot="1">
      <c r="A101" s="1006" t="s">
        <v>425</v>
      </c>
      <c r="B101" s="40">
        <f>SUM(B100:B100)</f>
        <v>0</v>
      </c>
      <c r="C101" s="40"/>
      <c r="D101" s="38">
        <f>IF(B101=0,0,E101/B101)</f>
        <v>0</v>
      </c>
      <c r="E101" s="39">
        <f>SUM(E100:E100)</f>
        <v>0</v>
      </c>
      <c r="G101" s="1006" t="s">
        <v>425</v>
      </c>
      <c r="H101" s="40">
        <f>SUM(H100:H100)</f>
        <v>0</v>
      </c>
      <c r="I101" s="40"/>
      <c r="J101" s="38">
        <f>IF(H101=0,0,K101/H101)</f>
        <v>0</v>
      </c>
      <c r="K101" s="39">
        <f>SUM(K100:K100)</f>
        <v>0</v>
      </c>
      <c r="L101" s="127"/>
      <c r="M101" s="1006" t="s">
        <v>425</v>
      </c>
      <c r="N101" s="40">
        <f>SUM(N100:N100)</f>
        <v>0</v>
      </c>
      <c r="O101" s="40"/>
      <c r="P101" s="38">
        <f>IF(N101=0,0,Q101/N101)</f>
        <v>0</v>
      </c>
      <c r="Q101" s="39">
        <f>SUM(Q100:Q100)</f>
        <v>0</v>
      </c>
      <c r="R101" s="127"/>
      <c r="S101" s="12"/>
      <c r="T101" s="320"/>
      <c r="U101" s="320"/>
      <c r="V101" s="319"/>
      <c r="W101" s="127"/>
    </row>
    <row r="102" spans="1:23" ht="15" customHeight="1">
      <c r="A102" s="104" t="s">
        <v>440</v>
      </c>
      <c r="B102" s="116" t="str">
        <f>B$44</f>
        <v>-</v>
      </c>
      <c r="C102" s="114"/>
      <c r="D102" s="115"/>
      <c r="E102" s="121"/>
      <c r="G102" s="104" t="s">
        <v>440</v>
      </c>
      <c r="H102" s="116" t="str">
        <f>H$44</f>
        <v>-</v>
      </c>
      <c r="I102" s="114"/>
      <c r="J102" s="115"/>
      <c r="K102" s="121"/>
      <c r="L102" s="127"/>
      <c r="M102" s="104" t="s">
        <v>440</v>
      </c>
      <c r="N102" s="116" t="str">
        <f>N$44</f>
        <v>-</v>
      </c>
      <c r="O102" s="114"/>
      <c r="P102" s="115"/>
      <c r="Q102" s="121"/>
      <c r="R102" s="127"/>
      <c r="S102" s="123"/>
      <c r="T102" s="299"/>
      <c r="U102" s="300"/>
      <c r="V102" s="316"/>
      <c r="W102" s="126"/>
    </row>
    <row r="103" spans="1:23" ht="15" customHeight="1">
      <c r="A103" s="107" t="s">
        <v>33</v>
      </c>
      <c r="B103" s="108" t="s">
        <v>435</v>
      </c>
      <c r="C103" s="109" t="s">
        <v>441</v>
      </c>
      <c r="D103" s="108" t="s">
        <v>437</v>
      </c>
      <c r="E103" s="110" t="s">
        <v>433</v>
      </c>
      <c r="G103" s="107" t="s">
        <v>33</v>
      </c>
      <c r="H103" s="108" t="s">
        <v>435</v>
      </c>
      <c r="I103" s="109" t="s">
        <v>441</v>
      </c>
      <c r="J103" s="108" t="s">
        <v>437</v>
      </c>
      <c r="K103" s="110" t="s">
        <v>433</v>
      </c>
      <c r="L103" s="127"/>
      <c r="M103" s="107" t="s">
        <v>33</v>
      </c>
      <c r="N103" s="108" t="s">
        <v>435</v>
      </c>
      <c r="O103" s="109" t="s">
        <v>441</v>
      </c>
      <c r="P103" s="108" t="s">
        <v>437</v>
      </c>
      <c r="Q103" s="110" t="s">
        <v>433</v>
      </c>
      <c r="R103" s="127"/>
      <c r="S103" s="123"/>
      <c r="T103" s="124"/>
      <c r="U103" s="276"/>
      <c r="V103" s="124"/>
      <c r="W103" s="124"/>
    </row>
    <row r="104" spans="1:23" ht="15" customHeight="1" thickBot="1">
      <c r="A104" s="381" t="s">
        <v>48</v>
      </c>
      <c r="B104" s="386">
        <f>IFERROR(IF(B$102=A104,D$44,0),0)</f>
        <v>0</v>
      </c>
      <c r="C104" s="383">
        <f>IFERROR(B104*INDEX(Assumptions!$Y$32:$Y$32,MATCH(A104,Assumptions!$W$32:$W$32,0)),0)</f>
        <v>0</v>
      </c>
      <c r="D104" s="384">
        <f>IF(C104&gt;0,INDEX(Assumptions!$R$7:$R$7,MATCH(A104,Assumptions!$Q$7:$Q$7,0)),0)</f>
        <v>0</v>
      </c>
      <c r="E104" s="385">
        <f>C104*D104</f>
        <v>0</v>
      </c>
      <c r="G104" s="381" t="s">
        <v>48</v>
      </c>
      <c r="H104" s="386">
        <f>IFERROR(IF(H$102=G104,J$44,0),0)</f>
        <v>0</v>
      </c>
      <c r="I104" s="383">
        <f>IFERROR(H104*INDEX(Assumptions!$Y$32:$Y$32,MATCH(G104,Assumptions!$W$32:$W$32,0)),0)</f>
        <v>0</v>
      </c>
      <c r="J104" s="384">
        <f>IF(I104&gt;0,INDEX(Assumptions!$R$7:$R$7,MATCH(G104,Assumptions!$Q$7:$Q$7,0)),0)</f>
        <v>0</v>
      </c>
      <c r="K104" s="59">
        <f>I104*J104</f>
        <v>0</v>
      </c>
      <c r="L104" s="127"/>
      <c r="M104" s="381" t="s">
        <v>48</v>
      </c>
      <c r="N104" s="386">
        <f>IFERROR(IF(N$102=M104,P$44,0),0)</f>
        <v>0</v>
      </c>
      <c r="O104" s="383">
        <f>IFERROR(N104*INDEX(Assumptions!$Y$32:$Y$32,MATCH(M104,Assumptions!$W$32:$W$32,0)),0)</f>
        <v>0</v>
      </c>
      <c r="P104" s="384">
        <f>IF(O104&gt;0,INDEX(Assumptions!$R$7:$R$7,MATCH(M104,Assumptions!$Q$7:$Q$7,0)),0)</f>
        <v>0</v>
      </c>
      <c r="Q104" s="59">
        <f>O104*P104</f>
        <v>0</v>
      </c>
      <c r="R104" s="127"/>
      <c r="S104" s="317"/>
      <c r="T104" s="100"/>
      <c r="U104" s="318"/>
      <c r="V104" s="319"/>
      <c r="W104" s="127"/>
    </row>
    <row r="105" spans="1:23" ht="15" customHeight="1" thickTop="1" thickBot="1">
      <c r="A105" s="1006" t="s">
        <v>425</v>
      </c>
      <c r="B105" s="40">
        <f>SUM(B104)</f>
        <v>0</v>
      </c>
      <c r="C105" s="40">
        <f>SUM(C104)</f>
        <v>0</v>
      </c>
      <c r="D105" s="38">
        <f>IF(B105=0,0,E105/B105)</f>
        <v>0</v>
      </c>
      <c r="E105" s="39">
        <f>SUM(E104)</f>
        <v>0</v>
      </c>
      <c r="G105" s="1006" t="s">
        <v>425</v>
      </c>
      <c r="H105" s="40">
        <f>SUM(H104)</f>
        <v>0</v>
      </c>
      <c r="I105" s="40">
        <f>SUM(I104)</f>
        <v>0</v>
      </c>
      <c r="J105" s="38">
        <f>IF(H105=0,0,K105/H105)</f>
        <v>0</v>
      </c>
      <c r="K105" s="39">
        <f>SUM(K104)</f>
        <v>0</v>
      </c>
      <c r="L105" s="127"/>
      <c r="M105" s="1006" t="s">
        <v>425</v>
      </c>
      <c r="N105" s="40">
        <f>SUM(N104)</f>
        <v>0</v>
      </c>
      <c r="O105" s="40">
        <f>SUM(O104)</f>
        <v>0</v>
      </c>
      <c r="P105" s="38">
        <f>IF(N105=0,0,Q105/N105)</f>
        <v>0</v>
      </c>
      <c r="Q105" s="39">
        <f>SUM(Q104)</f>
        <v>0</v>
      </c>
      <c r="R105" s="127"/>
      <c r="S105" s="12"/>
      <c r="T105" s="320"/>
      <c r="U105" s="320"/>
      <c r="V105" s="319"/>
      <c r="W105" s="127"/>
    </row>
    <row r="106" spans="1:23" ht="15" customHeight="1">
      <c r="A106" s="1007" t="s">
        <v>418</v>
      </c>
      <c r="B106" s="1008" t="s">
        <v>435</v>
      </c>
      <c r="C106" s="1009" t="s">
        <v>442</v>
      </c>
      <c r="D106" s="1009" t="s">
        <v>443</v>
      </c>
      <c r="E106" s="1010" t="s">
        <v>433</v>
      </c>
      <c r="G106" s="1007" t="s">
        <v>418</v>
      </c>
      <c r="H106" s="1008" t="s">
        <v>435</v>
      </c>
      <c r="I106" s="1009" t="s">
        <v>442</v>
      </c>
      <c r="J106" s="1009" t="s">
        <v>443</v>
      </c>
      <c r="K106" s="1010" t="s">
        <v>433</v>
      </c>
      <c r="M106" s="1007" t="s">
        <v>418</v>
      </c>
      <c r="N106" s="1008" t="s">
        <v>435</v>
      </c>
      <c r="O106" s="1009" t="s">
        <v>442</v>
      </c>
      <c r="P106" s="1009" t="s">
        <v>443</v>
      </c>
      <c r="Q106" s="1010" t="s">
        <v>433</v>
      </c>
      <c r="S106" s="123"/>
      <c r="T106" s="124"/>
      <c r="U106" s="276"/>
      <c r="V106" s="276"/>
      <c r="W106" s="124"/>
    </row>
    <row r="107" spans="1:23" ht="15" customHeight="1" thickBot="1">
      <c r="A107" s="387"/>
      <c r="B107" s="388">
        <f>D45</f>
        <v>77306.31</v>
      </c>
      <c r="C107" s="389">
        <f>IF(B107=0,0,IFERROR((B107/Assumptions!$Y$35)-1,0))</f>
        <v>256.68770000000001</v>
      </c>
      <c r="D107" s="390"/>
      <c r="E107" s="385"/>
      <c r="G107" s="387"/>
      <c r="H107" s="388">
        <f>J45</f>
        <v>0</v>
      </c>
      <c r="I107" s="389">
        <f>IF(H107=0,0,IFERROR((H107/Assumptions!$Y$35)-1,0))</f>
        <v>0</v>
      </c>
      <c r="J107" s="390"/>
      <c r="K107" s="385"/>
      <c r="M107" s="387"/>
      <c r="N107" s="388">
        <f>P45</f>
        <v>0</v>
      </c>
      <c r="O107" s="389">
        <f>IF(N107=0,0,IFERROR((N107/Assumptions!$Y$35)-1,0))</f>
        <v>0</v>
      </c>
      <c r="P107" s="390"/>
      <c r="Q107" s="385"/>
      <c r="T107" s="83"/>
      <c r="U107" s="168"/>
      <c r="W107" s="127"/>
    </row>
    <row r="108" spans="1:23" ht="15" customHeight="1" thickTop="1">
      <c r="A108" s="163" t="s">
        <v>61</v>
      </c>
      <c r="B108" s="128">
        <f>IF(B34="Parking Lot",B107*50%,B$107*B46)</f>
        <v>69575.679000000004</v>
      </c>
      <c r="C108" s="259">
        <f>IF(B108=0,0,IFERROR((B108/Assumptions!$Y$35)-1,0))</f>
        <v>230.91893000000002</v>
      </c>
      <c r="D108" s="36">
        <f>Assumptions!$Y36</f>
        <v>300</v>
      </c>
      <c r="E108" s="59">
        <f>IF(OR(D$37&gt;0,D$39&gt;0,D$40&gt;0,D$43&gt;0),0,IF(B$58&gt;0,0,IF(C108&lt;0,0,C108*D108*12)))</f>
        <v>831308.14800000004</v>
      </c>
      <c r="G108" s="163" t="s">
        <v>61</v>
      </c>
      <c r="H108" s="128">
        <f>IF(H34="Parking Lot",H107*50%,H$107*H46)</f>
        <v>0</v>
      </c>
      <c r="I108" s="259">
        <f>IF(H108=0,0,IFERROR((H108/Assumptions!$Y$35)-1,0))</f>
        <v>0</v>
      </c>
      <c r="J108" s="36">
        <f>Assumptions!$Y36</f>
        <v>300</v>
      </c>
      <c r="K108" s="59">
        <f>IF(OR(J$37&gt;0,J$39&gt;0,J$40&gt;0,J$43&gt;0),0,IF(H$58&gt;0,0,IF(I108&lt;0,0,I108*J108*12)))</f>
        <v>0</v>
      </c>
      <c r="M108" s="163" t="s">
        <v>61</v>
      </c>
      <c r="N108" s="128">
        <f>IF(N34="Parking Lot",N107*50%,N$107*N46)</f>
        <v>0</v>
      </c>
      <c r="O108" s="259">
        <f>IF(N108=0,0,IFERROR((N108/Assumptions!$Y$35)-1,0))</f>
        <v>0</v>
      </c>
      <c r="P108" s="36">
        <f>Assumptions!$Y36</f>
        <v>300</v>
      </c>
      <c r="Q108" s="59">
        <f>IF(OR(P$37&gt;0,P$39&gt;0,P$40&gt;0,P$43&gt;0),0,IF(N$58&gt;0,0,IF(O108&lt;0,0,O108*P108*12)))</f>
        <v>0</v>
      </c>
      <c r="S108" s="321"/>
      <c r="T108" s="83"/>
      <c r="U108" s="168"/>
      <c r="V108" s="286"/>
      <c r="W108" s="127"/>
    </row>
    <row r="109" spans="1:23" ht="15" customHeight="1">
      <c r="A109" s="391" t="s">
        <v>239</v>
      </c>
      <c r="B109" s="392">
        <f>B107-B108-B110</f>
        <v>7730.6309999999939</v>
      </c>
      <c r="C109" s="393">
        <f>IF(B109=0,0,IFERROR((B109/Assumptions!$Y$35)-1,0))</f>
        <v>24.768769999999979</v>
      </c>
      <c r="D109" s="394">
        <f>Assumptions!$Y37</f>
        <v>250</v>
      </c>
      <c r="E109" s="59">
        <f>IF(OR(D$37&gt;0,D$39&gt;0,D$40&gt;0,D$43&gt;0),0,IF(B$58&gt;0,0,IF(C109&lt;0,0,C109*D109*12)))</f>
        <v>74306.309999999939</v>
      </c>
      <c r="G109" s="391" t="s">
        <v>239</v>
      </c>
      <c r="H109" s="392">
        <f>H107-H108-H110</f>
        <v>0</v>
      </c>
      <c r="I109" s="393">
        <f>IF(H109=0,0,IFERROR((H109/Assumptions!$Y$35)-1,0))</f>
        <v>0</v>
      </c>
      <c r="J109" s="394">
        <f>Assumptions!$Y37</f>
        <v>250</v>
      </c>
      <c r="K109" s="59">
        <f>IF(OR(J$37&gt;0,J$39&gt;0,J$40&gt;0,J$43&gt;0),0,IF(H$58&gt;0,0,IF(I109&lt;0,0,I109*J109*12)))</f>
        <v>0</v>
      </c>
      <c r="M109" s="391" t="s">
        <v>239</v>
      </c>
      <c r="N109" s="392">
        <f>N107-N108-N110</f>
        <v>0</v>
      </c>
      <c r="O109" s="393">
        <f>IF(N109=0,0,IFERROR((N109/Assumptions!$Y$35)-1,0))</f>
        <v>0</v>
      </c>
      <c r="P109" s="394">
        <f>Assumptions!$Y37</f>
        <v>250</v>
      </c>
      <c r="Q109" s="59">
        <f>IF(OR(P$37&gt;0,P$39&gt;0,P$40&gt;0,P$43&gt;0),0,IF(N$58&gt;0,0,IF(O109&lt;0,0,O109*P109*12)))</f>
        <v>0</v>
      </c>
      <c r="S109" s="203"/>
      <c r="T109" s="83"/>
      <c r="U109" s="168"/>
      <c r="V109" s="286"/>
      <c r="W109" s="127"/>
    </row>
    <row r="110" spans="1:23" ht="15" customHeight="1" thickBot="1">
      <c r="A110" s="395" t="s">
        <v>122</v>
      </c>
      <c r="B110" s="396">
        <v>0</v>
      </c>
      <c r="C110" s="397">
        <f>IF(B110=0,0,IFERROR((B110/Assumptions!$Y$35)-1,0))</f>
        <v>0</v>
      </c>
      <c r="D110" s="398">
        <f>Assumptions!$Y38</f>
        <v>50</v>
      </c>
      <c r="E110" s="39">
        <f>IF(OR(D$37&gt;0,D$39&gt;0,D$40&gt;0,D$43&gt;0),0,IF(B$58&gt;0,0,IF(C110&lt;0,0,C110*D110*12)))</f>
        <v>0</v>
      </c>
      <c r="G110" s="395" t="s">
        <v>122</v>
      </c>
      <c r="H110" s="396">
        <v>0</v>
      </c>
      <c r="I110" s="397">
        <f>IF(H110=0,0,IFERROR((H110/Assumptions!$Y$35)-1,0))</f>
        <v>0</v>
      </c>
      <c r="J110" s="398">
        <f>Assumptions!$Y38</f>
        <v>50</v>
      </c>
      <c r="K110" s="39">
        <f>IF(OR(J$37&gt;0,J$39&gt;0,J$40&gt;0,J$43&gt;0),0,IF(H$58&gt;0,0,IF(I110&lt;0,0,I110*J110*12)))</f>
        <v>0</v>
      </c>
      <c r="M110" s="395" t="s">
        <v>122</v>
      </c>
      <c r="N110" s="396">
        <v>0</v>
      </c>
      <c r="O110" s="397">
        <f>IF(N110=0,0,IFERROR((N110/Assumptions!$Y$35)-1,0))</f>
        <v>0</v>
      </c>
      <c r="P110" s="398">
        <f>Assumptions!$Y38</f>
        <v>50</v>
      </c>
      <c r="Q110" s="39">
        <f>IF(OR(P$37&gt;0,P$39&gt;0,P$40&gt;0,P$43&gt;0),0,IF(N$58&gt;0,0,IF(O110&lt;0,0,O110*P110*12)))</f>
        <v>0</v>
      </c>
      <c r="S110" s="203"/>
      <c r="T110" s="322"/>
      <c r="U110" s="168"/>
      <c r="V110" s="286"/>
      <c r="W110" s="127"/>
    </row>
    <row r="111" spans="1:23" ht="15" customHeight="1" thickBot="1">
      <c r="A111" s="203"/>
      <c r="B111" s="83"/>
      <c r="C111" s="204"/>
      <c r="D111" s="202"/>
      <c r="E111" s="127"/>
      <c r="G111" s="203"/>
      <c r="H111" s="83"/>
      <c r="I111" s="204"/>
      <c r="J111" s="202"/>
      <c r="K111" s="127"/>
      <c r="M111" s="203"/>
      <c r="N111" s="83"/>
      <c r="O111" s="204"/>
      <c r="P111" s="202"/>
      <c r="Q111" s="127"/>
      <c r="S111" s="203"/>
      <c r="T111" s="83"/>
      <c r="U111" s="301"/>
      <c r="V111" s="286"/>
      <c r="W111" s="127"/>
    </row>
    <row r="112" spans="1:23" ht="15" customHeight="1" thickBot="1">
      <c r="A112" s="1011" t="s">
        <v>444</v>
      </c>
      <c r="B112" s="80"/>
      <c r="C112" s="77" t="str">
        <f>B34</f>
        <v>Multifamily + Retail 1</v>
      </c>
      <c r="D112" s="77"/>
      <c r="E112" s="1012"/>
      <c r="F112" s="12"/>
      <c r="G112" s="1011" t="s">
        <v>444</v>
      </c>
      <c r="H112" s="80"/>
      <c r="I112" s="77">
        <f>H34</f>
        <v>0</v>
      </c>
      <c r="J112" s="77"/>
      <c r="K112" s="1012"/>
      <c r="L112" s="12"/>
      <c r="M112" s="1011" t="s">
        <v>444</v>
      </c>
      <c r="N112" s="80"/>
      <c r="O112" s="77">
        <f>N34</f>
        <v>0</v>
      </c>
      <c r="P112" s="77"/>
      <c r="Q112" s="1012"/>
      <c r="R112" s="12"/>
      <c r="S112" s="274"/>
      <c r="T112" s="274"/>
      <c r="U112" s="129"/>
      <c r="V112" s="129"/>
      <c r="W112" s="274"/>
    </row>
    <row r="113" spans="1:23" ht="13.5" thickBot="1">
      <c r="A113" s="1013" t="s">
        <v>445</v>
      </c>
      <c r="B113" s="78" t="s">
        <v>446</v>
      </c>
      <c r="C113" s="78" t="s">
        <v>447</v>
      </c>
      <c r="D113" s="78" t="s">
        <v>448</v>
      </c>
      <c r="E113" s="1014" t="s">
        <v>449</v>
      </c>
      <c r="F113" s="12"/>
      <c r="G113" s="1013" t="s">
        <v>445</v>
      </c>
      <c r="H113" s="78" t="s">
        <v>446</v>
      </c>
      <c r="I113" s="78" t="s">
        <v>447</v>
      </c>
      <c r="J113" s="78" t="s">
        <v>448</v>
      </c>
      <c r="K113" s="1014" t="s">
        <v>449</v>
      </c>
      <c r="L113" s="12"/>
      <c r="M113" s="1013" t="s">
        <v>445</v>
      </c>
      <c r="N113" s="78" t="s">
        <v>446</v>
      </c>
      <c r="O113" s="78" t="s">
        <v>447</v>
      </c>
      <c r="P113" s="78" t="s">
        <v>448</v>
      </c>
      <c r="Q113" s="1014" t="s">
        <v>449</v>
      </c>
      <c r="R113" s="12"/>
      <c r="S113" s="123"/>
      <c r="T113" s="124"/>
      <c r="U113" s="124"/>
      <c r="V113" s="124"/>
      <c r="W113" s="124"/>
    </row>
    <row r="114" spans="1:23" ht="12.6">
      <c r="A114" s="33" t="s">
        <v>450</v>
      </c>
      <c r="B114" s="34"/>
      <c r="C114" s="35"/>
      <c r="D114" s="82"/>
      <c r="E114" s="13">
        <f>SUM(E55,E72,E88)</f>
        <v>10332170.4</v>
      </c>
      <c r="F114" s="12"/>
      <c r="G114" s="33" t="s">
        <v>450</v>
      </c>
      <c r="H114" s="34"/>
      <c r="I114" s="35"/>
      <c r="J114" s="82"/>
      <c r="K114" s="13">
        <f>SUM(K55,K72,K88)</f>
        <v>0</v>
      </c>
      <c r="L114" s="12"/>
      <c r="M114" s="33" t="s">
        <v>450</v>
      </c>
      <c r="N114" s="34"/>
      <c r="O114" s="35"/>
      <c r="P114" s="82"/>
      <c r="Q114" s="13">
        <f>SUM(Q55,Q72,Q88)</f>
        <v>0</v>
      </c>
      <c r="R114" s="12"/>
      <c r="S114" s="12"/>
      <c r="T114" s="286"/>
      <c r="U114" s="323"/>
      <c r="V114" s="324"/>
      <c r="W114" s="286"/>
    </row>
    <row r="115" spans="1:23" ht="12.6">
      <c r="A115" s="91" t="s">
        <v>451</v>
      </c>
      <c r="B115" s="34"/>
      <c r="C115" s="35"/>
      <c r="D115" s="399"/>
      <c r="E115" s="92">
        <f>SUM(E93,E97)</f>
        <v>1684838.7200000002</v>
      </c>
      <c r="F115" s="12"/>
      <c r="G115" s="91" t="s">
        <v>451</v>
      </c>
      <c r="H115" s="34"/>
      <c r="I115" s="35"/>
      <c r="J115" s="399"/>
      <c r="K115" s="92">
        <f>SUM(K93,K97)</f>
        <v>0</v>
      </c>
      <c r="L115" s="12"/>
      <c r="M115" s="91" t="s">
        <v>451</v>
      </c>
      <c r="N115" s="34"/>
      <c r="O115" s="35"/>
      <c r="P115" s="399"/>
      <c r="Q115" s="92">
        <f>SUM(Q93,Q97)</f>
        <v>0</v>
      </c>
      <c r="R115" s="12"/>
      <c r="S115" s="12"/>
      <c r="T115" s="286"/>
      <c r="U115" s="323"/>
      <c r="V115" s="324"/>
      <c r="W115" s="286"/>
    </row>
    <row r="116" spans="1:23" ht="12.6">
      <c r="A116" s="400" t="s">
        <v>452</v>
      </c>
      <c r="B116" s="1077"/>
      <c r="C116" s="1078"/>
      <c r="D116" s="401"/>
      <c r="E116" s="1015">
        <f>E105</f>
        <v>0</v>
      </c>
      <c r="F116" s="12"/>
      <c r="G116" s="400" t="s">
        <v>452</v>
      </c>
      <c r="H116" s="1077"/>
      <c r="I116" s="1078"/>
      <c r="J116" s="401"/>
      <c r="K116" s="1015">
        <f>K105</f>
        <v>0</v>
      </c>
      <c r="L116" s="12"/>
      <c r="M116" s="400" t="s">
        <v>452</v>
      </c>
      <c r="N116" s="1077"/>
      <c r="O116" s="1078"/>
      <c r="P116" s="401"/>
      <c r="Q116" s="1015">
        <f>Q105</f>
        <v>0</v>
      </c>
      <c r="R116" s="12"/>
      <c r="S116" s="325"/>
      <c r="T116" s="1079"/>
      <c r="U116" s="1079"/>
      <c r="V116" s="326"/>
      <c r="W116" s="286"/>
    </row>
    <row r="117" spans="1:23" ht="12.95">
      <c r="A117" s="402" t="s">
        <v>453</v>
      </c>
      <c r="B117" s="89"/>
      <c r="C117" s="89"/>
      <c r="D117" s="86"/>
      <c r="E117" s="403">
        <f>SUM(E114:E116)</f>
        <v>12017009.120000001</v>
      </c>
      <c r="F117" s="12"/>
      <c r="G117" s="402" t="s">
        <v>453</v>
      </c>
      <c r="H117" s="89"/>
      <c r="I117" s="89"/>
      <c r="J117" s="86"/>
      <c r="K117" s="403">
        <f>SUM(K114:K116)</f>
        <v>0</v>
      </c>
      <c r="L117" s="12"/>
      <c r="M117" s="402" t="s">
        <v>453</v>
      </c>
      <c r="N117" s="89"/>
      <c r="O117" s="89"/>
      <c r="P117" s="86"/>
      <c r="Q117" s="403">
        <f>SUM(Q114:Q116)</f>
        <v>0</v>
      </c>
      <c r="R117" s="12"/>
      <c r="S117" s="277"/>
      <c r="T117" s="302"/>
      <c r="U117" s="302"/>
      <c r="V117" s="167"/>
      <c r="W117" s="167"/>
    </row>
    <row r="118" spans="1:23" ht="12.95">
      <c r="A118" s="1071"/>
      <c r="B118" s="1072"/>
      <c r="C118" s="1072"/>
      <c r="D118" s="1072"/>
      <c r="E118" s="1073"/>
      <c r="F118" s="12"/>
      <c r="G118" s="1071"/>
      <c r="H118" s="1072"/>
      <c r="I118" s="1072"/>
      <c r="J118" s="1072"/>
      <c r="K118" s="1073"/>
      <c r="L118" s="12"/>
      <c r="M118" s="1071"/>
      <c r="N118" s="1072"/>
      <c r="O118" s="1072"/>
      <c r="P118" s="1072"/>
      <c r="Q118" s="1073"/>
      <c r="R118" s="12"/>
      <c r="S118" s="1074"/>
      <c r="T118" s="1074"/>
      <c r="U118" s="1074"/>
      <c r="V118" s="1074"/>
      <c r="W118" s="1074"/>
    </row>
    <row r="119" spans="1:23" ht="12.95">
      <c r="A119" s="95" t="s">
        <v>454</v>
      </c>
      <c r="B119" s="85"/>
      <c r="C119" s="85"/>
      <c r="D119" s="85"/>
      <c r="E119" s="96"/>
      <c r="F119" s="12"/>
      <c r="G119" s="95" t="s">
        <v>454</v>
      </c>
      <c r="H119" s="85"/>
      <c r="I119" s="85"/>
      <c r="J119" s="85"/>
      <c r="K119" s="96"/>
      <c r="L119" s="12"/>
      <c r="M119" s="95" t="s">
        <v>454</v>
      </c>
      <c r="N119" s="85"/>
      <c r="O119" s="85"/>
      <c r="P119" s="85"/>
      <c r="Q119" s="96"/>
      <c r="R119" s="12"/>
      <c r="S119" s="277"/>
      <c r="T119" s="167"/>
      <c r="U119" s="167"/>
      <c r="V119" s="167"/>
      <c r="W119" s="167"/>
    </row>
    <row r="120" spans="1:23" ht="12.6">
      <c r="A120" s="404" t="s">
        <v>455</v>
      </c>
      <c r="B120" s="394"/>
      <c r="C120" s="401"/>
      <c r="D120" s="401"/>
      <c r="E120" s="405">
        <f>E108</f>
        <v>831308.14800000004</v>
      </c>
      <c r="F120" s="12"/>
      <c r="G120" s="404" t="s">
        <v>455</v>
      </c>
      <c r="H120" s="394"/>
      <c r="I120" s="401"/>
      <c r="J120" s="401"/>
      <c r="K120" s="405">
        <f>K108</f>
        <v>0</v>
      </c>
      <c r="L120" s="12"/>
      <c r="M120" s="404" t="s">
        <v>455</v>
      </c>
      <c r="N120" s="394"/>
      <c r="O120" s="401"/>
      <c r="P120" s="401"/>
      <c r="Q120" s="405">
        <f>Q108</f>
        <v>0</v>
      </c>
      <c r="R120" s="12"/>
      <c r="S120" s="327"/>
      <c r="T120" s="286"/>
      <c r="U120" s="326"/>
      <c r="V120" s="326"/>
      <c r="W120" s="286"/>
    </row>
    <row r="121" spans="1:23" ht="12.6">
      <c r="A121" s="404" t="s">
        <v>456</v>
      </c>
      <c r="B121" s="394"/>
      <c r="C121" s="401"/>
      <c r="D121" s="401"/>
      <c r="E121" s="405">
        <f>E109</f>
        <v>74306.309999999939</v>
      </c>
      <c r="F121" s="12"/>
      <c r="G121" s="404" t="s">
        <v>456</v>
      </c>
      <c r="H121" s="394"/>
      <c r="I121" s="401"/>
      <c r="J121" s="401"/>
      <c r="K121" s="405">
        <f>K109</f>
        <v>0</v>
      </c>
      <c r="L121" s="12"/>
      <c r="M121" s="404" t="s">
        <v>456</v>
      </c>
      <c r="N121" s="394"/>
      <c r="O121" s="401"/>
      <c r="P121" s="401"/>
      <c r="Q121" s="405">
        <f>Q109</f>
        <v>0</v>
      </c>
      <c r="R121" s="12"/>
      <c r="S121" s="327"/>
      <c r="T121" s="286"/>
      <c r="U121" s="326"/>
      <c r="V121" s="326"/>
      <c r="W121" s="286"/>
    </row>
    <row r="122" spans="1:23" ht="12.6">
      <c r="A122" s="404" t="s">
        <v>457</v>
      </c>
      <c r="B122" s="394"/>
      <c r="C122" s="401"/>
      <c r="D122" s="401"/>
      <c r="E122" s="405">
        <f>E110</f>
        <v>0</v>
      </c>
      <c r="F122" s="12"/>
      <c r="G122" s="404" t="s">
        <v>457</v>
      </c>
      <c r="H122" s="394"/>
      <c r="I122" s="401"/>
      <c r="J122" s="401"/>
      <c r="K122" s="405">
        <f>K110</f>
        <v>0</v>
      </c>
      <c r="L122" s="12"/>
      <c r="M122" s="404" t="s">
        <v>457</v>
      </c>
      <c r="N122" s="394"/>
      <c r="O122" s="401"/>
      <c r="P122" s="401"/>
      <c r="Q122" s="405">
        <f>Q110</f>
        <v>0</v>
      </c>
      <c r="R122" s="12"/>
      <c r="S122" s="327"/>
      <c r="T122" s="286"/>
      <c r="U122" s="326"/>
      <c r="V122" s="326"/>
      <c r="W122" s="286"/>
    </row>
    <row r="123" spans="1:23" ht="12.6">
      <c r="A123" s="404" t="s">
        <v>458</v>
      </c>
      <c r="B123" s="401"/>
      <c r="C123" s="401"/>
      <c r="D123" s="401"/>
      <c r="E123" s="405">
        <f>Assumptions!$L$44*E117</f>
        <v>360510.27360000001</v>
      </c>
      <c r="F123" s="12"/>
      <c r="G123" s="404" t="s">
        <v>458</v>
      </c>
      <c r="H123" s="401"/>
      <c r="I123" s="401"/>
      <c r="J123" s="401"/>
      <c r="K123" s="405">
        <f>Assumptions!$L$44*K117</f>
        <v>0</v>
      </c>
      <c r="L123" s="12"/>
      <c r="M123" s="404" t="s">
        <v>458</v>
      </c>
      <c r="N123" s="401"/>
      <c r="O123" s="401"/>
      <c r="P123" s="401"/>
      <c r="Q123" s="405">
        <f>Assumptions!$L$44*Q117</f>
        <v>0</v>
      </c>
      <c r="R123" s="12"/>
      <c r="S123" s="327"/>
      <c r="T123" s="326"/>
      <c r="U123" s="326"/>
      <c r="V123" s="326"/>
      <c r="W123" s="286"/>
    </row>
    <row r="124" spans="1:23" ht="13.5" thickBot="1">
      <c r="A124" s="84" t="s">
        <v>459</v>
      </c>
      <c r="B124" s="72"/>
      <c r="C124" s="87"/>
      <c r="D124" s="406"/>
      <c r="E124" s="73">
        <f>SUM(E120:E123)</f>
        <v>1266124.7316000001</v>
      </c>
      <c r="F124" s="12"/>
      <c r="G124" s="84" t="s">
        <v>459</v>
      </c>
      <c r="H124" s="72"/>
      <c r="I124" s="87"/>
      <c r="J124" s="406"/>
      <c r="K124" s="73">
        <f>SUM(K120:K123)</f>
        <v>0</v>
      </c>
      <c r="L124" s="12"/>
      <c r="M124" s="84" t="s">
        <v>459</v>
      </c>
      <c r="N124" s="72"/>
      <c r="O124" s="87"/>
      <c r="P124" s="406"/>
      <c r="Q124" s="73">
        <f>SUM(Q120:Q123)</f>
        <v>0</v>
      </c>
      <c r="R124" s="12"/>
      <c r="S124" s="328"/>
      <c r="T124" s="167"/>
      <c r="U124" s="167"/>
      <c r="V124" s="167"/>
      <c r="W124" s="167"/>
    </row>
    <row r="125" spans="1:23" ht="14.1" thickTop="1" thickBot="1">
      <c r="A125" s="27">
        <v>0.05</v>
      </c>
      <c r="B125" s="74"/>
      <c r="C125" s="88"/>
      <c r="D125" s="94"/>
      <c r="E125" s="79">
        <f>-A125*E117</f>
        <v>-600850.45600000012</v>
      </c>
      <c r="F125" s="12"/>
      <c r="G125" s="27">
        <v>0.05</v>
      </c>
      <c r="H125" s="74"/>
      <c r="I125" s="88"/>
      <c r="J125" s="94"/>
      <c r="K125" s="79">
        <f>-G125*K117</f>
        <v>0</v>
      </c>
      <c r="L125" s="12"/>
      <c r="M125" s="27">
        <v>0.05</v>
      </c>
      <c r="N125" s="74"/>
      <c r="O125" s="88"/>
      <c r="P125" s="94"/>
      <c r="Q125" s="79">
        <f>-M125*Q117</f>
        <v>0</v>
      </c>
      <c r="R125" s="12"/>
      <c r="S125" s="329"/>
      <c r="T125" s="286"/>
      <c r="U125" s="286"/>
      <c r="V125" s="286"/>
      <c r="W125" s="286"/>
    </row>
    <row r="126" spans="1:23" ht="14.1" thickTop="1" thickBot="1">
      <c r="A126" s="1016" t="s">
        <v>460</v>
      </c>
      <c r="B126" s="14"/>
      <c r="C126" s="1017"/>
      <c r="D126" s="93"/>
      <c r="E126" s="1018">
        <f>E117+E124+E125</f>
        <v>12682283.3956</v>
      </c>
      <c r="F126" s="12"/>
      <c r="G126" s="1016" t="s">
        <v>460</v>
      </c>
      <c r="H126" s="14"/>
      <c r="I126" s="1017"/>
      <c r="J126" s="93"/>
      <c r="K126" s="1018">
        <f>K117+K124+K125</f>
        <v>0</v>
      </c>
      <c r="L126" s="12"/>
      <c r="M126" s="1016" t="s">
        <v>460</v>
      </c>
      <c r="N126" s="14"/>
      <c r="O126" s="1017"/>
      <c r="P126" s="93"/>
      <c r="Q126" s="1018">
        <f>Q117+Q124+Q125</f>
        <v>0</v>
      </c>
      <c r="R126" s="12"/>
      <c r="S126" s="330"/>
      <c r="T126" s="167"/>
      <c r="U126" s="331"/>
      <c r="V126" s="331"/>
      <c r="W126" s="167"/>
    </row>
    <row r="127" spans="1:23" ht="13.5" thickBot="1">
      <c r="A127" s="6" t="s">
        <v>461</v>
      </c>
      <c r="B127" s="78" t="s">
        <v>462</v>
      </c>
      <c r="C127" s="78"/>
      <c r="D127" s="78"/>
      <c r="E127" s="15" t="s">
        <v>463</v>
      </c>
      <c r="F127" s="12"/>
      <c r="G127" s="6" t="s">
        <v>461</v>
      </c>
      <c r="H127" s="78" t="s">
        <v>462</v>
      </c>
      <c r="I127" s="78"/>
      <c r="J127" s="78"/>
      <c r="K127" s="15" t="s">
        <v>463</v>
      </c>
      <c r="L127" s="12"/>
      <c r="M127" s="6" t="s">
        <v>461</v>
      </c>
      <c r="N127" s="78" t="s">
        <v>462</v>
      </c>
      <c r="O127" s="78"/>
      <c r="P127" s="78"/>
      <c r="Q127" s="15" t="s">
        <v>463</v>
      </c>
      <c r="R127" s="12"/>
      <c r="S127" s="123"/>
      <c r="T127" s="124"/>
      <c r="U127" s="124"/>
      <c r="V127" s="124"/>
      <c r="W127" s="124"/>
    </row>
    <row r="128" spans="1:23" ht="13.5" thickBot="1">
      <c r="A128" s="97" t="s">
        <v>464</v>
      </c>
      <c r="B128" s="90"/>
      <c r="C128" s="16"/>
      <c r="D128" s="16"/>
      <c r="E128" s="98">
        <f>-0.3*E117</f>
        <v>-3605102.736</v>
      </c>
      <c r="F128" s="12"/>
      <c r="G128" s="97" t="s">
        <v>464</v>
      </c>
      <c r="H128" s="90"/>
      <c r="I128" s="16"/>
      <c r="J128" s="16"/>
      <c r="K128" s="98">
        <f>-0.3*K117</f>
        <v>0</v>
      </c>
      <c r="L128" s="12"/>
      <c r="M128" s="97" t="s">
        <v>464</v>
      </c>
      <c r="N128" s="90"/>
      <c r="O128" s="16"/>
      <c r="P128" s="16"/>
      <c r="Q128" s="98">
        <f>-0.3*Q117</f>
        <v>0</v>
      </c>
      <c r="R128" s="12"/>
      <c r="S128" s="289"/>
      <c r="T128" s="332"/>
      <c r="U128" s="333"/>
      <c r="V128" s="333"/>
      <c r="W128" s="333"/>
    </row>
    <row r="129" spans="1:25" ht="13.5" thickBot="1">
      <c r="A129" s="1019" t="s">
        <v>465</v>
      </c>
      <c r="B129" s="81"/>
      <c r="C129" s="81"/>
      <c r="D129" s="81"/>
      <c r="E129" s="1020">
        <f>E126+E128</f>
        <v>9077180.6596000008</v>
      </c>
      <c r="F129" s="12"/>
      <c r="G129" s="1019" t="s">
        <v>465</v>
      </c>
      <c r="H129" s="81"/>
      <c r="I129" s="81"/>
      <c r="J129" s="81"/>
      <c r="K129" s="1020">
        <f>K126+K128</f>
        <v>0</v>
      </c>
      <c r="L129" s="12"/>
      <c r="M129" s="1019" t="s">
        <v>465</v>
      </c>
      <c r="N129" s="81"/>
      <c r="O129" s="81"/>
      <c r="P129" s="81"/>
      <c r="Q129" s="1020">
        <f>Q126+Q128</f>
        <v>0</v>
      </c>
      <c r="R129" s="12"/>
      <c r="S129" s="118"/>
      <c r="T129" s="334"/>
      <c r="U129" s="334"/>
      <c r="V129" s="334"/>
      <c r="W129" s="335"/>
    </row>
    <row r="130" spans="1:25" ht="12.6">
      <c r="F130" s="12"/>
      <c r="L130" s="12"/>
      <c r="R130" s="12"/>
    </row>
    <row r="131" spans="1:25" ht="12.95">
      <c r="A131" s="734" t="s">
        <v>383</v>
      </c>
      <c r="B131" s="734"/>
      <c r="C131" s="734"/>
      <c r="F131" s="12"/>
      <c r="G131" s="734" t="s">
        <v>383</v>
      </c>
      <c r="H131" s="734"/>
      <c r="I131" s="734"/>
      <c r="L131" s="12"/>
      <c r="M131" s="734" t="s">
        <v>383</v>
      </c>
      <c r="N131" s="734"/>
      <c r="O131" s="734"/>
      <c r="R131" s="12"/>
      <c r="S131" s="274"/>
      <c r="T131" s="274"/>
      <c r="U131" s="274"/>
    </row>
    <row r="132" spans="1:25" ht="12.95">
      <c r="A132" s="735"/>
      <c r="B132" s="736" t="s">
        <v>466</v>
      </c>
      <c r="C132" s="736" t="s">
        <v>467</v>
      </c>
      <c r="F132" s="83"/>
      <c r="G132" s="735"/>
      <c r="H132" s="736" t="s">
        <v>466</v>
      </c>
      <c r="I132" s="736" t="s">
        <v>467</v>
      </c>
      <c r="L132" s="83"/>
      <c r="M132" s="735"/>
      <c r="N132" s="736" t="s">
        <v>466</v>
      </c>
      <c r="O132" s="736" t="s">
        <v>467</v>
      </c>
      <c r="R132" s="83"/>
      <c r="S132" s="274"/>
      <c r="T132" s="282"/>
      <c r="U132" s="282"/>
    </row>
    <row r="133" spans="1:25" ht="12.75" customHeight="1">
      <c r="A133" s="737" t="s">
        <v>387</v>
      </c>
      <c r="B133" s="738">
        <f>IFERROR(INDEX(Assumptions!$D$4:$E$16,MATCH('2-C Financial'!B$34,Assumptions!$D$4:$D$16,0),2),0)</f>
        <v>195</v>
      </c>
      <c r="C133" s="739">
        <f>B133*D34</f>
        <v>120788070</v>
      </c>
      <c r="F133" s="12"/>
      <c r="G133" s="737" t="s">
        <v>387</v>
      </c>
      <c r="H133" s="738">
        <f>IFERROR(INDEX(Assumptions!$D$4:$E$16,MATCH('2-C Financial'!H$34,Assumptions!$D$4:$D$16,0),2),0)</f>
        <v>0</v>
      </c>
      <c r="I133" s="739">
        <f>H133*J34</f>
        <v>0</v>
      </c>
      <c r="L133" s="12"/>
      <c r="M133" s="737" t="s">
        <v>387</v>
      </c>
      <c r="N133" s="738">
        <f>IFERROR(INDEX(Assumptions!$D$4:$E$16,MATCH('2-C Financial'!N$34,Assumptions!$D$4:$D$16,0),2),0)</f>
        <v>0</v>
      </c>
      <c r="O133" s="739">
        <f>N133*P34</f>
        <v>0</v>
      </c>
      <c r="R133" s="12"/>
      <c r="S133" s="177"/>
      <c r="T133" s="336"/>
      <c r="U133" s="286"/>
    </row>
    <row r="134" spans="1:25" ht="12.75" customHeight="1">
      <c r="A134" s="737" t="s">
        <v>77</v>
      </c>
      <c r="B134" s="562">
        <f>Assumptions!$E$19</f>
        <v>0.05</v>
      </c>
      <c r="C134" s="740">
        <f>B134*C133</f>
        <v>6039403.5</v>
      </c>
      <c r="F134" s="12"/>
      <c r="G134" s="737" t="s">
        <v>77</v>
      </c>
      <c r="H134" s="562">
        <f>Assumptions!$E$19</f>
        <v>0.05</v>
      </c>
      <c r="I134" s="740">
        <f>H134*I133</f>
        <v>0</v>
      </c>
      <c r="L134" s="12"/>
      <c r="M134" s="737" t="s">
        <v>77</v>
      </c>
      <c r="N134" s="562">
        <f>Assumptions!$E$19</f>
        <v>0.05</v>
      </c>
      <c r="O134" s="740">
        <f>N134*O133</f>
        <v>0</v>
      </c>
      <c r="R134" s="12"/>
      <c r="S134" s="177"/>
      <c r="T134" s="337"/>
      <c r="U134" s="290"/>
      <c r="Y134" s="12"/>
    </row>
    <row r="135" spans="1:25" ht="12.75" customHeight="1">
      <c r="A135" s="737" t="s">
        <v>389</v>
      </c>
      <c r="B135" s="407" t="s">
        <v>101</v>
      </c>
      <c r="C135" s="741">
        <v>0</v>
      </c>
      <c r="F135" s="12"/>
      <c r="G135" s="737" t="s">
        <v>389</v>
      </c>
      <c r="H135" s="407" t="s">
        <v>101</v>
      </c>
      <c r="I135" s="741">
        <v>0</v>
      </c>
      <c r="L135" s="12"/>
      <c r="M135" s="737" t="s">
        <v>389</v>
      </c>
      <c r="N135" s="407" t="s">
        <v>101</v>
      </c>
      <c r="O135" s="741">
        <v>0</v>
      </c>
      <c r="R135" s="12"/>
      <c r="S135" s="177"/>
      <c r="T135" s="338"/>
      <c r="U135" s="339"/>
      <c r="Y135" s="12"/>
    </row>
    <row r="136" spans="1:25" ht="12.75" customHeight="1">
      <c r="A136" s="737" t="s">
        <v>391</v>
      </c>
      <c r="B136" s="748" t="s">
        <v>468</v>
      </c>
      <c r="C136" s="739">
        <f>IF(C133=0,0,INDEX('Development Program'!$C$58:$L$62,5,MATCH($D$2,'Development Program'!$C$58:$L$58,0))/INDEX('Development Program'!$L$9:$M$18,MATCH($D$2,'Development Program'!$L$9:$L$18,0),2))</f>
        <v>808909.2</v>
      </c>
      <c r="F136" s="12"/>
      <c r="G136" s="737" t="s">
        <v>391</v>
      </c>
      <c r="H136" s="748" t="s">
        <v>468</v>
      </c>
      <c r="I136" s="739">
        <f>IF(I133=0,0,INDEX('Development Program'!$C$58:$L$62,5,MATCH($D$2,'Development Program'!$C$58:$L$58,0))/INDEX('Development Program'!$L$9:$M$18,MATCH($D$2,'Development Program'!$L$9:$L$18,0),2))</f>
        <v>0</v>
      </c>
      <c r="L136" s="12"/>
      <c r="M136" s="737" t="s">
        <v>391</v>
      </c>
      <c r="N136" s="748" t="s">
        <v>468</v>
      </c>
      <c r="O136" s="739">
        <f>IF(O133=0,0,INDEX('Development Program'!$C$58:$L$62,5,MATCH($D$2,'Development Program'!$C$58:$L$58,0))/INDEX('Development Program'!$L$9:$M$18,MATCH($D$2,'Development Program'!$L$9:$L$18,0),2))</f>
        <v>0</v>
      </c>
      <c r="R136" s="12"/>
      <c r="S136" s="177"/>
      <c r="T136" s="340"/>
      <c r="U136" s="179"/>
    </row>
    <row r="137" spans="1:25" ht="12.75" customHeight="1">
      <c r="A137" s="426" t="s">
        <v>16</v>
      </c>
      <c r="B137" s="748" t="s">
        <v>468</v>
      </c>
      <c r="C137" s="739">
        <f>IF(C133=0,0,INDEX('Development Program'!$D$40:$M$55,16,MATCH($D$2,'Development Program'!$D$40:$M$40,0))/INDEX('Development Program'!$L$9:$M$18,MATCH($D$2,'Development Program'!$L$9:$L$18,0),2))</f>
        <v>2480000</v>
      </c>
      <c r="F137" s="12"/>
      <c r="G137" s="426" t="s">
        <v>16</v>
      </c>
      <c r="H137" s="748" t="s">
        <v>468</v>
      </c>
      <c r="I137" s="739">
        <f>IF(I133=0,0,INDEX('Development Program'!$D$40:$M$55,16,MATCH($D$2,'Development Program'!$D$40:$M$40,0))/INDEX('Development Program'!$L$9:$M$18,MATCH($D$2,'Development Program'!$L$9:$L$18,0),2))</f>
        <v>0</v>
      </c>
      <c r="L137" s="12"/>
      <c r="M137" s="426" t="s">
        <v>16</v>
      </c>
      <c r="N137" s="748" t="s">
        <v>468</v>
      </c>
      <c r="O137" s="739">
        <f>IF(O133=0,0,INDEX('Development Program'!$D$40:$M$55,16,MATCH($D$2,'Development Program'!$D$40:$M$40,0))/INDEX('Development Program'!$L$9:$M$18,MATCH($D$2,'Development Program'!$L$9:$L$18,0),2))</f>
        <v>0</v>
      </c>
      <c r="R137" s="12"/>
    </row>
    <row r="138" spans="1:25" ht="12.75" customHeight="1">
      <c r="A138" s="737" t="s">
        <v>79</v>
      </c>
      <c r="B138" s="409">
        <f>Assumptions!$E$20</f>
        <v>0.02</v>
      </c>
      <c r="C138" s="739">
        <f>B138*(C$133)</f>
        <v>2415761.4</v>
      </c>
      <c r="F138" s="12"/>
      <c r="G138" s="737" t="s">
        <v>79</v>
      </c>
      <c r="H138" s="409">
        <f>Assumptions!$E$20</f>
        <v>0.02</v>
      </c>
      <c r="I138" s="739">
        <f>H138*(I$133)</f>
        <v>0</v>
      </c>
      <c r="L138" s="12"/>
      <c r="M138" s="737" t="s">
        <v>79</v>
      </c>
      <c r="N138" s="409">
        <f>Assumptions!$E$20</f>
        <v>0.02</v>
      </c>
      <c r="O138" s="739">
        <f>N138*(O$133)</f>
        <v>0</v>
      </c>
      <c r="R138" s="12"/>
      <c r="S138" s="177"/>
      <c r="T138" s="341"/>
      <c r="U138" s="286"/>
    </row>
    <row r="139" spans="1:25" ht="12.75" customHeight="1">
      <c r="A139" s="730" t="s">
        <v>83</v>
      </c>
      <c r="B139" s="409">
        <f>Assumptions!$E$22</f>
        <v>1.4999999999999999E-2</v>
      </c>
      <c r="C139" s="739">
        <f>B139*(C$133)</f>
        <v>1811821.05</v>
      </c>
      <c r="F139" s="12"/>
      <c r="G139" s="730" t="s">
        <v>83</v>
      </c>
      <c r="H139" s="409">
        <f>Assumptions!$E$22</f>
        <v>1.4999999999999999E-2</v>
      </c>
      <c r="I139" s="739">
        <f>H139*(I$133)</f>
        <v>0</v>
      </c>
      <c r="L139" s="12"/>
      <c r="M139" s="730" t="s">
        <v>83</v>
      </c>
      <c r="N139" s="409">
        <f>Assumptions!$E$22</f>
        <v>1.4999999999999999E-2</v>
      </c>
      <c r="O139" s="739">
        <f>N139*(O$133)</f>
        <v>0</v>
      </c>
      <c r="R139" s="12"/>
      <c r="S139" s="12"/>
      <c r="T139" s="341"/>
      <c r="U139" s="286"/>
    </row>
    <row r="140" spans="1:25" ht="12.75" customHeight="1">
      <c r="A140" s="730" t="s">
        <v>84</v>
      </c>
      <c r="B140" s="564">
        <f>Assumptions!$E$23</f>
        <v>2.5000000000000001E-2</v>
      </c>
      <c r="C140" s="739">
        <f>IF(D34=0,0,B140*$B$10)</f>
        <v>20222.73</v>
      </c>
      <c r="F140" s="12"/>
      <c r="G140" s="730" t="s">
        <v>84</v>
      </c>
      <c r="H140" s="564">
        <f>Assumptions!$E$23</f>
        <v>2.5000000000000001E-2</v>
      </c>
      <c r="I140" s="739">
        <f>IF(J34=0,0,H140*$B$10)</f>
        <v>0</v>
      </c>
      <c r="L140" s="12"/>
      <c r="M140" s="730" t="s">
        <v>84</v>
      </c>
      <c r="N140" s="564">
        <f>Assumptions!$E$23</f>
        <v>2.5000000000000001E-2</v>
      </c>
      <c r="O140" s="739">
        <f>IF(P34=0,0,N140*$B$10)</f>
        <v>0</v>
      </c>
      <c r="R140" s="12"/>
      <c r="S140" s="12"/>
      <c r="T140" s="26"/>
      <c r="U140" s="339"/>
    </row>
    <row r="141" spans="1:25" ht="12.75" customHeight="1">
      <c r="A141" s="730" t="s">
        <v>85</v>
      </c>
      <c r="B141" s="409">
        <f>Assumptions!$E$24</f>
        <v>0.02</v>
      </c>
      <c r="C141" s="739">
        <f>B141*(C133)</f>
        <v>2415761.4</v>
      </c>
      <c r="F141" s="12"/>
      <c r="G141" s="730" t="s">
        <v>85</v>
      </c>
      <c r="H141" s="409">
        <f>Assumptions!$E$24</f>
        <v>0.02</v>
      </c>
      <c r="I141" s="739">
        <f>H141*(I133)</f>
        <v>0</v>
      </c>
      <c r="L141" s="12"/>
      <c r="M141" s="730" t="s">
        <v>85</v>
      </c>
      <c r="N141" s="409">
        <f>Assumptions!$E$24</f>
        <v>0.02</v>
      </c>
      <c r="O141" s="739">
        <f>N141*(O133)</f>
        <v>0</v>
      </c>
      <c r="R141" s="12"/>
      <c r="S141" s="12"/>
      <c r="T141" s="341"/>
      <c r="U141" s="286"/>
    </row>
    <row r="142" spans="1:25" ht="12.75" customHeight="1">
      <c r="A142" s="730" t="s">
        <v>86</v>
      </c>
      <c r="B142" s="409">
        <f>Assumptions!$E$25</f>
        <v>3.5000000000000003E-2</v>
      </c>
      <c r="C142" s="739">
        <f>B142*(C133)</f>
        <v>4227582.45</v>
      </c>
      <c r="F142" s="12"/>
      <c r="G142" s="730" t="s">
        <v>86</v>
      </c>
      <c r="H142" s="409">
        <f>Assumptions!$E$25</f>
        <v>3.5000000000000003E-2</v>
      </c>
      <c r="I142" s="739">
        <f>H142*(I133)</f>
        <v>0</v>
      </c>
      <c r="L142" s="12"/>
      <c r="M142" s="730" t="s">
        <v>86</v>
      </c>
      <c r="N142" s="409">
        <f>Assumptions!$E$25</f>
        <v>3.5000000000000003E-2</v>
      </c>
      <c r="O142" s="739">
        <f>N142*(O133)</f>
        <v>0</v>
      </c>
      <c r="R142" s="12"/>
      <c r="S142" s="12"/>
      <c r="T142" s="341"/>
      <c r="U142" s="286"/>
    </row>
    <row r="143" spans="1:25" ht="12.75" customHeight="1">
      <c r="A143" s="730" t="s">
        <v>88</v>
      </c>
      <c r="B143" s="409">
        <f>Assumptions!$E$26</f>
        <v>0.02</v>
      </c>
      <c r="C143" s="739">
        <f>B143*(C133)</f>
        <v>2415761.4</v>
      </c>
      <c r="D143" s="276"/>
      <c r="E143" s="275"/>
      <c r="F143" s="12"/>
      <c r="G143" s="730" t="s">
        <v>88</v>
      </c>
      <c r="H143" s="409">
        <f>Assumptions!$E$26</f>
        <v>0.02</v>
      </c>
      <c r="I143" s="739">
        <f>H143*(I133)</f>
        <v>0</v>
      </c>
      <c r="J143" s="276"/>
      <c r="K143" s="275"/>
      <c r="L143" s="12"/>
      <c r="M143" s="730" t="s">
        <v>88</v>
      </c>
      <c r="N143" s="409">
        <f>Assumptions!$E$26</f>
        <v>0.02</v>
      </c>
      <c r="O143" s="739">
        <f>N143*(O133)</f>
        <v>0</v>
      </c>
      <c r="P143" s="276"/>
      <c r="Q143" s="275"/>
      <c r="R143" s="12"/>
      <c r="S143" s="12"/>
      <c r="T143" s="341"/>
      <c r="U143" s="286"/>
      <c r="V143" s="276"/>
      <c r="W143" s="275"/>
    </row>
    <row r="144" spans="1:25" ht="12.75" customHeight="1">
      <c r="A144" s="730" t="s">
        <v>93</v>
      </c>
      <c r="B144" s="409">
        <f>Assumptions!$E$27</f>
        <v>0.05</v>
      </c>
      <c r="C144" s="739">
        <f>B144*C133</f>
        <v>6039403.5</v>
      </c>
      <c r="D144" s="276"/>
      <c r="E144" s="275"/>
      <c r="F144" s="12"/>
      <c r="G144" s="730" t="s">
        <v>93</v>
      </c>
      <c r="H144" s="409">
        <f>Assumptions!$E$27</f>
        <v>0.05</v>
      </c>
      <c r="I144" s="739">
        <f>H144*I133</f>
        <v>0</v>
      </c>
      <c r="J144" s="276"/>
      <c r="K144" s="275"/>
      <c r="L144" s="12"/>
      <c r="M144" s="730" t="s">
        <v>93</v>
      </c>
      <c r="N144" s="409">
        <f>Assumptions!$E$27</f>
        <v>0.05</v>
      </c>
      <c r="O144" s="739">
        <f>N144*O133</f>
        <v>0</v>
      </c>
      <c r="P144" s="276"/>
      <c r="Q144" s="275"/>
      <c r="R144" s="12"/>
      <c r="S144" s="12"/>
      <c r="T144" s="342"/>
      <c r="U144" s="286"/>
      <c r="V144" s="276"/>
      <c r="W144" s="275"/>
    </row>
    <row r="145" spans="1:23" ht="12.75" customHeight="1">
      <c r="A145" s="730" t="s">
        <v>97</v>
      </c>
      <c r="B145" s="409">
        <f>Assumptions!$E$28</f>
        <v>1.4999999999999999E-2</v>
      </c>
      <c r="C145" s="739">
        <f>B145*C133</f>
        <v>1811821.05</v>
      </c>
      <c r="D145" s="276"/>
      <c r="E145" s="275"/>
      <c r="F145" s="12"/>
      <c r="G145" s="730" t="s">
        <v>97</v>
      </c>
      <c r="H145" s="409">
        <f>Assumptions!$E$28</f>
        <v>1.4999999999999999E-2</v>
      </c>
      <c r="I145" s="739">
        <f>H145*I133</f>
        <v>0</v>
      </c>
      <c r="J145" s="276"/>
      <c r="K145" s="275"/>
      <c r="L145" s="12"/>
      <c r="M145" s="730" t="s">
        <v>97</v>
      </c>
      <c r="N145" s="409">
        <f>Assumptions!$E$28</f>
        <v>1.4999999999999999E-2</v>
      </c>
      <c r="O145" s="739">
        <f>N145*O133</f>
        <v>0</v>
      </c>
      <c r="P145" s="276"/>
      <c r="Q145" s="275"/>
      <c r="R145" s="12"/>
      <c r="S145" s="12"/>
      <c r="T145" s="341"/>
      <c r="U145" s="286"/>
      <c r="V145" s="276"/>
      <c r="W145" s="275"/>
    </row>
    <row r="146" spans="1:23" ht="12.75" customHeight="1">
      <c r="A146" s="730" t="s">
        <v>100</v>
      </c>
      <c r="B146" s="410" t="s">
        <v>101</v>
      </c>
      <c r="C146" s="741">
        <v>500000</v>
      </c>
      <c r="F146" s="12"/>
      <c r="G146" s="730" t="s">
        <v>100</v>
      </c>
      <c r="H146" s="410" t="s">
        <v>101</v>
      </c>
      <c r="I146" s="741">
        <v>0</v>
      </c>
      <c r="L146" s="12"/>
      <c r="M146" s="730" t="s">
        <v>100</v>
      </c>
      <c r="N146" s="410" t="s">
        <v>101</v>
      </c>
      <c r="O146" s="741">
        <v>0</v>
      </c>
      <c r="R146" s="12"/>
      <c r="S146" s="12"/>
      <c r="T146" s="26"/>
      <c r="U146" s="339"/>
    </row>
    <row r="147" spans="1:23" ht="12.75" customHeight="1">
      <c r="A147" s="730" t="s">
        <v>103</v>
      </c>
      <c r="B147" s="411">
        <f>Assumptions!$E$30</f>
        <v>6</v>
      </c>
      <c r="C147" s="739">
        <f>-B147*(E128/6)</f>
        <v>3605102.736</v>
      </c>
      <c r="F147" s="12"/>
      <c r="G147" s="730" t="s">
        <v>103</v>
      </c>
      <c r="H147" s="411">
        <f>Assumptions!$E$30</f>
        <v>6</v>
      </c>
      <c r="I147" s="739">
        <f>-H147*(K128/6)</f>
        <v>0</v>
      </c>
      <c r="L147" s="12"/>
      <c r="M147" s="730" t="s">
        <v>103</v>
      </c>
      <c r="N147" s="411">
        <f>Assumptions!$E$30</f>
        <v>6</v>
      </c>
      <c r="O147" s="739">
        <f>-N147*(Q128/6)</f>
        <v>0</v>
      </c>
      <c r="R147" s="12"/>
      <c r="S147" s="12"/>
      <c r="T147" s="343"/>
      <c r="U147" s="286"/>
    </row>
    <row r="148" spans="1:23" ht="12.75" customHeight="1">
      <c r="A148" s="730" t="s">
        <v>106</v>
      </c>
      <c r="B148" s="742">
        <f>Assumptions!$E$31</f>
        <v>30</v>
      </c>
      <c r="C148" s="739">
        <f>B148*SUM(C93,C97)</f>
        <v>1579536.3000000003</v>
      </c>
      <c r="G148" s="730" t="s">
        <v>106</v>
      </c>
      <c r="H148" s="742">
        <f>Assumptions!$E$31</f>
        <v>30</v>
      </c>
      <c r="I148" s="739">
        <f>H148*SUM(I93,I97)</f>
        <v>0</v>
      </c>
      <c r="L148" s="12"/>
      <c r="M148" s="730" t="s">
        <v>106</v>
      </c>
      <c r="N148" s="742">
        <f>Assumptions!$E$31</f>
        <v>30</v>
      </c>
      <c r="O148" s="739">
        <f>N148*SUM(O93,O97)</f>
        <v>0</v>
      </c>
      <c r="R148" s="12"/>
      <c r="S148" s="12"/>
      <c r="T148" s="303"/>
      <c r="U148" s="286"/>
    </row>
    <row r="149" spans="1:23" ht="12.75" customHeight="1">
      <c r="A149" s="730" t="s">
        <v>403</v>
      </c>
      <c r="B149" s="563">
        <f>Assumptions!$E$32</f>
        <v>0.03</v>
      </c>
      <c r="C149" s="731">
        <f>B149*SUM(E93,E97)</f>
        <v>50545.161600000007</v>
      </c>
      <c r="G149" s="730" t="s">
        <v>403</v>
      </c>
      <c r="H149" s="563">
        <f>Assumptions!$E$32</f>
        <v>0.03</v>
      </c>
      <c r="I149" s="731">
        <f>H149*SUM(K93,K97)</f>
        <v>0</v>
      </c>
      <c r="M149" s="730" t="s">
        <v>403</v>
      </c>
      <c r="N149" s="563">
        <f>Assumptions!$E$32</f>
        <v>0.03</v>
      </c>
      <c r="O149" s="731">
        <f>N149*SUM(Q93,Q97)</f>
        <v>0</v>
      </c>
      <c r="S149" s="12"/>
      <c r="T149" s="344"/>
      <c r="U149" s="345"/>
    </row>
    <row r="150" spans="1:23" ht="12.75" customHeight="1">
      <c r="A150" s="730" t="s">
        <v>112</v>
      </c>
      <c r="B150" s="732">
        <f>Assumptions!$E$33</f>
        <v>1.4999999999999999E-2</v>
      </c>
      <c r="C150" s="733">
        <f>B150*SUM(C138:C149,C135,C152,C153)</f>
        <v>534349.78766400006</v>
      </c>
      <c r="D150" s="18"/>
      <c r="E150" s="18"/>
      <c r="G150" s="730" t="s">
        <v>112</v>
      </c>
      <c r="H150" s="732">
        <f>Assumptions!$E$33</f>
        <v>1.4999999999999999E-2</v>
      </c>
      <c r="I150" s="733">
        <f>H150*SUM(I138:I149,I135,I152,I153)</f>
        <v>0</v>
      </c>
      <c r="J150" s="18"/>
      <c r="K150" s="18"/>
      <c r="M150" s="730" t="s">
        <v>112</v>
      </c>
      <c r="N150" s="732">
        <f>Assumptions!$E$33</f>
        <v>1.4999999999999999E-2</v>
      </c>
      <c r="O150" s="733">
        <f>N150*SUM(O138:O149,O135,O152,O153)</f>
        <v>0</v>
      </c>
      <c r="P150" s="18"/>
      <c r="Q150" s="18"/>
      <c r="S150" s="12"/>
      <c r="T150" s="346"/>
      <c r="U150" s="339"/>
      <c r="V150" s="347"/>
      <c r="W150" s="347"/>
    </row>
    <row r="151" spans="1:23" ht="12.75" customHeight="1">
      <c r="A151" s="730" t="s">
        <v>165</v>
      </c>
      <c r="B151" s="732" t="s">
        <v>468</v>
      </c>
      <c r="C151" s="733">
        <f>IF(C133=0,0,-INDEX('Development Program'!$C$30:$L$37,8,MATCH($D$2,'Development Program'!$C$30:$L$30,0))/INDEX('Development Program'!$L$9:$M$18,MATCH($D$2,'Development Program'!$L$9:$L$18,0),2))</f>
        <v>-8166666.666666667</v>
      </c>
      <c r="D151" s="18"/>
      <c r="E151" s="18"/>
      <c r="G151" s="730" t="s">
        <v>165</v>
      </c>
      <c r="H151" s="732" t="s">
        <v>468</v>
      </c>
      <c r="I151" s="733">
        <f>IF(I133=0,0,-INDEX('Development Program'!$C$30:$L$37,8,MATCH($D$2,'Development Program'!$C$30:$L$30,0))/INDEX('Development Program'!$L$9:$M$18,MATCH($D$2,'Development Program'!$L$9:$L$18,0),2))</f>
        <v>0</v>
      </c>
      <c r="J151" s="18"/>
      <c r="K151" s="18"/>
      <c r="M151" s="730" t="s">
        <v>165</v>
      </c>
      <c r="N151" s="732" t="s">
        <v>468</v>
      </c>
      <c r="O151" s="733">
        <f>IF(O133=0,0,-INDEX('Development Program'!$C$30:$L$37,8,MATCH($D$2,'Development Program'!$C$30:$L$30,0))/INDEX('Development Program'!$L$9:$M$18,MATCH($D$2,'Development Program'!$L$9:$L$18,0),2))</f>
        <v>0</v>
      </c>
      <c r="P151" s="18"/>
      <c r="Q151" s="18"/>
      <c r="S151" s="12"/>
      <c r="T151" s="346"/>
      <c r="U151" s="339"/>
      <c r="V151" s="347"/>
      <c r="W151" s="347"/>
    </row>
    <row r="152" spans="1:23" ht="12.75" customHeight="1">
      <c r="A152" s="426" t="s">
        <v>38</v>
      </c>
      <c r="B152" s="732">
        <f>Assumptions!$L$5</f>
        <v>5.0000000000000001E-3</v>
      </c>
      <c r="C152" s="741">
        <v>510000</v>
      </c>
      <c r="D152" s="18">
        <f>C152/B$157</f>
        <v>4.9625473511078896E-3</v>
      </c>
      <c r="E152" s="18"/>
      <c r="G152" s="426" t="s">
        <v>38</v>
      </c>
      <c r="H152" s="732">
        <f>Assumptions!$L$5</f>
        <v>5.0000000000000001E-3</v>
      </c>
      <c r="I152" s="741">
        <v>0</v>
      </c>
      <c r="J152" s="18" t="e">
        <f>I152/H$157</f>
        <v>#DIV/0!</v>
      </c>
      <c r="K152" s="18"/>
      <c r="M152" s="426" t="s">
        <v>38</v>
      </c>
      <c r="N152" s="732">
        <f>Assumptions!$L$5</f>
        <v>5.0000000000000001E-3</v>
      </c>
      <c r="O152" s="741">
        <v>0</v>
      </c>
      <c r="P152" s="18" t="e">
        <f>O152/N$157</f>
        <v>#DIV/0!</v>
      </c>
      <c r="Q152" s="18"/>
      <c r="S152" s="12"/>
      <c r="T152" s="346"/>
      <c r="U152" s="339"/>
      <c r="V152" s="347"/>
      <c r="W152" s="347"/>
    </row>
    <row r="153" spans="1:23" ht="12.75" customHeight="1">
      <c r="A153" s="426" t="s">
        <v>407</v>
      </c>
      <c r="B153" s="732">
        <f>Assumptions!$L$4</f>
        <v>0.08</v>
      </c>
      <c r="C153" s="741">
        <v>8220000</v>
      </c>
      <c r="D153" s="18">
        <f>C153/B$157</f>
        <v>7.9984586717856576E-2</v>
      </c>
      <c r="E153" s="18"/>
      <c r="G153" s="426" t="s">
        <v>407</v>
      </c>
      <c r="H153" s="732">
        <f>Assumptions!$L$4</f>
        <v>0.08</v>
      </c>
      <c r="I153" s="741">
        <v>0</v>
      </c>
      <c r="J153" s="18" t="e">
        <f>I153/H$157</f>
        <v>#DIV/0!</v>
      </c>
      <c r="K153" s="18"/>
      <c r="M153" s="426" t="s">
        <v>407</v>
      </c>
      <c r="N153" s="732">
        <f>Assumptions!$L$4</f>
        <v>0.08</v>
      </c>
      <c r="O153" s="741">
        <v>0</v>
      </c>
      <c r="P153" s="18" t="e">
        <f>O153/N$157</f>
        <v>#DIV/0!</v>
      </c>
      <c r="Q153" s="18"/>
      <c r="S153" s="12"/>
      <c r="T153" s="346"/>
      <c r="U153" s="339"/>
      <c r="V153" s="347"/>
      <c r="W153" s="347"/>
    </row>
    <row r="154" spans="1:23" ht="12.75" customHeight="1">
      <c r="A154" s="743" t="s">
        <v>408</v>
      </c>
      <c r="B154" s="744"/>
      <c r="C154" s="745">
        <f>SUM(C133:C153)</f>
        <v>158107384.99859735</v>
      </c>
      <c r="D154" s="18"/>
      <c r="E154" s="18"/>
      <c r="G154" s="743" t="s">
        <v>408</v>
      </c>
      <c r="H154" s="744"/>
      <c r="I154" s="745">
        <f>SUM(I133:I153)</f>
        <v>0</v>
      </c>
      <c r="J154" s="18"/>
      <c r="K154" s="18"/>
      <c r="M154" s="743" t="s">
        <v>408</v>
      </c>
      <c r="N154" s="744"/>
      <c r="O154" s="745">
        <f>SUM(O133:O153)</f>
        <v>0</v>
      </c>
      <c r="P154" s="18"/>
      <c r="Q154" s="18"/>
    </row>
    <row r="155" spans="1:23" ht="12.75" customHeight="1" thickBot="1">
      <c r="A155" s="328"/>
      <c r="C155" s="167"/>
      <c r="D155" s="746"/>
      <c r="G155" s="328"/>
      <c r="I155" s="167"/>
      <c r="J155" s="746"/>
      <c r="M155" s="328"/>
      <c r="O155" s="167"/>
      <c r="P155" s="746"/>
      <c r="S155" s="12"/>
      <c r="T155" s="349"/>
      <c r="U155" s="339"/>
      <c r="V155" s="347"/>
      <c r="W155" s="347"/>
    </row>
    <row r="156" spans="1:23" ht="12.75" customHeight="1">
      <c r="A156" s="1021" t="s">
        <v>23</v>
      </c>
      <c r="B156" s="1022"/>
      <c r="C156" s="167"/>
      <c r="D156" s="18"/>
      <c r="G156" s="1021" t="s">
        <v>23</v>
      </c>
      <c r="H156" s="1022"/>
      <c r="I156" s="167"/>
      <c r="J156" s="18"/>
      <c r="M156" s="1021" t="s">
        <v>23</v>
      </c>
      <c r="N156" s="1022"/>
      <c r="O156" s="167"/>
      <c r="P156" s="18"/>
      <c r="S156" s="12"/>
      <c r="T156" s="349"/>
      <c r="U156" s="339"/>
      <c r="V156" s="347"/>
      <c r="W156" s="347"/>
    </row>
    <row r="157" spans="1:23" ht="12.75" customHeight="1">
      <c r="A157" s="840">
        <f>IFERROR(INDEX(Assumptions!$J$11:$L$23,MATCH('2-C Financial'!B$34,Assumptions!$J$11:$J$23,0),3),0)</f>
        <v>0.65</v>
      </c>
      <c r="B157" s="747">
        <f>C154*A157</f>
        <v>102769800.24908829</v>
      </c>
      <c r="C157" s="167"/>
      <c r="D157" s="18"/>
      <c r="G157" s="840">
        <f>IFERROR(INDEX(Assumptions!$J$11:$L$23,MATCH('2-C Financial'!H$34,Assumptions!$J$11:$J$23,0),3),0)</f>
        <v>0</v>
      </c>
      <c r="H157" s="747">
        <f>I154*G157</f>
        <v>0</v>
      </c>
      <c r="I157" s="167"/>
      <c r="J157" s="18"/>
      <c r="M157" s="840">
        <f>IFERROR(INDEX(Assumptions!$J$11:$L$23,MATCH('2-C Financial'!N$34,Assumptions!$J$11:$J$23,0),3),0)</f>
        <v>0</v>
      </c>
      <c r="N157" s="747">
        <f>O154*M157</f>
        <v>0</v>
      </c>
      <c r="O157" s="167"/>
      <c r="P157" s="18"/>
      <c r="S157" s="12"/>
      <c r="T157" s="349"/>
      <c r="U157" s="339"/>
      <c r="V157" s="347"/>
      <c r="W157" s="347"/>
    </row>
    <row r="158" spans="1:23" ht="12.75" customHeight="1">
      <c r="A158" s="841">
        <f>1-A157</f>
        <v>0.35</v>
      </c>
      <c r="B158" s="747">
        <f>C154*A158</f>
        <v>55337584.749509074</v>
      </c>
      <c r="C158" s="167"/>
      <c r="D158" s="18"/>
      <c r="G158" s="841">
        <f>1-G157</f>
        <v>1</v>
      </c>
      <c r="H158" s="747">
        <f>I154*G158</f>
        <v>0</v>
      </c>
      <c r="I158" s="167"/>
      <c r="J158" s="18"/>
      <c r="M158" s="841">
        <f>1-M157</f>
        <v>1</v>
      </c>
      <c r="N158" s="747">
        <f>O154*M158</f>
        <v>0</v>
      </c>
      <c r="O158" s="167"/>
      <c r="P158" s="18"/>
      <c r="S158" s="12"/>
      <c r="T158" s="349"/>
      <c r="U158" s="339"/>
      <c r="V158" s="347"/>
      <c r="W158" s="347"/>
    </row>
    <row r="159" spans="1:23" ht="12.75" customHeight="1" thickBot="1">
      <c r="S159" s="12"/>
      <c r="T159" s="349"/>
      <c r="U159" s="339"/>
      <c r="V159" s="347"/>
      <c r="W159" s="347"/>
    </row>
    <row r="160" spans="1:23" ht="13.5" thickBot="1">
      <c r="A160" s="1021" t="s">
        <v>469</v>
      </c>
      <c r="B160" s="1022"/>
      <c r="D160" s="18"/>
      <c r="G160" s="1021" t="s">
        <v>469</v>
      </c>
      <c r="H160" s="1022"/>
      <c r="J160" s="18"/>
      <c r="M160" s="1021" t="s">
        <v>469</v>
      </c>
      <c r="N160" s="1022"/>
      <c r="P160" s="18"/>
      <c r="S160" s="328"/>
      <c r="U160" s="167"/>
    </row>
    <row r="161" spans="1:22" ht="13.5" thickBot="1">
      <c r="A161" s="565" t="s">
        <v>470</v>
      </c>
      <c r="B161" s="566"/>
      <c r="C161" s="12"/>
      <c r="D161" s="346"/>
      <c r="E161" s="339"/>
      <c r="G161" s="565" t="s">
        <v>470</v>
      </c>
      <c r="H161" s="566"/>
      <c r="I161" s="12"/>
      <c r="J161" s="12"/>
      <c r="K161" s="346"/>
      <c r="L161" s="339"/>
      <c r="M161" s="565" t="s">
        <v>470</v>
      </c>
      <c r="N161" s="566"/>
      <c r="O161" s="12"/>
      <c r="P161" s="12"/>
      <c r="Q161" s="346"/>
      <c r="R161" s="339"/>
      <c r="S161" s="274"/>
      <c r="T161" s="274"/>
      <c r="V161" s="347"/>
    </row>
    <row r="162" spans="1:22" ht="12.95">
      <c r="A162" s="358" t="s">
        <v>471</v>
      </c>
      <c r="B162" s="359">
        <f>E63+E80+E101</f>
        <v>0</v>
      </c>
      <c r="D162" s="281"/>
      <c r="G162" s="358" t="s">
        <v>471</v>
      </c>
      <c r="H162" s="359">
        <f>K63+K80+K101</f>
        <v>0</v>
      </c>
      <c r="J162" s="281"/>
      <c r="M162" s="358" t="s">
        <v>471</v>
      </c>
      <c r="N162" s="359">
        <f>Q63+Q80+Q101</f>
        <v>0</v>
      </c>
      <c r="P162" s="281"/>
      <c r="S162" s="137"/>
      <c r="T162" s="281"/>
      <c r="V162" s="129"/>
    </row>
    <row r="163" spans="1:22" ht="12.95">
      <c r="A163" s="479">
        <v>0.03</v>
      </c>
      <c r="B163" s="480">
        <f>-B162*A163</f>
        <v>0</v>
      </c>
      <c r="D163" s="167"/>
      <c r="G163" s="479">
        <v>0.03</v>
      </c>
      <c r="H163" s="480">
        <f>-H162*G163</f>
        <v>0</v>
      </c>
      <c r="J163" s="167"/>
      <c r="M163" s="479">
        <v>0.03</v>
      </c>
      <c r="N163" s="480">
        <f>-N162*M163</f>
        <v>0</v>
      </c>
      <c r="P163" s="167"/>
      <c r="S163" s="277"/>
      <c r="T163" s="288"/>
      <c r="V163" s="281"/>
    </row>
    <row r="164" spans="1:22" ht="13.5" thickBot="1">
      <c r="A164" s="414" t="s">
        <v>472</v>
      </c>
      <c r="B164" s="481">
        <f>SUM(B162:B163)</f>
        <v>0</v>
      </c>
      <c r="G164" s="414" t="s">
        <v>472</v>
      </c>
      <c r="H164" s="481">
        <f>SUM(H162:H163)</f>
        <v>0</v>
      </c>
      <c r="M164" s="414" t="s">
        <v>472</v>
      </c>
      <c r="N164" s="481">
        <f>SUM(N162:N163)</f>
        <v>0</v>
      </c>
      <c r="S164" s="280"/>
      <c r="T164" s="350"/>
      <c r="V164" s="167"/>
    </row>
    <row r="165" spans="1:22" ht="13.5" thickBot="1">
      <c r="A165" s="1023" t="s">
        <v>473</v>
      </c>
      <c r="B165" s="1024"/>
      <c r="G165" s="1023" t="s">
        <v>473</v>
      </c>
      <c r="H165" s="1024"/>
      <c r="M165" s="1023" t="s">
        <v>473</v>
      </c>
      <c r="N165" s="1024"/>
      <c r="S165" s="277"/>
      <c r="T165" s="351"/>
    </row>
    <row r="166" spans="1:22" ht="12.95">
      <c r="A166" s="360" t="s">
        <v>474</v>
      </c>
      <c r="B166" s="567">
        <f>IFERROR(INDEX(Assumptions!$J$64:$L$76,MATCH('2-C Financial'!B$34,Assumptions!$J$64:$J$76,0),3),0)</f>
        <v>5.5E-2</v>
      </c>
      <c r="G166" s="360" t="s">
        <v>474</v>
      </c>
      <c r="H166" s="567">
        <f>IFERROR(INDEX(Assumptions!$J$64:$L$76,MATCH('2-C Financial'!H$34,Assumptions!$J$64:$J$76,0),3),0)</f>
        <v>0</v>
      </c>
      <c r="M166" s="360" t="s">
        <v>474</v>
      </c>
      <c r="N166" s="567">
        <f>IFERROR(INDEX(Assumptions!$J$64:$L$76,MATCH('2-C Financial'!N$34,Assumptions!$J$64:$J$76,0),3),0)</f>
        <v>0</v>
      </c>
      <c r="S166" s="277"/>
      <c r="T166" s="351"/>
    </row>
    <row r="167" spans="1:22" ht="12.95">
      <c r="A167" s="482" t="s">
        <v>475</v>
      </c>
      <c r="B167" s="483">
        <f>IFERROR(E$129/B$166,0)</f>
        <v>165039648.35636365</v>
      </c>
      <c r="C167" s="279"/>
      <c r="G167" s="482" t="s">
        <v>475</v>
      </c>
      <c r="H167" s="483">
        <f>IFERROR(K$129/H$166,0)</f>
        <v>0</v>
      </c>
      <c r="I167" s="279"/>
      <c r="M167" s="482" t="s">
        <v>475</v>
      </c>
      <c r="N167" s="483">
        <f>IFERROR(Q$129/N$166,0)</f>
        <v>0</v>
      </c>
      <c r="O167" s="279"/>
      <c r="S167" s="277"/>
      <c r="T167" s="351"/>
    </row>
    <row r="168" spans="1:22" ht="12.95">
      <c r="A168" s="408" t="s">
        <v>476</v>
      </c>
      <c r="B168" s="484">
        <f>IFERROR(B166-1%,0)</f>
        <v>4.4999999999999998E-2</v>
      </c>
      <c r="C168" s="288"/>
      <c r="F168" s="18"/>
      <c r="G168" s="408" t="s">
        <v>476</v>
      </c>
      <c r="H168" s="484">
        <f>IFERROR(H166-1%,0)</f>
        <v>-0.01</v>
      </c>
      <c r="I168" s="288"/>
      <c r="L168" s="18"/>
      <c r="M168" s="408" t="s">
        <v>476</v>
      </c>
      <c r="N168" s="484">
        <f>IFERROR(N166-1%,0)</f>
        <v>-0.01</v>
      </c>
      <c r="O168" s="288"/>
      <c r="R168" s="18"/>
      <c r="S168" s="352"/>
      <c r="T168" s="281"/>
    </row>
    <row r="169" spans="1:22" ht="12.95">
      <c r="A169" s="408" t="s">
        <v>127</v>
      </c>
      <c r="B169" s="872">
        <f>IFERROR(INDEX(Assumptions!$J$48:$L$60,MATCH('2-C Financial'!B$34,Assumptions!$J$48:$J$60,0),3),0)</f>
        <v>3.5000000000000003E-2</v>
      </c>
      <c r="F169" s="18"/>
      <c r="G169" s="408" t="s">
        <v>127</v>
      </c>
      <c r="H169" s="872">
        <f>IFERROR(INDEX(Assumptions!$J$48:$L$60,MATCH('2-C Financial'!H$34,Assumptions!$J$48:$J$60,0),3),0)</f>
        <v>0</v>
      </c>
      <c r="L169" s="18"/>
      <c r="M169" s="408" t="s">
        <v>127</v>
      </c>
      <c r="N169" s="872">
        <f>IFERROR(INDEX(Assumptions!$J$48:$L$60,MATCH('2-C Financial'!N$34,Assumptions!$J$48:$J$60,0),3),0)</f>
        <v>0</v>
      </c>
      <c r="R169" s="18"/>
      <c r="S169" s="352"/>
      <c r="T169" s="281"/>
    </row>
    <row r="170" spans="1:22" ht="12.95">
      <c r="A170" s="408" t="s">
        <v>125</v>
      </c>
      <c r="B170" s="485">
        <f>Assumptions!$L$41</f>
        <v>5</v>
      </c>
      <c r="D170" s="279"/>
      <c r="F170" s="18"/>
      <c r="G170" s="408" t="s">
        <v>125</v>
      </c>
      <c r="H170" s="485">
        <f>Assumptions!$L$41</f>
        <v>5</v>
      </c>
      <c r="J170" s="279"/>
      <c r="L170" s="18"/>
      <c r="M170" s="408" t="s">
        <v>125</v>
      </c>
      <c r="N170" s="485">
        <f>Assumptions!$L$41</f>
        <v>5</v>
      </c>
      <c r="P170" s="279"/>
      <c r="R170" s="18"/>
      <c r="S170" s="352"/>
      <c r="T170" s="281"/>
    </row>
    <row r="171" spans="1:22" ht="12.95">
      <c r="A171" s="408" t="s">
        <v>386</v>
      </c>
      <c r="B171" s="419">
        <f>(E$129*(1+B$169)^(B$170+1))</f>
        <v>11158172.674004721</v>
      </c>
      <c r="D171" s="279"/>
      <c r="F171" s="18"/>
      <c r="G171" s="408" t="s">
        <v>386</v>
      </c>
      <c r="H171" s="419">
        <f>(K$129*(1+H$169)^(H$170+1))</f>
        <v>0</v>
      </c>
      <c r="J171" s="279"/>
      <c r="L171" s="18"/>
      <c r="M171" s="408" t="s">
        <v>386</v>
      </c>
      <c r="N171" s="419">
        <f>(Q$129*(1+N$169)^(N$170+1))</f>
        <v>0</v>
      </c>
      <c r="P171" s="279"/>
      <c r="R171" s="18"/>
      <c r="S171" s="352"/>
      <c r="T171" s="281"/>
    </row>
    <row r="172" spans="1:22" ht="12.95">
      <c r="A172" s="418" t="s">
        <v>477</v>
      </c>
      <c r="B172" s="483">
        <f>IFERROR(B171/B$168,0)</f>
        <v>247959392.75566047</v>
      </c>
      <c r="C172" s="357"/>
      <c r="D172" s="279"/>
      <c r="F172" s="18"/>
      <c r="G172" s="418" t="s">
        <v>477</v>
      </c>
      <c r="H172" s="483">
        <f>IFERROR(H171/H$168,0)</f>
        <v>0</v>
      </c>
      <c r="I172" s="357"/>
      <c r="J172" s="279"/>
      <c r="L172" s="18"/>
      <c r="M172" s="418" t="s">
        <v>477</v>
      </c>
      <c r="N172" s="483">
        <f>IFERROR(N171/N$168,0)</f>
        <v>0</v>
      </c>
      <c r="O172" s="357"/>
      <c r="P172" s="279"/>
      <c r="R172" s="18"/>
      <c r="S172" s="352"/>
      <c r="T172" s="281"/>
    </row>
    <row r="173" spans="1:22" ht="12.95">
      <c r="A173" s="412" t="s">
        <v>471</v>
      </c>
      <c r="B173" s="486">
        <f>B172</f>
        <v>247959392.75566047</v>
      </c>
      <c r="F173" s="18"/>
      <c r="G173" s="412" t="s">
        <v>471</v>
      </c>
      <c r="H173" s="486">
        <f>H172</f>
        <v>0</v>
      </c>
      <c r="L173" s="18"/>
      <c r="M173" s="412" t="s">
        <v>471</v>
      </c>
      <c r="N173" s="486">
        <f>N172</f>
        <v>0</v>
      </c>
      <c r="R173" s="18"/>
      <c r="S173" s="352"/>
      <c r="T173" s="281"/>
    </row>
    <row r="174" spans="1:22" ht="12.95">
      <c r="A174" s="479">
        <v>0.03</v>
      </c>
      <c r="B174" s="413">
        <f>-A$174*B$167</f>
        <v>-4951189.4506909093</v>
      </c>
      <c r="D174" s="167"/>
      <c r="G174" s="479">
        <v>0.03</v>
      </c>
      <c r="H174" s="413">
        <f>-G$174*H$167</f>
        <v>0</v>
      </c>
      <c r="J174" s="167"/>
      <c r="M174" s="479">
        <v>0.03</v>
      </c>
      <c r="N174" s="413">
        <f>-M$174*N$167</f>
        <v>0</v>
      </c>
      <c r="P174" s="167"/>
      <c r="S174" s="353"/>
      <c r="T174" s="283"/>
    </row>
    <row r="175" spans="1:22" ht="13.5" thickBot="1">
      <c r="A175" s="414" t="s">
        <v>472</v>
      </c>
      <c r="B175" s="415">
        <f>SUM(B173:B174)</f>
        <v>243008203.30496958</v>
      </c>
      <c r="D175" s="283"/>
      <c r="E175" s="274"/>
      <c r="G175" s="414" t="s">
        <v>472</v>
      </c>
      <c r="H175" s="415">
        <f>SUM(H173:H174)</f>
        <v>0</v>
      </c>
      <c r="J175" s="283"/>
      <c r="K175" s="274"/>
      <c r="M175" s="414" t="s">
        <v>472</v>
      </c>
      <c r="N175" s="415">
        <f>SUM(N173:N174)</f>
        <v>0</v>
      </c>
      <c r="P175" s="283"/>
      <c r="Q175" s="274"/>
      <c r="S175" s="277"/>
      <c r="T175" s="288"/>
      <c r="V175" s="167"/>
    </row>
    <row r="176" spans="1:22" ht="13.5" thickBot="1">
      <c r="A176" s="1023" t="s">
        <v>478</v>
      </c>
      <c r="B176" s="566"/>
      <c r="D176" s="276"/>
      <c r="G176" s="1023" t="s">
        <v>478</v>
      </c>
      <c r="H176" s="566"/>
      <c r="J176" s="276"/>
      <c r="M176" s="1023" t="s">
        <v>478</v>
      </c>
      <c r="N176" s="566"/>
      <c r="P176" s="276"/>
      <c r="S176" s="280"/>
      <c r="T176" s="278"/>
    </row>
    <row r="177" spans="1:22" ht="12.95">
      <c r="A177" s="291" t="s">
        <v>479</v>
      </c>
      <c r="B177" s="292">
        <f>B162+B173</f>
        <v>247959392.75566047</v>
      </c>
      <c r="G177" s="291" t="s">
        <v>479</v>
      </c>
      <c r="H177" s="292">
        <f>H162+H173</f>
        <v>0</v>
      </c>
      <c r="M177" s="291" t="s">
        <v>479</v>
      </c>
      <c r="N177" s="292">
        <f>N162+N173</f>
        <v>0</v>
      </c>
      <c r="S177" s="277"/>
      <c r="T177" s="302"/>
      <c r="V177" s="276"/>
    </row>
    <row r="178" spans="1:22" ht="12.95">
      <c r="A178" s="418" t="s">
        <v>480</v>
      </c>
      <c r="B178" s="486">
        <f>SUM(B164,B175)</f>
        <v>243008203.30496958</v>
      </c>
      <c r="G178" s="418" t="s">
        <v>480</v>
      </c>
      <c r="H178" s="486">
        <f>SUM(H164,H175)</f>
        <v>0</v>
      </c>
      <c r="M178" s="418" t="s">
        <v>480</v>
      </c>
      <c r="N178" s="486">
        <f>SUM(N164,N175)</f>
        <v>0</v>
      </c>
      <c r="S178" s="277"/>
      <c r="T178" s="302"/>
      <c r="V178" s="276"/>
    </row>
    <row r="179" spans="1:22" ht="13.5" thickBot="1">
      <c r="A179" s="416" t="s">
        <v>481</v>
      </c>
      <c r="B179" s="417">
        <f>SUM(B178:B178)</f>
        <v>243008203.30496958</v>
      </c>
      <c r="G179" s="416" t="s">
        <v>481</v>
      </c>
      <c r="H179" s="417">
        <f>SUM(H178:H178)</f>
        <v>0</v>
      </c>
      <c r="M179" s="416" t="s">
        <v>481</v>
      </c>
      <c r="N179" s="417">
        <f>SUM(N178:N178)</f>
        <v>0</v>
      </c>
      <c r="S179" s="277"/>
      <c r="T179" s="302"/>
      <c r="V179" s="276"/>
    </row>
    <row r="180" spans="1:22" ht="23.25" customHeight="1">
      <c r="B180" s="130"/>
    </row>
    <row r="181" spans="1:22" ht="23.25" customHeight="1">
      <c r="B181" s="290"/>
    </row>
  </sheetData>
  <mergeCells count="9">
    <mergeCell ref="A118:E118"/>
    <mergeCell ref="G118:K118"/>
    <mergeCell ref="M118:Q118"/>
    <mergeCell ref="S118:W118"/>
    <mergeCell ref="D2:E2"/>
    <mergeCell ref="B116:C116"/>
    <mergeCell ref="H116:I116"/>
    <mergeCell ref="N116:O116"/>
    <mergeCell ref="T116:U116"/>
  </mergeCells>
  <conditionalFormatting sqref="C49 C66">
    <cfRule type="expression" dxfId="111" priority="8">
      <formula>C55&gt;D48</formula>
    </cfRule>
  </conditionalFormatting>
  <conditionalFormatting sqref="C58 C75 C83">
    <cfRule type="expression" dxfId="110" priority="7">
      <formula>C63&gt;D57</formula>
    </cfRule>
  </conditionalFormatting>
  <conditionalFormatting sqref="I49 I66">
    <cfRule type="expression" dxfId="109" priority="4">
      <formula>I55&gt;J48</formula>
    </cfRule>
  </conditionalFormatting>
  <conditionalFormatting sqref="I58 I75 I83">
    <cfRule type="expression" dxfId="108" priority="3">
      <formula>I63&gt;J57</formula>
    </cfRule>
  </conditionalFormatting>
  <conditionalFormatting sqref="O49 O66">
    <cfRule type="expression" dxfId="107" priority="2">
      <formula>O55&gt;P48</formula>
    </cfRule>
  </conditionalFormatting>
  <conditionalFormatting sqref="O58 O75 O83">
    <cfRule type="expression" dxfId="106" priority="1">
      <formula>O63&gt;P57</formula>
    </cfRule>
  </conditionalFormatting>
  <conditionalFormatting sqref="U49 U66">
    <cfRule type="expression" dxfId="105" priority="6">
      <formula>U55&gt;V48</formula>
    </cfRule>
  </conditionalFormatting>
  <conditionalFormatting sqref="U58 U75 U83">
    <cfRule type="expression" dxfId="104" priority="5">
      <formula>U63&gt;V57</formula>
    </cfRule>
  </conditionalFormatting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1" manualBreakCount="1">
    <brk id="111" max="4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3E3F7-DCBB-49AC-86ED-A6A3A80ED6EB}">
  <sheetPr>
    <tabColor theme="2" tint="-9.9978637043366805E-2"/>
  </sheetPr>
  <dimension ref="A1:CI185"/>
  <sheetViews>
    <sheetView zoomScale="85" zoomScaleNormal="85" zoomScalePageLayoutView="125" workbookViewId="0">
      <pane xSplit="1" ySplit="9" topLeftCell="T42" activePane="bottomRight" state="frozen"/>
      <selection pane="bottomRight" activeCell="T47" sqref="T47"/>
      <selection pane="bottomLeft" activeCell="B57" sqref="B57"/>
      <selection pane="topRight" activeCell="B57" sqref="B57"/>
    </sheetView>
  </sheetViews>
  <sheetFormatPr defaultColWidth="8.85546875" defaultRowHeight="14.1"/>
  <cols>
    <col min="1" max="1" width="44" style="207" bestFit="1" customWidth="1"/>
    <col min="2" max="2" width="42.5703125" style="208" customWidth="1"/>
    <col min="3" max="4" width="17.85546875" style="207" hidden="1" customWidth="1"/>
    <col min="5" max="43" width="17.85546875" style="207" customWidth="1"/>
    <col min="44" max="44" width="17.85546875" style="208" customWidth="1"/>
    <col min="45" max="58" width="17.5703125" style="207" customWidth="1"/>
    <col min="59" max="59" width="20.42578125" style="207" customWidth="1"/>
    <col min="60" max="84" width="17" style="207" customWidth="1"/>
    <col min="85" max="85" width="16.42578125" style="207" customWidth="1"/>
    <col min="86" max="86" width="15" style="209" customWidth="1"/>
    <col min="87" max="87" width="17.85546875" style="209" bestFit="1" customWidth="1"/>
    <col min="88" max="88" width="9.42578125" style="207" bestFit="1" customWidth="1"/>
    <col min="89" max="89" width="11.85546875" style="207" bestFit="1" customWidth="1"/>
    <col min="90" max="91" width="9.42578125" style="207" bestFit="1" customWidth="1"/>
    <col min="92" max="16384" width="8.85546875" style="207"/>
  </cols>
  <sheetData>
    <row r="1" spans="1:87" ht="20.25" customHeight="1"/>
    <row r="2" spans="1:87" s="488" customFormat="1" ht="20.25" customHeight="1">
      <c r="A2" s="1081" t="str">
        <f>'2-C Financial'!D2</f>
        <v>2-C</v>
      </c>
      <c r="B2" s="775"/>
      <c r="C2" s="1092"/>
      <c r="D2" s="1092"/>
      <c r="E2" s="1082" t="str">
        <f>'Development Program'!C65</f>
        <v>Pre-Development</v>
      </c>
      <c r="F2" s="1083"/>
      <c r="G2" s="1083"/>
      <c r="H2" s="1082" t="str">
        <f>'Development Program'!F65</f>
        <v>Construction</v>
      </c>
      <c r="I2" s="1083"/>
      <c r="J2" s="1083"/>
      <c r="K2" s="1082" t="str">
        <f>'Development Program'!I65</f>
        <v>Close-Out</v>
      </c>
      <c r="L2" s="1083"/>
      <c r="M2" s="1084"/>
      <c r="N2" s="420" t="s">
        <v>202</v>
      </c>
      <c r="O2" s="1092"/>
      <c r="P2" s="1092"/>
      <c r="Q2" s="1092"/>
      <c r="R2" s="1092"/>
      <c r="S2" s="1092"/>
      <c r="T2" s="1092"/>
      <c r="U2" s="1092"/>
      <c r="V2" s="1092"/>
      <c r="W2" s="1092"/>
      <c r="X2" s="1092"/>
      <c r="Y2" s="1092"/>
      <c r="Z2" s="1092"/>
      <c r="AA2" s="1092"/>
      <c r="AB2" s="1092"/>
      <c r="AC2" s="1092"/>
      <c r="AD2" s="1092"/>
      <c r="AE2" s="1092"/>
      <c r="AF2" s="1092"/>
      <c r="AG2" s="1092"/>
      <c r="AH2" s="1092"/>
      <c r="AI2" s="1092"/>
      <c r="AJ2" s="1092"/>
      <c r="AK2" s="1092"/>
      <c r="AL2" s="1092"/>
      <c r="AM2" s="1092"/>
      <c r="AN2" s="1092"/>
      <c r="AO2" s="1092"/>
      <c r="AP2" s="1092"/>
      <c r="AQ2" s="1092"/>
      <c r="AR2" s="775"/>
      <c r="AS2" s="1092"/>
      <c r="AT2" s="1092"/>
      <c r="AU2" s="1092"/>
      <c r="AV2" s="1092"/>
      <c r="AW2" s="1092"/>
      <c r="AX2" s="1092"/>
      <c r="AY2" s="1092"/>
      <c r="AZ2" s="1092"/>
      <c r="BA2" s="1092"/>
      <c r="BB2" s="1092"/>
      <c r="BC2" s="1092"/>
      <c r="BD2" s="1092"/>
      <c r="BE2" s="1092"/>
      <c r="BF2" s="1092"/>
      <c r="BG2" s="1092"/>
      <c r="BH2" s="1092"/>
      <c r="BI2" s="1092"/>
      <c r="BJ2" s="1092"/>
      <c r="BK2" s="1092"/>
      <c r="BL2" s="1092"/>
      <c r="BM2" s="1092"/>
      <c r="BN2" s="1092"/>
      <c r="BO2" s="1092"/>
      <c r="BP2" s="1092"/>
      <c r="BQ2" s="1092"/>
      <c r="BR2" s="1092"/>
      <c r="BS2" s="1092"/>
      <c r="BT2" s="1092"/>
      <c r="BU2" s="1092"/>
      <c r="BV2" s="1092"/>
      <c r="BW2" s="1092"/>
      <c r="BX2" s="1092"/>
      <c r="BY2" s="1092"/>
      <c r="BZ2" s="1092"/>
      <c r="CA2" s="1092"/>
      <c r="CB2" s="1092"/>
      <c r="CC2" s="1092"/>
      <c r="CD2" s="1092"/>
      <c r="CE2" s="1092"/>
      <c r="CF2" s="1092"/>
      <c r="CG2" s="1092"/>
      <c r="CH2" s="1093"/>
      <c r="CI2" s="1093"/>
    </row>
    <row r="3" spans="1:87" ht="20.25" customHeight="1">
      <c r="A3" s="1081"/>
      <c r="B3" s="248" t="s">
        <v>482</v>
      </c>
      <c r="E3" s="765" t="str">
        <f>'Development Program'!C66</f>
        <v>PD Start</v>
      </c>
      <c r="F3" s="1094" t="str">
        <f>'Development Program'!D66</f>
        <v>PD End</v>
      </c>
      <c r="G3" s="766" t="str">
        <f>'Development Program'!E66</f>
        <v>PD Duration</v>
      </c>
      <c r="H3" s="765" t="str">
        <f>'Development Program'!F66</f>
        <v>CS Start</v>
      </c>
      <c r="I3" s="1094" t="str">
        <f>'Development Program'!G66</f>
        <v>CS End</v>
      </c>
      <c r="J3" s="766" t="str">
        <f>'Development Program'!H66</f>
        <v>CS Duration</v>
      </c>
      <c r="K3" s="1025" t="str">
        <f>'Development Program'!I66</f>
        <v>CO Start</v>
      </c>
      <c r="L3" s="767" t="str">
        <f>'Development Program'!J66</f>
        <v>CO End</v>
      </c>
      <c r="M3" s="266" t="str">
        <f>'Development Program'!K66</f>
        <v>CO Duration</v>
      </c>
      <c r="N3" s="262"/>
    </row>
    <row r="4" spans="1:87" s="768" customFormat="1" ht="20.25" customHeight="1">
      <c r="A4" s="1081"/>
      <c r="B4" s="776" t="s">
        <v>483</v>
      </c>
      <c r="E4" s="263">
        <f>INDEX('Development Program'!$B$66:$K$76,MATCH($A$2,'Development Program'!$B$66:$B$76,0),MATCH(E3,'Development Program'!$B$66:$K$66,0))</f>
        <v>46753</v>
      </c>
      <c r="F4" s="264">
        <f>INDEX('Development Program'!$B$66:$K$76,MATCH($A$2,'Development Program'!$B$66:$B$76,0),MATCH(F3,'Development Program'!$B$66:$K$66,0))</f>
        <v>47208</v>
      </c>
      <c r="G4" s="265">
        <f>INDEX('Development Program'!$B$66:$K$76,MATCH($A$2,'Development Program'!$B$66:$B$76,0),MATCH(G3,'Development Program'!$B$66:$K$66,0))</f>
        <v>15</v>
      </c>
      <c r="H4" s="263">
        <f>INDEX('Development Program'!$B$66:$K$76,MATCH($A$2,'Development Program'!$B$66:$B$76,0),MATCH(H3,'Development Program'!$B$66:$K$66,0))</f>
        <v>47209</v>
      </c>
      <c r="I4" s="264">
        <f>INDEX('Development Program'!$B$66:$K$76,MATCH($A$2,'Development Program'!$B$66:$B$76,0),MATCH(I3,'Development Program'!$B$66:$K$66,0))</f>
        <v>48029</v>
      </c>
      <c r="J4" s="265">
        <f>INDEX('Development Program'!$B$66:$K$76,MATCH($A$2,'Development Program'!$B$66:$B$76,0),MATCH(J3,'Development Program'!$B$66:$K$66,0))</f>
        <v>27</v>
      </c>
      <c r="K4" s="263">
        <f>INDEX('Development Program'!$B$66:$K$76,MATCH($A$2,'Development Program'!$B$66:$B$76,0),MATCH(K3,'Development Program'!$B$66:$K$66,0))</f>
        <v>48030</v>
      </c>
      <c r="L4" s="264">
        <f>INDEX('Development Program'!$B$66:$K$76,MATCH($A$2,'Development Program'!$B$66:$B$76,0),MATCH(L3,'Development Program'!$B$66:$K$66,0))</f>
        <v>48213</v>
      </c>
      <c r="M4" s="265">
        <f>INDEX('Development Program'!$B$66:$K$76,MATCH($A$2,'Development Program'!$B$66:$B$76,0),MATCH(M3,'Development Program'!$B$66:$K$66,0))</f>
        <v>6</v>
      </c>
      <c r="N4" s="265">
        <f>INDEX('Development Program'!$B$66:$L$76,MATCH($A$2,'Development Program'!$B$66:$B$76,0),MATCH(N2,'Development Program'!$B$65:$L$65,0))</f>
        <v>48</v>
      </c>
      <c r="O4" s="769"/>
      <c r="U4" s="770"/>
      <c r="AR4" s="771"/>
      <c r="AS4" s="772"/>
      <c r="AT4" s="772"/>
      <c r="AU4" s="772"/>
      <c r="BA4" s="1085" t="s">
        <v>484</v>
      </c>
      <c r="BB4" s="1085"/>
      <c r="BC4" s="1085"/>
      <c r="BD4" s="1085"/>
      <c r="BE4" s="1085"/>
      <c r="BF4" s="773"/>
      <c r="BG4" s="1080" t="s">
        <v>485</v>
      </c>
      <c r="BH4" s="1080"/>
      <c r="BI4" s="1080"/>
      <c r="CH4" s="774"/>
      <c r="CI4" s="774"/>
    </row>
    <row r="5" spans="1:87" s="210" customFormat="1" ht="20.25" customHeight="1">
      <c r="A5" s="261"/>
      <c r="B5" s="249"/>
      <c r="C5" s="258" t="str">
        <f>IFERROR(INDEX($E$2:$N$4,2,MATCH(#REF!+1,$E$4:$N$4,0)),"")</f>
        <v/>
      </c>
      <c r="D5" s="258" t="str">
        <f>IFERROR(INDEX($E$2:$N$4,2,MATCH(C9+1,$E$4:$N$4,0)),"")</f>
        <v/>
      </c>
      <c r="E5" s="258"/>
      <c r="F5" s="258" t="str">
        <f t="shared" ref="F5:X5" si="0">IFERROR(INDEX($E$2:$N$4,2,MATCH(E9+1,$E$4:$N$4,0)),"")</f>
        <v>PD Start</v>
      </c>
      <c r="G5" s="258" t="str">
        <f t="shared" si="0"/>
        <v/>
      </c>
      <c r="H5" s="258" t="str">
        <f t="shared" si="0"/>
        <v/>
      </c>
      <c r="I5" s="258" t="str">
        <f t="shared" si="0"/>
        <v/>
      </c>
      <c r="J5" s="258" t="str">
        <f t="shared" si="0"/>
        <v/>
      </c>
      <c r="K5" s="258" t="str">
        <f t="shared" si="0"/>
        <v>CS Start</v>
      </c>
      <c r="L5" s="258" t="str">
        <f t="shared" si="0"/>
        <v/>
      </c>
      <c r="M5" s="258" t="str">
        <f t="shared" si="0"/>
        <v/>
      </c>
      <c r="N5" s="258" t="str">
        <f t="shared" si="0"/>
        <v/>
      </c>
      <c r="O5" s="258" t="str">
        <f t="shared" si="0"/>
        <v/>
      </c>
      <c r="P5" s="258" t="str">
        <f t="shared" si="0"/>
        <v/>
      </c>
      <c r="Q5" s="258" t="str">
        <f t="shared" si="0"/>
        <v/>
      </c>
      <c r="R5" s="258" t="str">
        <f t="shared" si="0"/>
        <v/>
      </c>
      <c r="S5" s="258" t="str">
        <f t="shared" si="0"/>
        <v/>
      </c>
      <c r="T5" s="258" t="str">
        <f t="shared" si="0"/>
        <v>CO Start</v>
      </c>
      <c r="U5" s="258" t="str">
        <f t="shared" si="0"/>
        <v/>
      </c>
      <c r="V5" s="258" t="str">
        <f t="shared" si="0"/>
        <v/>
      </c>
      <c r="W5" s="258" t="str">
        <f t="shared" si="0"/>
        <v/>
      </c>
      <c r="X5" s="258" t="str">
        <f t="shared" si="0"/>
        <v/>
      </c>
      <c r="Y5" s="246">
        <v>1</v>
      </c>
      <c r="Z5" s="246">
        <v>1</v>
      </c>
      <c r="AA5" s="246">
        <v>1</v>
      </c>
      <c r="AB5" s="246">
        <v>1</v>
      </c>
      <c r="AC5" s="246">
        <v>2</v>
      </c>
      <c r="AD5" s="246">
        <v>2</v>
      </c>
      <c r="AE5" s="246">
        <v>2</v>
      </c>
      <c r="AF5" s="246">
        <v>2</v>
      </c>
      <c r="AG5" s="246">
        <v>3</v>
      </c>
      <c r="AH5" s="246">
        <v>3</v>
      </c>
      <c r="AI5" s="246">
        <v>3</v>
      </c>
      <c r="AJ5" s="246">
        <v>3</v>
      </c>
      <c r="AK5" s="246">
        <v>4</v>
      </c>
      <c r="AL5" s="246">
        <v>4</v>
      </c>
      <c r="AM5" s="246">
        <v>4</v>
      </c>
      <c r="AN5" s="246">
        <v>4</v>
      </c>
      <c r="AO5" s="246">
        <v>5</v>
      </c>
      <c r="AP5" s="246">
        <v>5</v>
      </c>
      <c r="AQ5" s="246">
        <v>5</v>
      </c>
      <c r="AR5" s="247">
        <v>5</v>
      </c>
      <c r="AS5" s="211"/>
      <c r="AT5" s="211"/>
      <c r="AU5" s="211"/>
      <c r="BA5" s="212"/>
      <c r="BB5" s="212"/>
      <c r="BC5" s="212"/>
      <c r="BD5" s="212"/>
      <c r="BE5" s="212"/>
      <c r="BF5" s="212"/>
      <c r="BG5" s="213"/>
      <c r="BH5" s="213"/>
      <c r="BI5" s="213"/>
      <c r="CH5" s="214"/>
      <c r="CI5" s="214"/>
    </row>
    <row r="6" spans="1:87" s="210" customFormat="1" ht="20.25" customHeight="1">
      <c r="A6" s="261"/>
      <c r="B6" s="249"/>
      <c r="C6" s="258"/>
      <c r="D6" s="258"/>
      <c r="E6" s="258" t="str">
        <f t="shared" ref="E6:X6" si="1">IFERROR(INDEX($E$2:$N$4,2,MATCH(E9,$E$4:$N$4,0)),"")</f>
        <v/>
      </c>
      <c r="F6" s="258" t="str">
        <f t="shared" si="1"/>
        <v/>
      </c>
      <c r="G6" s="258" t="str">
        <f t="shared" si="1"/>
        <v/>
      </c>
      <c r="H6" s="258" t="str">
        <f t="shared" si="1"/>
        <v/>
      </c>
      <c r="I6" s="258" t="str">
        <f t="shared" si="1"/>
        <v/>
      </c>
      <c r="J6" s="258" t="str">
        <f t="shared" si="1"/>
        <v>PD End</v>
      </c>
      <c r="K6" s="258" t="str">
        <f t="shared" si="1"/>
        <v/>
      </c>
      <c r="L6" s="258" t="str">
        <f t="shared" si="1"/>
        <v/>
      </c>
      <c r="M6" s="258" t="str">
        <f t="shared" si="1"/>
        <v/>
      </c>
      <c r="N6" s="258" t="str">
        <f t="shared" si="1"/>
        <v/>
      </c>
      <c r="O6" s="258" t="str">
        <f t="shared" si="1"/>
        <v/>
      </c>
      <c r="P6" s="258" t="str">
        <f t="shared" si="1"/>
        <v/>
      </c>
      <c r="Q6" s="258" t="str">
        <f t="shared" si="1"/>
        <v/>
      </c>
      <c r="R6" s="258" t="str">
        <f t="shared" si="1"/>
        <v/>
      </c>
      <c r="S6" s="258" t="str">
        <f t="shared" si="1"/>
        <v>CS End</v>
      </c>
      <c r="T6" s="258" t="str">
        <f t="shared" si="1"/>
        <v/>
      </c>
      <c r="U6" s="258" t="str">
        <f t="shared" si="1"/>
        <v>CO End</v>
      </c>
      <c r="V6" s="258" t="str">
        <f t="shared" si="1"/>
        <v/>
      </c>
      <c r="W6" s="258" t="str">
        <f t="shared" si="1"/>
        <v/>
      </c>
      <c r="X6" s="258" t="str">
        <f t="shared" si="1"/>
        <v/>
      </c>
      <c r="Y6" s="828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247"/>
      <c r="AS6" s="211"/>
      <c r="AT6" s="211"/>
      <c r="AU6" s="211"/>
      <c r="BA6" s="212"/>
      <c r="BB6" s="212"/>
      <c r="BC6" s="212"/>
      <c r="BD6" s="212"/>
      <c r="BE6" s="212"/>
      <c r="BF6" s="212"/>
      <c r="BG6" s="213"/>
      <c r="BH6" s="213"/>
      <c r="BI6" s="213"/>
      <c r="CH6" s="214"/>
      <c r="CI6" s="214"/>
    </row>
    <row r="7" spans="1:87" s="210" customFormat="1" ht="20.25" customHeight="1">
      <c r="A7" s="261"/>
      <c r="B7" s="249" t="s">
        <v>486</v>
      </c>
      <c r="C7" s="258"/>
      <c r="D7" s="258"/>
      <c r="E7" s="258">
        <v>0</v>
      </c>
      <c r="F7" s="258">
        <f t="shared" ref="F7:X7" si="2">IF(OR($H$4&gt;F9,$K$4&lt;F9),0,E7+1)</f>
        <v>0</v>
      </c>
      <c r="G7" s="258">
        <f t="shared" si="2"/>
        <v>0</v>
      </c>
      <c r="H7" s="258">
        <f t="shared" si="2"/>
        <v>0</v>
      </c>
      <c r="I7" s="258">
        <f t="shared" si="2"/>
        <v>0</v>
      </c>
      <c r="J7" s="258">
        <f t="shared" si="2"/>
        <v>0</v>
      </c>
      <c r="K7" s="258">
        <f t="shared" si="2"/>
        <v>1</v>
      </c>
      <c r="L7" s="258">
        <f t="shared" si="2"/>
        <v>2</v>
      </c>
      <c r="M7" s="258">
        <f t="shared" si="2"/>
        <v>3</v>
      </c>
      <c r="N7" s="258">
        <f t="shared" si="2"/>
        <v>4</v>
      </c>
      <c r="O7" s="258">
        <f t="shared" si="2"/>
        <v>5</v>
      </c>
      <c r="P7" s="258">
        <f t="shared" si="2"/>
        <v>6</v>
      </c>
      <c r="Q7" s="258">
        <f t="shared" si="2"/>
        <v>7</v>
      </c>
      <c r="R7" s="258">
        <f t="shared" si="2"/>
        <v>8</v>
      </c>
      <c r="S7" s="258">
        <f t="shared" si="2"/>
        <v>9</v>
      </c>
      <c r="T7" s="258">
        <f t="shared" si="2"/>
        <v>0</v>
      </c>
      <c r="U7" s="258">
        <f t="shared" si="2"/>
        <v>0</v>
      </c>
      <c r="V7" s="258">
        <f t="shared" si="2"/>
        <v>0</v>
      </c>
      <c r="W7" s="258">
        <f t="shared" si="2"/>
        <v>0</v>
      </c>
      <c r="X7" s="258">
        <f t="shared" si="2"/>
        <v>0</v>
      </c>
      <c r="Y7" s="829">
        <v>1</v>
      </c>
      <c r="Z7" s="829">
        <v>2</v>
      </c>
      <c r="AA7" s="829">
        <v>3</v>
      </c>
      <c r="AB7" s="829">
        <v>4</v>
      </c>
      <c r="AC7" s="829">
        <v>1</v>
      </c>
      <c r="AD7" s="829">
        <v>2</v>
      </c>
      <c r="AE7" s="829">
        <v>3</v>
      </c>
      <c r="AF7" s="829">
        <v>4</v>
      </c>
      <c r="AG7" s="829">
        <v>1</v>
      </c>
      <c r="AH7" s="829">
        <v>2</v>
      </c>
      <c r="AI7" s="829">
        <v>3</v>
      </c>
      <c r="AJ7" s="829">
        <v>4</v>
      </c>
      <c r="AK7" s="829">
        <v>1</v>
      </c>
      <c r="AL7" s="829">
        <v>2</v>
      </c>
      <c r="AM7" s="829">
        <v>3</v>
      </c>
      <c r="AN7" s="829">
        <v>4</v>
      </c>
      <c r="AO7" s="829">
        <v>1</v>
      </c>
      <c r="AP7" s="829">
        <v>2</v>
      </c>
      <c r="AQ7" s="829">
        <v>3</v>
      </c>
      <c r="AR7" s="830">
        <v>4</v>
      </c>
      <c r="AS7" s="211"/>
      <c r="AT7" s="211"/>
      <c r="AU7" s="211"/>
      <c r="BA7" s="212"/>
      <c r="BB7" s="212"/>
      <c r="BC7" s="212"/>
      <c r="BD7" s="212"/>
      <c r="BE7" s="212"/>
      <c r="BF7" s="212"/>
      <c r="BG7" s="213"/>
      <c r="BH7" s="213"/>
      <c r="BI7" s="213"/>
      <c r="CH7" s="214"/>
      <c r="CI7" s="214"/>
    </row>
    <row r="8" spans="1:87" s="210" customFormat="1" ht="20.25" customHeight="1">
      <c r="A8" s="261"/>
      <c r="B8" s="249" t="s">
        <v>487</v>
      </c>
      <c r="C8" s="258"/>
      <c r="D8" s="258"/>
      <c r="E8" s="258">
        <v>0</v>
      </c>
      <c r="F8" s="258">
        <f>IF(OR(G6=$I$3,F6=$I$3,F5=$K$3),1,0)</f>
        <v>0</v>
      </c>
      <c r="G8" s="258">
        <f t="shared" ref="G8:W8" si="3">IF(OR(H6=$I$3,G6=$I$3,G5=$K$3),1,0)</f>
        <v>0</v>
      </c>
      <c r="H8" s="258">
        <f t="shared" si="3"/>
        <v>0</v>
      </c>
      <c r="I8" s="258">
        <f t="shared" si="3"/>
        <v>0</v>
      </c>
      <c r="J8" s="258">
        <f t="shared" si="3"/>
        <v>0</v>
      </c>
      <c r="K8" s="258">
        <f t="shared" si="3"/>
        <v>0</v>
      </c>
      <c r="L8" s="258">
        <f t="shared" si="3"/>
        <v>0</v>
      </c>
      <c r="M8" s="258">
        <f t="shared" si="3"/>
        <v>0</v>
      </c>
      <c r="N8" s="258">
        <f t="shared" si="3"/>
        <v>0</v>
      </c>
      <c r="O8" s="258">
        <f t="shared" si="3"/>
        <v>0</v>
      </c>
      <c r="P8" s="258">
        <f t="shared" si="3"/>
        <v>0</v>
      </c>
      <c r="Q8" s="258">
        <f t="shared" si="3"/>
        <v>0</v>
      </c>
      <c r="R8" s="258">
        <f t="shared" si="3"/>
        <v>1</v>
      </c>
      <c r="S8" s="258">
        <f t="shared" si="3"/>
        <v>1</v>
      </c>
      <c r="T8" s="258">
        <f t="shared" si="3"/>
        <v>1</v>
      </c>
      <c r="U8" s="258">
        <f t="shared" si="3"/>
        <v>0</v>
      </c>
      <c r="V8" s="258">
        <f t="shared" si="3"/>
        <v>0</v>
      </c>
      <c r="W8" s="258">
        <f t="shared" si="3"/>
        <v>0</v>
      </c>
      <c r="X8" s="258">
        <f>IF(OR(Y6=$I$3,X6=$I$3,X5=$K$3),1,0)</f>
        <v>0</v>
      </c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7"/>
      <c r="AS8" s="211"/>
      <c r="AT8" s="211"/>
      <c r="AU8" s="211"/>
      <c r="BA8" s="212"/>
      <c r="BB8" s="212"/>
      <c r="BC8" s="212"/>
      <c r="BD8" s="212"/>
      <c r="BE8" s="212"/>
      <c r="BF8" s="212"/>
      <c r="BG8" s="213"/>
      <c r="BH8" s="213"/>
      <c r="BI8" s="213"/>
      <c r="CH8" s="214"/>
      <c r="CI8" s="214"/>
    </row>
    <row r="9" spans="1:87" s="215" customFormat="1" ht="20.25" customHeight="1">
      <c r="A9" s="261"/>
      <c r="B9" s="250" t="s">
        <v>373</v>
      </c>
      <c r="C9" s="218" t="s">
        <v>488</v>
      </c>
      <c r="D9" s="218" t="s">
        <v>489</v>
      </c>
      <c r="E9" s="216">
        <f>E4-1</f>
        <v>46752</v>
      </c>
      <c r="F9" s="216">
        <f>EOMONTH(E9,3)</f>
        <v>46843</v>
      </c>
      <c r="G9" s="216">
        <f t="shared" ref="G9:V9" si="4">EOMONTH(F9,3)</f>
        <v>46934</v>
      </c>
      <c r="H9" s="216">
        <f t="shared" si="4"/>
        <v>47026</v>
      </c>
      <c r="I9" s="216">
        <f t="shared" si="4"/>
        <v>47118</v>
      </c>
      <c r="J9" s="216">
        <f t="shared" si="4"/>
        <v>47208</v>
      </c>
      <c r="K9" s="216">
        <f t="shared" si="4"/>
        <v>47299</v>
      </c>
      <c r="L9" s="216">
        <f t="shared" si="4"/>
        <v>47391</v>
      </c>
      <c r="M9" s="216">
        <f t="shared" si="4"/>
        <v>47483</v>
      </c>
      <c r="N9" s="216">
        <f t="shared" si="4"/>
        <v>47573</v>
      </c>
      <c r="O9" s="216">
        <f t="shared" si="4"/>
        <v>47664</v>
      </c>
      <c r="P9" s="216">
        <f t="shared" si="4"/>
        <v>47756</v>
      </c>
      <c r="Q9" s="216">
        <f t="shared" si="4"/>
        <v>47848</v>
      </c>
      <c r="R9" s="216">
        <f t="shared" si="4"/>
        <v>47938</v>
      </c>
      <c r="S9" s="216">
        <f t="shared" si="4"/>
        <v>48029</v>
      </c>
      <c r="T9" s="216">
        <f t="shared" si="4"/>
        <v>48121</v>
      </c>
      <c r="U9" s="216">
        <f t="shared" si="4"/>
        <v>48213</v>
      </c>
      <c r="V9" s="216">
        <f t="shared" si="4"/>
        <v>48304</v>
      </c>
      <c r="W9" s="216">
        <f>EOMONTH(V9,3)</f>
        <v>48395</v>
      </c>
      <c r="X9" s="216">
        <f>EOMONTH(W9,3)</f>
        <v>48487</v>
      </c>
      <c r="Y9" s="216">
        <f>EOMONTH(X9,3)</f>
        <v>48579</v>
      </c>
      <c r="Z9" s="216">
        <f t="shared" ref="Z9:AR9" si="5">EOMONTH(Y9,3)</f>
        <v>48669</v>
      </c>
      <c r="AA9" s="216">
        <f t="shared" si="5"/>
        <v>48760</v>
      </c>
      <c r="AB9" s="216">
        <f t="shared" si="5"/>
        <v>48852</v>
      </c>
      <c r="AC9" s="216">
        <f t="shared" si="5"/>
        <v>48944</v>
      </c>
      <c r="AD9" s="216">
        <f t="shared" si="5"/>
        <v>49034</v>
      </c>
      <c r="AE9" s="216">
        <f t="shared" si="5"/>
        <v>49125</v>
      </c>
      <c r="AF9" s="216">
        <f t="shared" si="5"/>
        <v>49217</v>
      </c>
      <c r="AG9" s="216">
        <f t="shared" si="5"/>
        <v>49309</v>
      </c>
      <c r="AH9" s="216">
        <f t="shared" si="5"/>
        <v>49399</v>
      </c>
      <c r="AI9" s="216">
        <f t="shared" si="5"/>
        <v>49490</v>
      </c>
      <c r="AJ9" s="216">
        <f t="shared" si="5"/>
        <v>49582</v>
      </c>
      <c r="AK9" s="216">
        <f t="shared" si="5"/>
        <v>49674</v>
      </c>
      <c r="AL9" s="216">
        <f t="shared" si="5"/>
        <v>49765</v>
      </c>
      <c r="AM9" s="216">
        <f t="shared" si="5"/>
        <v>49856</v>
      </c>
      <c r="AN9" s="216">
        <f t="shared" si="5"/>
        <v>49948</v>
      </c>
      <c r="AO9" s="216">
        <f t="shared" si="5"/>
        <v>50040</v>
      </c>
      <c r="AP9" s="216">
        <f t="shared" si="5"/>
        <v>50130</v>
      </c>
      <c r="AQ9" s="216">
        <f t="shared" si="5"/>
        <v>50221</v>
      </c>
      <c r="AR9" s="217">
        <f t="shared" si="5"/>
        <v>50313</v>
      </c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</row>
    <row r="10" spans="1:87" ht="20.25" customHeight="1">
      <c r="A10" s="207" t="s">
        <v>490</v>
      </c>
      <c r="B10" s="251"/>
      <c r="C10" s="220"/>
      <c r="D10" s="222"/>
      <c r="E10" s="271">
        <f>IF(E7&gt;0,NORMSDIST((E7-(($J$4)/6))/1.8),0)</f>
        <v>0</v>
      </c>
      <c r="F10" s="220">
        <f t="shared" ref="F10:X10" si="6">IF(F7&gt;0,NORMSDIST((F7-(($J$4)/6))/1.8),0)</f>
        <v>0</v>
      </c>
      <c r="G10" s="220">
        <f t="shared" si="6"/>
        <v>0</v>
      </c>
      <c r="H10" s="220">
        <f t="shared" si="6"/>
        <v>0</v>
      </c>
      <c r="I10" s="220">
        <f t="shared" si="6"/>
        <v>0</v>
      </c>
      <c r="J10" s="220">
        <f t="shared" si="6"/>
        <v>0</v>
      </c>
      <c r="K10" s="220">
        <f t="shared" si="6"/>
        <v>2.5920939357842999E-2</v>
      </c>
      <c r="L10" s="220">
        <f t="shared" si="6"/>
        <v>8.2433269873954537E-2</v>
      </c>
      <c r="M10" s="220">
        <f t="shared" si="6"/>
        <v>0.20232838096364303</v>
      </c>
      <c r="N10" s="220">
        <f t="shared" si="6"/>
        <v>0.39059147543357498</v>
      </c>
      <c r="O10" s="220">
        <f t="shared" si="6"/>
        <v>0.60940852456642502</v>
      </c>
      <c r="P10" s="220">
        <f t="shared" si="6"/>
        <v>0.79767161903635697</v>
      </c>
      <c r="Q10" s="220">
        <f t="shared" si="6"/>
        <v>0.9175667301260455</v>
      </c>
      <c r="R10" s="220">
        <f t="shared" si="6"/>
        <v>0.97407906064215699</v>
      </c>
      <c r="S10" s="220">
        <f t="shared" si="6"/>
        <v>0.99379033467422384</v>
      </c>
      <c r="T10" s="220">
        <f t="shared" si="6"/>
        <v>0</v>
      </c>
      <c r="U10" s="220">
        <f t="shared" si="6"/>
        <v>0</v>
      </c>
      <c r="V10" s="220">
        <f t="shared" si="6"/>
        <v>0</v>
      </c>
      <c r="W10" s="220">
        <f t="shared" si="6"/>
        <v>0</v>
      </c>
      <c r="X10" s="220">
        <f t="shared" si="6"/>
        <v>0</v>
      </c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1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CH10" s="207"/>
      <c r="CI10" s="207"/>
    </row>
    <row r="11" spans="1:87" ht="20.25" customHeight="1">
      <c r="A11" s="207" t="s">
        <v>491</v>
      </c>
      <c r="B11" s="268">
        <f>SUM(E11:W11)</f>
        <v>0.99379033467422384</v>
      </c>
      <c r="C11" s="220">
        <f>SUM(E11:X11)</f>
        <v>0.99379033467422384</v>
      </c>
      <c r="D11" s="222"/>
      <c r="E11" s="271">
        <f>IF(E10-B10&lt;0,0,E10-B10)</f>
        <v>0</v>
      </c>
      <c r="F11" s="220">
        <f t="shared" ref="F11:X11" si="7">IF(F10-E10&lt;0,0,F10-E10)</f>
        <v>0</v>
      </c>
      <c r="G11" s="220">
        <f t="shared" si="7"/>
        <v>0</v>
      </c>
      <c r="H11" s="220">
        <f t="shared" si="7"/>
        <v>0</v>
      </c>
      <c r="I11" s="220">
        <f t="shared" si="7"/>
        <v>0</v>
      </c>
      <c r="J11" s="220">
        <f t="shared" si="7"/>
        <v>0</v>
      </c>
      <c r="K11" s="220">
        <f t="shared" si="7"/>
        <v>2.5920939357842999E-2</v>
      </c>
      <c r="L11" s="220">
        <f t="shared" si="7"/>
        <v>5.6512330516111542E-2</v>
      </c>
      <c r="M11" s="220">
        <f t="shared" si="7"/>
        <v>0.11989511108968849</v>
      </c>
      <c r="N11" s="220">
        <f t="shared" si="7"/>
        <v>0.18826309446993195</v>
      </c>
      <c r="O11" s="220">
        <f t="shared" si="7"/>
        <v>0.21881704913285005</v>
      </c>
      <c r="P11" s="220">
        <f t="shared" si="7"/>
        <v>0.18826309446993195</v>
      </c>
      <c r="Q11" s="220">
        <f t="shared" si="7"/>
        <v>0.11989511108968853</v>
      </c>
      <c r="R11" s="220">
        <f t="shared" si="7"/>
        <v>5.6512330516111486E-2</v>
      </c>
      <c r="S11" s="220">
        <f t="shared" si="7"/>
        <v>1.971127403206685E-2</v>
      </c>
      <c r="T11" s="220">
        <f t="shared" si="7"/>
        <v>0</v>
      </c>
      <c r="U11" s="220">
        <f t="shared" si="7"/>
        <v>0</v>
      </c>
      <c r="V11" s="220">
        <f t="shared" si="7"/>
        <v>0</v>
      </c>
      <c r="W11" s="220">
        <f t="shared" si="7"/>
        <v>0</v>
      </c>
      <c r="X11" s="220">
        <f t="shared" si="7"/>
        <v>0</v>
      </c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1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CH11" s="207"/>
      <c r="CI11" s="207"/>
    </row>
    <row r="12" spans="1:87" ht="20.25" customHeight="1">
      <c r="A12" s="207" t="s">
        <v>492</v>
      </c>
      <c r="B12" s="268">
        <f>SUM(E12:W12)</f>
        <v>6.2096653257761592E-3</v>
      </c>
      <c r="C12" s="220">
        <f>SUM(E12:X12)</f>
        <v>6.2096653257761592E-3</v>
      </c>
      <c r="D12" s="487">
        <f>B12-C12</f>
        <v>0</v>
      </c>
      <c r="E12" s="269">
        <f t="shared" ref="E12:X12" si="8">IF(E6=$I$3,100%-E10,0)</f>
        <v>0</v>
      </c>
      <c r="F12" s="267">
        <f t="shared" si="8"/>
        <v>0</v>
      </c>
      <c r="G12" s="267">
        <f t="shared" si="8"/>
        <v>0</v>
      </c>
      <c r="H12" s="267">
        <f t="shared" si="8"/>
        <v>0</v>
      </c>
      <c r="I12" s="267">
        <f t="shared" si="8"/>
        <v>0</v>
      </c>
      <c r="J12" s="267">
        <f t="shared" si="8"/>
        <v>0</v>
      </c>
      <c r="K12" s="267">
        <f t="shared" si="8"/>
        <v>0</v>
      </c>
      <c r="L12" s="267">
        <f t="shared" si="8"/>
        <v>0</v>
      </c>
      <c r="M12" s="267">
        <f t="shared" si="8"/>
        <v>0</v>
      </c>
      <c r="N12" s="267">
        <f t="shared" si="8"/>
        <v>0</v>
      </c>
      <c r="O12" s="267">
        <f t="shared" si="8"/>
        <v>0</v>
      </c>
      <c r="P12" s="267">
        <f t="shared" si="8"/>
        <v>0</v>
      </c>
      <c r="Q12" s="267">
        <f t="shared" si="8"/>
        <v>0</v>
      </c>
      <c r="R12" s="267">
        <f t="shared" si="8"/>
        <v>0</v>
      </c>
      <c r="S12" s="267">
        <f t="shared" si="8"/>
        <v>6.2096653257761592E-3</v>
      </c>
      <c r="T12" s="267">
        <f t="shared" si="8"/>
        <v>0</v>
      </c>
      <c r="U12" s="267">
        <f t="shared" si="8"/>
        <v>0</v>
      </c>
      <c r="V12" s="267">
        <f t="shared" si="8"/>
        <v>0</v>
      </c>
      <c r="W12" s="267">
        <f t="shared" si="8"/>
        <v>0</v>
      </c>
      <c r="X12" s="267">
        <f t="shared" si="8"/>
        <v>0</v>
      </c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1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CH12" s="207"/>
      <c r="CI12" s="207"/>
    </row>
    <row r="13" spans="1:87" ht="20.25" customHeight="1">
      <c r="A13" s="207" t="s">
        <v>491</v>
      </c>
      <c r="B13" s="251">
        <f>SUM(E13:W13)</f>
        <v>1</v>
      </c>
      <c r="C13" s="220">
        <f>SUM(E13:X13)</f>
        <v>1</v>
      </c>
      <c r="D13" s="222"/>
      <c r="E13" s="269">
        <f t="shared" ref="E13:X13" si="9">SUM(E11:E12)</f>
        <v>0</v>
      </c>
      <c r="F13" s="267">
        <f t="shared" si="9"/>
        <v>0</v>
      </c>
      <c r="G13" s="267">
        <f t="shared" si="9"/>
        <v>0</v>
      </c>
      <c r="H13" s="267">
        <f t="shared" si="9"/>
        <v>0</v>
      </c>
      <c r="I13" s="267">
        <f t="shared" si="9"/>
        <v>0</v>
      </c>
      <c r="J13" s="267">
        <f t="shared" si="9"/>
        <v>0</v>
      </c>
      <c r="K13" s="267">
        <f t="shared" si="9"/>
        <v>2.5920939357842999E-2</v>
      </c>
      <c r="L13" s="267">
        <f t="shared" si="9"/>
        <v>5.6512330516111542E-2</v>
      </c>
      <c r="M13" s="267">
        <f t="shared" si="9"/>
        <v>0.11989511108968849</v>
      </c>
      <c r="N13" s="267">
        <f t="shared" si="9"/>
        <v>0.18826309446993195</v>
      </c>
      <c r="O13" s="267">
        <f t="shared" si="9"/>
        <v>0.21881704913285005</v>
      </c>
      <c r="P13" s="267">
        <f t="shared" si="9"/>
        <v>0.18826309446993195</v>
      </c>
      <c r="Q13" s="267">
        <f t="shared" si="9"/>
        <v>0.11989511108968853</v>
      </c>
      <c r="R13" s="267">
        <f t="shared" si="9"/>
        <v>5.6512330516111486E-2</v>
      </c>
      <c r="S13" s="267">
        <f t="shared" si="9"/>
        <v>2.5920939357843009E-2</v>
      </c>
      <c r="T13" s="267">
        <f t="shared" si="9"/>
        <v>0</v>
      </c>
      <c r="U13" s="267">
        <f t="shared" si="9"/>
        <v>0</v>
      </c>
      <c r="V13" s="267">
        <f t="shared" si="9"/>
        <v>0</v>
      </c>
      <c r="W13" s="267">
        <f t="shared" si="9"/>
        <v>0</v>
      </c>
      <c r="X13" s="267">
        <f t="shared" si="9"/>
        <v>0</v>
      </c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1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CH13" s="207"/>
      <c r="CI13" s="207"/>
    </row>
    <row r="14" spans="1:87" s="488" customFormat="1" ht="20.25" customHeight="1">
      <c r="A14" s="1092" t="s">
        <v>387</v>
      </c>
      <c r="B14" s="764">
        <f t="shared" ref="B14:B31" si="10">SUM(E14:X14)</f>
        <v>120788069.99999999</v>
      </c>
      <c r="C14" s="1095">
        <f>'2-C Financial'!$B7</f>
        <v>120788070</v>
      </c>
      <c r="D14" s="1095">
        <f t="shared" ref="D14:D31" si="11">B14-C14</f>
        <v>0</v>
      </c>
      <c r="E14" s="1096">
        <v>0</v>
      </c>
      <c r="F14" s="1095">
        <f>$C$14*F13</f>
        <v>0</v>
      </c>
      <c r="G14" s="1095">
        <f t="shared" ref="G14:X14" si="12">$C$14*G13</f>
        <v>0</v>
      </c>
      <c r="H14" s="1095">
        <f t="shared" si="12"/>
        <v>0</v>
      </c>
      <c r="I14" s="1095">
        <f t="shared" si="12"/>
        <v>0</v>
      </c>
      <c r="J14" s="1095">
        <f t="shared" si="12"/>
        <v>0</v>
      </c>
      <c r="K14" s="1095">
        <f t="shared" si="12"/>
        <v>3130940.2376208953</v>
      </c>
      <c r="L14" s="1095">
        <f t="shared" si="12"/>
        <v>6826015.3342432175</v>
      </c>
      <c r="M14" s="1095">
        <f t="shared" si="12"/>
        <v>14481899.070959071</v>
      </c>
      <c r="N14" s="1095">
        <f t="shared" si="12"/>
        <v>22739935.833250754</v>
      </c>
      <c r="O14" s="1095">
        <f t="shared" si="12"/>
        <v>26430489.047852132</v>
      </c>
      <c r="P14" s="1095">
        <f t="shared" si="12"/>
        <v>22739935.833250754</v>
      </c>
      <c r="Q14" s="1095">
        <f t="shared" si="12"/>
        <v>14481899.070959074</v>
      </c>
      <c r="R14" s="1095">
        <f t="shared" si="12"/>
        <v>6826015.33424321</v>
      </c>
      <c r="S14" s="1095">
        <f t="shared" si="12"/>
        <v>3130940.2376208967</v>
      </c>
      <c r="T14" s="1095">
        <f t="shared" si="12"/>
        <v>0</v>
      </c>
      <c r="U14" s="1095">
        <f t="shared" si="12"/>
        <v>0</v>
      </c>
      <c r="V14" s="1095">
        <f t="shared" si="12"/>
        <v>0</v>
      </c>
      <c r="W14" s="1095">
        <f t="shared" si="12"/>
        <v>0</v>
      </c>
      <c r="X14" s="1095">
        <f t="shared" si="12"/>
        <v>0</v>
      </c>
      <c r="Y14" s="1095"/>
      <c r="Z14" s="1095"/>
      <c r="AA14" s="1095"/>
      <c r="AB14" s="1095"/>
      <c r="AC14" s="1095"/>
      <c r="AD14" s="1095"/>
      <c r="AE14" s="1095"/>
      <c r="AF14" s="1095"/>
      <c r="AG14" s="1095"/>
      <c r="AH14" s="1095"/>
      <c r="AI14" s="1095"/>
      <c r="AJ14" s="1095"/>
      <c r="AK14" s="1095"/>
      <c r="AL14" s="1095"/>
      <c r="AM14" s="1095"/>
      <c r="AN14" s="1095"/>
      <c r="AO14" s="1095"/>
      <c r="AP14" s="1095"/>
      <c r="AQ14" s="1095"/>
      <c r="AR14" s="764"/>
      <c r="AS14" s="1092"/>
      <c r="AT14" s="1092"/>
      <c r="AU14" s="1092"/>
      <c r="AV14" s="1093"/>
      <c r="AW14" s="1093"/>
      <c r="AX14" s="1093"/>
      <c r="AY14" s="1093"/>
      <c r="AZ14" s="1093"/>
      <c r="BA14" s="1093"/>
      <c r="BB14" s="1093"/>
      <c r="BC14" s="1093"/>
      <c r="BD14" s="1093"/>
      <c r="BE14" s="1093"/>
      <c r="BF14" s="1093"/>
      <c r="BG14" s="1093"/>
      <c r="BH14" s="1093"/>
      <c r="BI14" s="1093"/>
      <c r="BJ14" s="1093"/>
      <c r="BK14" s="1093"/>
      <c r="BL14" s="1093"/>
      <c r="BM14" s="1093"/>
      <c r="BN14" s="1093"/>
      <c r="BO14" s="1093"/>
      <c r="BP14" s="1093"/>
      <c r="BQ14" s="1093"/>
      <c r="BR14" s="1093"/>
      <c r="BS14" s="1093"/>
      <c r="BT14" s="1093"/>
      <c r="BU14" s="1093"/>
      <c r="BV14" s="1092"/>
      <c r="BW14" s="1092"/>
      <c r="BX14" s="1092"/>
      <c r="BY14" s="1092"/>
      <c r="BZ14" s="1092"/>
      <c r="CA14" s="1092"/>
      <c r="CB14" s="1092"/>
      <c r="CC14" s="1092"/>
      <c r="CD14" s="1092"/>
      <c r="CE14" s="1092"/>
      <c r="CF14" s="1092"/>
      <c r="CG14" s="1092"/>
      <c r="CH14" s="1092"/>
      <c r="CI14" s="1092"/>
    </row>
    <row r="15" spans="1:87" ht="20.25" customHeight="1">
      <c r="A15" s="207" t="s">
        <v>77</v>
      </c>
      <c r="B15" s="224">
        <f t="shared" si="10"/>
        <v>6039403.5000000009</v>
      </c>
      <c r="C15" s="223">
        <f>'2-C Financial'!$B8</f>
        <v>6039403.5</v>
      </c>
      <c r="D15" s="223">
        <f t="shared" si="11"/>
        <v>0</v>
      </c>
      <c r="E15" s="270">
        <v>0</v>
      </c>
      <c r="F15" s="223">
        <f>$C15*F$13</f>
        <v>0</v>
      </c>
      <c r="G15" s="223">
        <f t="shared" ref="G15:X15" si="13">$C15*G$13</f>
        <v>0</v>
      </c>
      <c r="H15" s="223">
        <f t="shared" si="13"/>
        <v>0</v>
      </c>
      <c r="I15" s="223">
        <f t="shared" si="13"/>
        <v>0</v>
      </c>
      <c r="J15" s="223">
        <f t="shared" si="13"/>
        <v>0</v>
      </c>
      <c r="K15" s="223">
        <f t="shared" si="13"/>
        <v>156547.01188104475</v>
      </c>
      <c r="L15" s="223">
        <f t="shared" si="13"/>
        <v>341300.76671216084</v>
      </c>
      <c r="M15" s="223">
        <f t="shared" si="13"/>
        <v>724094.95354795351</v>
      </c>
      <c r="N15" s="223">
        <f t="shared" si="13"/>
        <v>1136996.7916625377</v>
      </c>
      <c r="O15" s="223">
        <f t="shared" si="13"/>
        <v>1321524.4523926065</v>
      </c>
      <c r="P15" s="223">
        <f t="shared" si="13"/>
        <v>1136996.7916625377</v>
      </c>
      <c r="Q15" s="223">
        <f t="shared" si="13"/>
        <v>724094.95354795374</v>
      </c>
      <c r="R15" s="223">
        <f t="shared" si="13"/>
        <v>341300.76671216049</v>
      </c>
      <c r="S15" s="223">
        <f t="shared" si="13"/>
        <v>156547.01188104483</v>
      </c>
      <c r="T15" s="223">
        <f t="shared" si="13"/>
        <v>0</v>
      </c>
      <c r="U15" s="223">
        <f t="shared" si="13"/>
        <v>0</v>
      </c>
      <c r="V15" s="223">
        <f t="shared" si="13"/>
        <v>0</v>
      </c>
      <c r="W15" s="223">
        <f t="shared" si="13"/>
        <v>0</v>
      </c>
      <c r="X15" s="223">
        <f t="shared" si="13"/>
        <v>0</v>
      </c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4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CH15" s="207"/>
      <c r="CI15" s="207"/>
    </row>
    <row r="16" spans="1:87" ht="20.25" customHeight="1">
      <c r="A16" s="207" t="s">
        <v>389</v>
      </c>
      <c r="B16" s="224">
        <f t="shared" si="10"/>
        <v>0</v>
      </c>
      <c r="C16" s="223">
        <f>'2-C Financial'!$B9</f>
        <v>0</v>
      </c>
      <c r="D16" s="223">
        <f t="shared" si="11"/>
        <v>0</v>
      </c>
      <c r="E16" s="270">
        <v>0</v>
      </c>
      <c r="F16" s="223">
        <f>IF(AND(F$9&gt;$E$4,F$9&lt;$H$4),$C16/(($G$4)/3),0)</f>
        <v>0</v>
      </c>
      <c r="G16" s="223">
        <f t="shared" ref="G16:X16" si="14">IF(AND(G$9&gt;$E$4,G$9&lt;$H$4),$C16/(($G$4)/3),0)</f>
        <v>0</v>
      </c>
      <c r="H16" s="223">
        <f t="shared" si="14"/>
        <v>0</v>
      </c>
      <c r="I16" s="223">
        <f t="shared" si="14"/>
        <v>0</v>
      </c>
      <c r="J16" s="223">
        <f t="shared" si="14"/>
        <v>0</v>
      </c>
      <c r="K16" s="223">
        <f t="shared" si="14"/>
        <v>0</v>
      </c>
      <c r="L16" s="223">
        <f t="shared" si="14"/>
        <v>0</v>
      </c>
      <c r="M16" s="223">
        <f t="shared" si="14"/>
        <v>0</v>
      </c>
      <c r="N16" s="223">
        <f t="shared" si="14"/>
        <v>0</v>
      </c>
      <c r="O16" s="223">
        <f t="shared" si="14"/>
        <v>0</v>
      </c>
      <c r="P16" s="223">
        <f t="shared" si="14"/>
        <v>0</v>
      </c>
      <c r="Q16" s="223">
        <f t="shared" si="14"/>
        <v>0</v>
      </c>
      <c r="R16" s="223">
        <f t="shared" si="14"/>
        <v>0</v>
      </c>
      <c r="S16" s="223">
        <f t="shared" si="14"/>
        <v>0</v>
      </c>
      <c r="T16" s="223">
        <f t="shared" si="14"/>
        <v>0</v>
      </c>
      <c r="U16" s="223">
        <f t="shared" si="14"/>
        <v>0</v>
      </c>
      <c r="V16" s="223">
        <f t="shared" si="14"/>
        <v>0</v>
      </c>
      <c r="W16" s="223">
        <f t="shared" si="14"/>
        <v>0</v>
      </c>
      <c r="X16" s="223">
        <f t="shared" si="14"/>
        <v>0</v>
      </c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4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CH16" s="207"/>
      <c r="CI16" s="207"/>
    </row>
    <row r="17" spans="1:87" ht="20.25" customHeight="1">
      <c r="A17" s="207" t="s">
        <v>391</v>
      </c>
      <c r="B17" s="224">
        <f t="shared" si="10"/>
        <v>808909.2</v>
      </c>
      <c r="C17" s="223">
        <f>'2-C Financial'!$B10</f>
        <v>808909.2</v>
      </c>
      <c r="D17" s="223">
        <f t="shared" si="11"/>
        <v>0</v>
      </c>
      <c r="E17" s="270">
        <v>0</v>
      </c>
      <c r="F17" s="223">
        <f>IF(F6=$F$3,$C$17,0)</f>
        <v>0</v>
      </c>
      <c r="G17" s="223">
        <f t="shared" ref="G17:X17" si="15">IF(G6=$F$3,$C$17,0)</f>
        <v>0</v>
      </c>
      <c r="H17" s="223">
        <f t="shared" si="15"/>
        <v>0</v>
      </c>
      <c r="I17" s="223">
        <f t="shared" si="15"/>
        <v>0</v>
      </c>
      <c r="J17" s="223">
        <f t="shared" si="15"/>
        <v>808909.2</v>
      </c>
      <c r="K17" s="223">
        <f t="shared" si="15"/>
        <v>0</v>
      </c>
      <c r="L17" s="223">
        <f t="shared" si="15"/>
        <v>0</v>
      </c>
      <c r="M17" s="223">
        <f t="shared" si="15"/>
        <v>0</v>
      </c>
      <c r="N17" s="223">
        <f t="shared" si="15"/>
        <v>0</v>
      </c>
      <c r="O17" s="223">
        <f t="shared" si="15"/>
        <v>0</v>
      </c>
      <c r="P17" s="223">
        <f t="shared" si="15"/>
        <v>0</v>
      </c>
      <c r="Q17" s="223">
        <f t="shared" si="15"/>
        <v>0</v>
      </c>
      <c r="R17" s="223">
        <f t="shared" si="15"/>
        <v>0</v>
      </c>
      <c r="S17" s="223">
        <f t="shared" si="15"/>
        <v>0</v>
      </c>
      <c r="T17" s="223">
        <f t="shared" si="15"/>
        <v>0</v>
      </c>
      <c r="U17" s="223">
        <f t="shared" si="15"/>
        <v>0</v>
      </c>
      <c r="V17" s="223">
        <f t="shared" si="15"/>
        <v>0</v>
      </c>
      <c r="W17" s="223">
        <f t="shared" si="15"/>
        <v>0</v>
      </c>
      <c r="X17" s="223">
        <f t="shared" si="15"/>
        <v>0</v>
      </c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4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CH17" s="207"/>
      <c r="CI17" s="207"/>
    </row>
    <row r="18" spans="1:87" ht="20.25" customHeight="1">
      <c r="A18" s="207" t="s">
        <v>393</v>
      </c>
      <c r="B18" s="224">
        <f t="shared" si="10"/>
        <v>2480000</v>
      </c>
      <c r="C18" s="223">
        <f>'2-C Financial'!$B11</f>
        <v>2480000</v>
      </c>
      <c r="D18" s="223">
        <f t="shared" si="11"/>
        <v>0</v>
      </c>
      <c r="E18" s="270">
        <v>0</v>
      </c>
      <c r="F18" s="223">
        <f>$C18*F$13</f>
        <v>0</v>
      </c>
      <c r="G18" s="223">
        <f t="shared" ref="G18:X19" si="16">$C18*G$13</f>
        <v>0</v>
      </c>
      <c r="H18" s="223">
        <f t="shared" si="16"/>
        <v>0</v>
      </c>
      <c r="I18" s="223">
        <f t="shared" si="16"/>
        <v>0</v>
      </c>
      <c r="J18" s="223">
        <f t="shared" si="16"/>
        <v>0</v>
      </c>
      <c r="K18" s="223">
        <f t="shared" si="16"/>
        <v>64283.929607450635</v>
      </c>
      <c r="L18" s="223">
        <f t="shared" si="16"/>
        <v>140150.57967995663</v>
      </c>
      <c r="M18" s="223">
        <f t="shared" si="16"/>
        <v>297339.87550242746</v>
      </c>
      <c r="N18" s="223">
        <f t="shared" si="16"/>
        <v>466892.47428543121</v>
      </c>
      <c r="O18" s="223">
        <f t="shared" si="16"/>
        <v>542666.28184946813</v>
      </c>
      <c r="P18" s="223">
        <f t="shared" si="16"/>
        <v>466892.47428543121</v>
      </c>
      <c r="Q18" s="223">
        <f t="shared" si="16"/>
        <v>297339.87550242757</v>
      </c>
      <c r="R18" s="223">
        <f t="shared" si="16"/>
        <v>140150.57967995649</v>
      </c>
      <c r="S18" s="223">
        <f t="shared" si="16"/>
        <v>64283.929607450664</v>
      </c>
      <c r="T18" s="223">
        <f t="shared" si="16"/>
        <v>0</v>
      </c>
      <c r="U18" s="223">
        <f t="shared" si="16"/>
        <v>0</v>
      </c>
      <c r="V18" s="223">
        <f t="shared" si="16"/>
        <v>0</v>
      </c>
      <c r="W18" s="223">
        <f t="shared" si="16"/>
        <v>0</v>
      </c>
      <c r="X18" s="223">
        <f t="shared" si="16"/>
        <v>0</v>
      </c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4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CH18" s="207"/>
      <c r="CI18" s="207"/>
    </row>
    <row r="19" spans="1:87" ht="20.25" customHeight="1">
      <c r="A19" s="207" t="s">
        <v>79</v>
      </c>
      <c r="B19" s="224">
        <f t="shared" si="10"/>
        <v>2415761.4</v>
      </c>
      <c r="C19" s="223">
        <f>'2-C Financial'!$B12</f>
        <v>2415761.4</v>
      </c>
      <c r="D19" s="223">
        <f t="shared" si="11"/>
        <v>0</v>
      </c>
      <c r="E19" s="270">
        <v>0</v>
      </c>
      <c r="F19" s="223">
        <f>$C19*F$13</f>
        <v>0</v>
      </c>
      <c r="G19" s="223">
        <f t="shared" si="16"/>
        <v>0</v>
      </c>
      <c r="H19" s="223">
        <f t="shared" si="16"/>
        <v>0</v>
      </c>
      <c r="I19" s="223">
        <f t="shared" si="16"/>
        <v>0</v>
      </c>
      <c r="J19" s="223">
        <f t="shared" si="16"/>
        <v>0</v>
      </c>
      <c r="K19" s="223">
        <f t="shared" si="16"/>
        <v>62618.804752417898</v>
      </c>
      <c r="L19" s="223">
        <f t="shared" si="16"/>
        <v>136520.30668486434</v>
      </c>
      <c r="M19" s="223">
        <f t="shared" si="16"/>
        <v>289637.98141918139</v>
      </c>
      <c r="N19" s="223">
        <f t="shared" si="16"/>
        <v>454798.71666501503</v>
      </c>
      <c r="O19" s="223">
        <f t="shared" si="16"/>
        <v>528609.78095704259</v>
      </c>
      <c r="P19" s="223">
        <f t="shared" si="16"/>
        <v>454798.71666501503</v>
      </c>
      <c r="Q19" s="223">
        <f t="shared" si="16"/>
        <v>289637.98141918151</v>
      </c>
      <c r="R19" s="223">
        <f t="shared" si="16"/>
        <v>136520.30668486419</v>
      </c>
      <c r="S19" s="223">
        <f t="shared" si="16"/>
        <v>62618.804752417927</v>
      </c>
      <c r="T19" s="223">
        <f t="shared" si="16"/>
        <v>0</v>
      </c>
      <c r="U19" s="223">
        <f t="shared" si="16"/>
        <v>0</v>
      </c>
      <c r="V19" s="223">
        <f t="shared" si="16"/>
        <v>0</v>
      </c>
      <c r="W19" s="223">
        <f t="shared" si="16"/>
        <v>0</v>
      </c>
      <c r="X19" s="223">
        <f t="shared" si="16"/>
        <v>0</v>
      </c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4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CH19" s="207"/>
      <c r="CI19" s="207"/>
    </row>
    <row r="20" spans="1:87" ht="20.25" customHeight="1">
      <c r="A20" s="207" t="s">
        <v>83</v>
      </c>
      <c r="B20" s="224">
        <f t="shared" si="10"/>
        <v>1811821.0500000003</v>
      </c>
      <c r="C20" s="223">
        <f>'2-C Financial'!$B13</f>
        <v>1811821.05</v>
      </c>
      <c r="D20" s="223">
        <f t="shared" si="11"/>
        <v>0</v>
      </c>
      <c r="E20" s="270">
        <v>0</v>
      </c>
      <c r="F20" s="223">
        <f>IF(AND(F9&gt;$E$4,F9&lt;$H$4), (($C20)*60%/(($G$4)/3)),IF(OR(F7=1,F7=2,F7=3,F7=4,F7=5,F7=6),(($C20)*40%/6),0))</f>
        <v>217418.52599999998</v>
      </c>
      <c r="G20" s="223">
        <f t="shared" ref="G20:X20" si="17">IF(AND(G9&gt;$E$4,G9&lt;$H$4), (($C20)*60%/(($G$4)/3)),IF(OR(G7=1,G7=2,G7=3,G7=4,G7=5,G7=6),(($C20)*40%/6),0))</f>
        <v>217418.52599999998</v>
      </c>
      <c r="H20" s="223">
        <f t="shared" si="17"/>
        <v>217418.52599999998</v>
      </c>
      <c r="I20" s="223">
        <f t="shared" si="17"/>
        <v>217418.52599999998</v>
      </c>
      <c r="J20" s="223">
        <f t="shared" si="17"/>
        <v>217418.52599999998</v>
      </c>
      <c r="K20" s="223">
        <f t="shared" si="17"/>
        <v>120788.07</v>
      </c>
      <c r="L20" s="223">
        <f t="shared" si="17"/>
        <v>120788.07</v>
      </c>
      <c r="M20" s="223">
        <f t="shared" si="17"/>
        <v>120788.07</v>
      </c>
      <c r="N20" s="223">
        <f t="shared" si="17"/>
        <v>120788.07</v>
      </c>
      <c r="O20" s="223">
        <f t="shared" si="17"/>
        <v>120788.07</v>
      </c>
      <c r="P20" s="223">
        <f t="shared" si="17"/>
        <v>120788.07</v>
      </c>
      <c r="Q20" s="223">
        <f t="shared" si="17"/>
        <v>0</v>
      </c>
      <c r="R20" s="223">
        <f t="shared" si="17"/>
        <v>0</v>
      </c>
      <c r="S20" s="223">
        <f t="shared" si="17"/>
        <v>0</v>
      </c>
      <c r="T20" s="223">
        <f t="shared" si="17"/>
        <v>0</v>
      </c>
      <c r="U20" s="223">
        <f t="shared" si="17"/>
        <v>0</v>
      </c>
      <c r="V20" s="223">
        <f t="shared" si="17"/>
        <v>0</v>
      </c>
      <c r="W20" s="223">
        <f t="shared" si="17"/>
        <v>0</v>
      </c>
      <c r="X20" s="223">
        <f t="shared" si="17"/>
        <v>0</v>
      </c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4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CH20" s="207"/>
      <c r="CI20" s="207"/>
    </row>
    <row r="21" spans="1:87" ht="20.25" customHeight="1">
      <c r="A21" s="207" t="s">
        <v>84</v>
      </c>
      <c r="B21" s="224">
        <f t="shared" si="10"/>
        <v>20222.73</v>
      </c>
      <c r="C21" s="223">
        <f>'2-C Financial'!$B14</f>
        <v>20222.73</v>
      </c>
      <c r="D21" s="223">
        <f t="shared" si="11"/>
        <v>0</v>
      </c>
      <c r="E21" s="270">
        <v>0</v>
      </c>
      <c r="F21" s="223">
        <f>IF(F17=0,0,$C$21)</f>
        <v>0</v>
      </c>
      <c r="G21" s="223">
        <f t="shared" ref="G21:X21" si="18">IF(G17=0,0,$C$21)</f>
        <v>0</v>
      </c>
      <c r="H21" s="223">
        <f t="shared" si="18"/>
        <v>0</v>
      </c>
      <c r="I21" s="223">
        <f t="shared" si="18"/>
        <v>0</v>
      </c>
      <c r="J21" s="223">
        <f t="shared" si="18"/>
        <v>20222.73</v>
      </c>
      <c r="K21" s="223">
        <f t="shared" si="18"/>
        <v>0</v>
      </c>
      <c r="L21" s="223">
        <f t="shared" si="18"/>
        <v>0</v>
      </c>
      <c r="M21" s="223">
        <f t="shared" si="18"/>
        <v>0</v>
      </c>
      <c r="N21" s="223">
        <f t="shared" si="18"/>
        <v>0</v>
      </c>
      <c r="O21" s="223">
        <f t="shared" si="18"/>
        <v>0</v>
      </c>
      <c r="P21" s="223">
        <f t="shared" si="18"/>
        <v>0</v>
      </c>
      <c r="Q21" s="223">
        <f t="shared" si="18"/>
        <v>0</v>
      </c>
      <c r="R21" s="223">
        <f t="shared" si="18"/>
        <v>0</v>
      </c>
      <c r="S21" s="223">
        <f t="shared" si="18"/>
        <v>0</v>
      </c>
      <c r="T21" s="223">
        <f t="shared" si="18"/>
        <v>0</v>
      </c>
      <c r="U21" s="223">
        <f t="shared" si="18"/>
        <v>0</v>
      </c>
      <c r="V21" s="223">
        <f t="shared" si="18"/>
        <v>0</v>
      </c>
      <c r="W21" s="223">
        <f t="shared" si="18"/>
        <v>0</v>
      </c>
      <c r="X21" s="223">
        <f t="shared" si="18"/>
        <v>0</v>
      </c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4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CH21" s="207"/>
      <c r="CI21" s="207"/>
    </row>
    <row r="22" spans="1:87" ht="20.25" customHeight="1">
      <c r="A22" s="207" t="s">
        <v>85</v>
      </c>
      <c r="B22" s="224">
        <f t="shared" si="10"/>
        <v>2415761.3999999994</v>
      </c>
      <c r="C22" s="223">
        <f>'2-C Financial'!$B15</f>
        <v>2415761.4</v>
      </c>
      <c r="D22" s="223">
        <f t="shared" si="11"/>
        <v>0</v>
      </c>
      <c r="E22" s="270">
        <v>0</v>
      </c>
      <c r="F22" s="223">
        <f>IF(AND(F9&gt;$E$4,F9&lt;$H$4), (($C22)*60%/(($G$4)/3)),IF(OR(F7=1,F7=2,F7=3,F7=4,F7=5,F7=6),(($C22)*40%/6),0))</f>
        <v>289891.36799999996</v>
      </c>
      <c r="G22" s="223">
        <f t="shared" ref="G22:X22" si="19">IF(AND(G9&gt;$E$4,G9&lt;$H$4), (($C22)*60%/(($G$4)/3)),IF(OR(G7=1,G7=2,G7=3,G7=4,G7=5,G7=6),(($C22)*40%/6),0))</f>
        <v>289891.36799999996</v>
      </c>
      <c r="H22" s="223">
        <f t="shared" si="19"/>
        <v>289891.36799999996</v>
      </c>
      <c r="I22" s="223">
        <f t="shared" si="19"/>
        <v>289891.36799999996</v>
      </c>
      <c r="J22" s="223">
        <f t="shared" si="19"/>
        <v>289891.36799999996</v>
      </c>
      <c r="K22" s="223">
        <f t="shared" si="19"/>
        <v>161050.76</v>
      </c>
      <c r="L22" s="223">
        <f t="shared" si="19"/>
        <v>161050.76</v>
      </c>
      <c r="M22" s="223">
        <f t="shared" si="19"/>
        <v>161050.76</v>
      </c>
      <c r="N22" s="223">
        <f t="shared" si="19"/>
        <v>161050.76</v>
      </c>
      <c r="O22" s="223">
        <f t="shared" si="19"/>
        <v>161050.76</v>
      </c>
      <c r="P22" s="223">
        <f t="shared" si="19"/>
        <v>161050.76</v>
      </c>
      <c r="Q22" s="223">
        <f t="shared" si="19"/>
        <v>0</v>
      </c>
      <c r="R22" s="223">
        <f t="shared" si="19"/>
        <v>0</v>
      </c>
      <c r="S22" s="223">
        <f t="shared" si="19"/>
        <v>0</v>
      </c>
      <c r="T22" s="223">
        <f t="shared" si="19"/>
        <v>0</v>
      </c>
      <c r="U22" s="223">
        <f t="shared" si="19"/>
        <v>0</v>
      </c>
      <c r="V22" s="223">
        <f t="shared" si="19"/>
        <v>0</v>
      </c>
      <c r="W22" s="223">
        <f t="shared" si="19"/>
        <v>0</v>
      </c>
      <c r="X22" s="223">
        <f t="shared" si="19"/>
        <v>0</v>
      </c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4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CH22" s="207"/>
      <c r="CI22" s="207"/>
    </row>
    <row r="23" spans="1:87" ht="20.25" customHeight="1">
      <c r="A23" s="207" t="s">
        <v>86</v>
      </c>
      <c r="B23" s="224">
        <f t="shared" si="10"/>
        <v>4227582.45</v>
      </c>
      <c r="C23" s="223">
        <f>'2-C Financial'!$B16</f>
        <v>4227582.45</v>
      </c>
      <c r="D23" s="223">
        <f t="shared" si="11"/>
        <v>0</v>
      </c>
      <c r="E23" s="270">
        <v>0</v>
      </c>
      <c r="F23" s="223">
        <f>IF(AND(F$9&gt;$F$4,F9&lt;$K$4),$C23/(($J$4)/3),0)</f>
        <v>0</v>
      </c>
      <c r="G23" s="223">
        <f t="shared" ref="G23:X23" si="20">IF(AND(G$9&gt;$F$4,G9&lt;$K$4),$C23/(($J$4)/3),0)</f>
        <v>0</v>
      </c>
      <c r="H23" s="223">
        <f t="shared" si="20"/>
        <v>0</v>
      </c>
      <c r="I23" s="223">
        <f t="shared" si="20"/>
        <v>0</v>
      </c>
      <c r="J23" s="223">
        <f t="shared" si="20"/>
        <v>0</v>
      </c>
      <c r="K23" s="223">
        <f t="shared" si="20"/>
        <v>469731.38333333336</v>
      </c>
      <c r="L23" s="223">
        <f t="shared" si="20"/>
        <v>469731.38333333336</v>
      </c>
      <c r="M23" s="223">
        <f t="shared" si="20"/>
        <v>469731.38333333336</v>
      </c>
      <c r="N23" s="223">
        <f t="shared" si="20"/>
        <v>469731.38333333336</v>
      </c>
      <c r="O23" s="223">
        <f t="shared" si="20"/>
        <v>469731.38333333336</v>
      </c>
      <c r="P23" s="223">
        <f t="shared" si="20"/>
        <v>469731.38333333336</v>
      </c>
      <c r="Q23" s="223">
        <f t="shared" si="20"/>
        <v>469731.38333333336</v>
      </c>
      <c r="R23" s="223">
        <f t="shared" si="20"/>
        <v>469731.38333333336</v>
      </c>
      <c r="S23" s="223">
        <f t="shared" si="20"/>
        <v>469731.38333333336</v>
      </c>
      <c r="T23" s="223">
        <f t="shared" si="20"/>
        <v>0</v>
      </c>
      <c r="U23" s="223">
        <f t="shared" si="20"/>
        <v>0</v>
      </c>
      <c r="V23" s="223">
        <f t="shared" si="20"/>
        <v>0</v>
      </c>
      <c r="W23" s="223">
        <f t="shared" si="20"/>
        <v>0</v>
      </c>
      <c r="X23" s="223">
        <f t="shared" si="20"/>
        <v>0</v>
      </c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4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CH23" s="207"/>
      <c r="CI23" s="207"/>
    </row>
    <row r="24" spans="1:87" ht="20.25" customHeight="1">
      <c r="A24" s="207" t="s">
        <v>88</v>
      </c>
      <c r="B24" s="224">
        <f t="shared" si="10"/>
        <v>2415761.4000000004</v>
      </c>
      <c r="C24" s="223">
        <f>'2-C Financial'!$B17</f>
        <v>2415761.4</v>
      </c>
      <c r="D24" s="223">
        <f t="shared" si="11"/>
        <v>0</v>
      </c>
      <c r="E24" s="270">
        <v>0</v>
      </c>
      <c r="F24" s="223">
        <f>IF(AND(F$9&gt;$F$4,F$9&lt;$K$4),$C24/(($J$4)/3),0)</f>
        <v>0</v>
      </c>
      <c r="G24" s="223">
        <f t="shared" ref="G24:X24" si="21">IF(AND(G$9&gt;$F$4,G$9&lt;$K$4),$C24/(($J$4)/3),0)</f>
        <v>0</v>
      </c>
      <c r="H24" s="223">
        <f t="shared" si="21"/>
        <v>0</v>
      </c>
      <c r="I24" s="223">
        <f t="shared" si="21"/>
        <v>0</v>
      </c>
      <c r="J24" s="223">
        <f t="shared" si="21"/>
        <v>0</v>
      </c>
      <c r="K24" s="223">
        <f t="shared" si="21"/>
        <v>268417.93333333335</v>
      </c>
      <c r="L24" s="223">
        <f t="shared" si="21"/>
        <v>268417.93333333335</v>
      </c>
      <c r="M24" s="223">
        <f t="shared" si="21"/>
        <v>268417.93333333335</v>
      </c>
      <c r="N24" s="223">
        <f t="shared" si="21"/>
        <v>268417.93333333335</v>
      </c>
      <c r="O24" s="223">
        <f t="shared" si="21"/>
        <v>268417.93333333335</v>
      </c>
      <c r="P24" s="223">
        <f t="shared" si="21"/>
        <v>268417.93333333335</v>
      </c>
      <c r="Q24" s="223">
        <f t="shared" si="21"/>
        <v>268417.93333333335</v>
      </c>
      <c r="R24" s="223">
        <f t="shared" si="21"/>
        <v>268417.93333333335</v>
      </c>
      <c r="S24" s="223">
        <f t="shared" si="21"/>
        <v>268417.93333333335</v>
      </c>
      <c r="T24" s="223">
        <f t="shared" si="21"/>
        <v>0</v>
      </c>
      <c r="U24" s="223">
        <f t="shared" si="21"/>
        <v>0</v>
      </c>
      <c r="V24" s="223">
        <f t="shared" si="21"/>
        <v>0</v>
      </c>
      <c r="W24" s="223">
        <f t="shared" si="21"/>
        <v>0</v>
      </c>
      <c r="X24" s="223">
        <f t="shared" si="21"/>
        <v>0</v>
      </c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4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CH24" s="207"/>
      <c r="CI24" s="207"/>
    </row>
    <row r="25" spans="1:87" ht="20.25" customHeight="1">
      <c r="A25" s="207" t="s">
        <v>93</v>
      </c>
      <c r="B25" s="224">
        <f t="shared" si="10"/>
        <v>6039403.5000000009</v>
      </c>
      <c r="C25" s="223">
        <f>'2-C Financial'!$B18</f>
        <v>6039403.5</v>
      </c>
      <c r="D25" s="223">
        <f t="shared" si="11"/>
        <v>0</v>
      </c>
      <c r="E25" s="270">
        <v>0</v>
      </c>
      <c r="F25" s="223">
        <f>$C25*F$13</f>
        <v>0</v>
      </c>
      <c r="G25" s="223">
        <f t="shared" ref="G25:X25" si="22">$C25*G$13</f>
        <v>0</v>
      </c>
      <c r="H25" s="223">
        <f t="shared" si="22"/>
        <v>0</v>
      </c>
      <c r="I25" s="223">
        <f t="shared" si="22"/>
        <v>0</v>
      </c>
      <c r="J25" s="223">
        <f t="shared" si="22"/>
        <v>0</v>
      </c>
      <c r="K25" s="223">
        <f t="shared" si="22"/>
        <v>156547.01188104475</v>
      </c>
      <c r="L25" s="223">
        <f t="shared" si="22"/>
        <v>341300.76671216084</v>
      </c>
      <c r="M25" s="223">
        <f t="shared" si="22"/>
        <v>724094.95354795351</v>
      </c>
      <c r="N25" s="223">
        <f t="shared" si="22"/>
        <v>1136996.7916625377</v>
      </c>
      <c r="O25" s="223">
        <f t="shared" si="22"/>
        <v>1321524.4523926065</v>
      </c>
      <c r="P25" s="223">
        <f t="shared" si="22"/>
        <v>1136996.7916625377</v>
      </c>
      <c r="Q25" s="223">
        <f t="shared" si="22"/>
        <v>724094.95354795374</v>
      </c>
      <c r="R25" s="223">
        <f t="shared" si="22"/>
        <v>341300.76671216049</v>
      </c>
      <c r="S25" s="223">
        <f t="shared" si="22"/>
        <v>156547.01188104483</v>
      </c>
      <c r="T25" s="223">
        <f t="shared" si="22"/>
        <v>0</v>
      </c>
      <c r="U25" s="223">
        <f t="shared" si="22"/>
        <v>0</v>
      </c>
      <c r="V25" s="223">
        <f t="shared" si="22"/>
        <v>0</v>
      </c>
      <c r="W25" s="223">
        <f t="shared" si="22"/>
        <v>0</v>
      </c>
      <c r="X25" s="223">
        <f t="shared" si="22"/>
        <v>0</v>
      </c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4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CH25" s="207"/>
      <c r="CI25" s="207"/>
    </row>
    <row r="26" spans="1:87" ht="20.25" customHeight="1">
      <c r="A26" s="207" t="s">
        <v>97</v>
      </c>
      <c r="B26" s="224">
        <f t="shared" si="10"/>
        <v>1811821.05</v>
      </c>
      <c r="C26" s="223">
        <f>'2-C Financial'!$B19</f>
        <v>1811821.05</v>
      </c>
      <c r="D26" s="223">
        <f t="shared" si="11"/>
        <v>0</v>
      </c>
      <c r="E26" s="270">
        <v>0</v>
      </c>
      <c r="F26" s="273">
        <f>IF(AND(F9&gt;$E$4,F9&lt;$H$4),(($C26)*20%/(($G$4)/3)),IF((F7=1),(($C26)*80%),0))</f>
        <v>72472.842000000004</v>
      </c>
      <c r="G26" s="273">
        <f t="shared" ref="G26:X26" si="23">IF(AND(G9&gt;$E$4,G9&lt;$H$4),(($C26)*20%/(($G$4)/3)),IF((G7=1),(($C26)*80%),0))</f>
        <v>72472.842000000004</v>
      </c>
      <c r="H26" s="273">
        <f t="shared" si="23"/>
        <v>72472.842000000004</v>
      </c>
      <c r="I26" s="273">
        <f t="shared" si="23"/>
        <v>72472.842000000004</v>
      </c>
      <c r="J26" s="273">
        <f t="shared" si="23"/>
        <v>72472.842000000004</v>
      </c>
      <c r="K26" s="273">
        <f t="shared" si="23"/>
        <v>1449456.84</v>
      </c>
      <c r="L26" s="273">
        <f t="shared" si="23"/>
        <v>0</v>
      </c>
      <c r="M26" s="273">
        <f t="shared" si="23"/>
        <v>0</v>
      </c>
      <c r="N26" s="273">
        <f t="shared" si="23"/>
        <v>0</v>
      </c>
      <c r="O26" s="273">
        <f t="shared" si="23"/>
        <v>0</v>
      </c>
      <c r="P26" s="273">
        <f t="shared" si="23"/>
        <v>0</v>
      </c>
      <c r="Q26" s="273">
        <f t="shared" si="23"/>
        <v>0</v>
      </c>
      <c r="R26" s="273">
        <f t="shared" si="23"/>
        <v>0</v>
      </c>
      <c r="S26" s="273">
        <f t="shared" si="23"/>
        <v>0</v>
      </c>
      <c r="T26" s="273">
        <f t="shared" si="23"/>
        <v>0</v>
      </c>
      <c r="U26" s="273">
        <f t="shared" si="23"/>
        <v>0</v>
      </c>
      <c r="V26" s="273">
        <f t="shared" si="23"/>
        <v>0</v>
      </c>
      <c r="W26" s="273">
        <f t="shared" si="23"/>
        <v>0</v>
      </c>
      <c r="X26" s="273">
        <f t="shared" si="23"/>
        <v>0</v>
      </c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4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CH26" s="207"/>
      <c r="CI26" s="207"/>
    </row>
    <row r="27" spans="1:87" ht="20.25" customHeight="1">
      <c r="A27" s="207" t="s">
        <v>100</v>
      </c>
      <c r="B27" s="224">
        <f t="shared" si="10"/>
        <v>500000</v>
      </c>
      <c r="C27" s="223">
        <f>'2-C Financial'!$B20</f>
        <v>500000</v>
      </c>
      <c r="D27" s="223">
        <f t="shared" si="11"/>
        <v>0</v>
      </c>
      <c r="E27" s="270">
        <v>0</v>
      </c>
      <c r="F27" s="223">
        <f>IF(F$8=1,$C27/COUNTIF($E$8:$X$8,"1"),0)</f>
        <v>0</v>
      </c>
      <c r="G27" s="223">
        <f t="shared" ref="G27:X27" si="24">IF(G$8=1,$C27/COUNTIF($E$8:$X$8,"1"),0)</f>
        <v>0</v>
      </c>
      <c r="H27" s="223">
        <f>IF(H$8=1,$C27/COUNTIF($E$8:$X$8,"1"),0)</f>
        <v>0</v>
      </c>
      <c r="I27" s="223">
        <f t="shared" si="24"/>
        <v>0</v>
      </c>
      <c r="J27" s="223">
        <f t="shared" si="24"/>
        <v>0</v>
      </c>
      <c r="K27" s="223">
        <f t="shared" si="24"/>
        <v>0</v>
      </c>
      <c r="L27" s="223">
        <f t="shared" si="24"/>
        <v>0</v>
      </c>
      <c r="M27" s="223">
        <f t="shared" si="24"/>
        <v>0</v>
      </c>
      <c r="N27" s="223">
        <f t="shared" si="24"/>
        <v>0</v>
      </c>
      <c r="O27" s="223">
        <f t="shared" si="24"/>
        <v>0</v>
      </c>
      <c r="P27" s="223">
        <f t="shared" si="24"/>
        <v>0</v>
      </c>
      <c r="Q27" s="223">
        <f t="shared" si="24"/>
        <v>0</v>
      </c>
      <c r="R27" s="223">
        <f t="shared" si="24"/>
        <v>166666.66666666666</v>
      </c>
      <c r="S27" s="223">
        <f t="shared" si="24"/>
        <v>166666.66666666666</v>
      </c>
      <c r="T27" s="223">
        <f t="shared" si="24"/>
        <v>166666.66666666666</v>
      </c>
      <c r="U27" s="223">
        <f t="shared" si="24"/>
        <v>0</v>
      </c>
      <c r="V27" s="223">
        <f t="shared" si="24"/>
        <v>0</v>
      </c>
      <c r="W27" s="223">
        <f t="shared" si="24"/>
        <v>0</v>
      </c>
      <c r="X27" s="223">
        <f t="shared" si="24"/>
        <v>0</v>
      </c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4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CH27" s="207"/>
      <c r="CI27" s="207"/>
    </row>
    <row r="28" spans="1:87" ht="20.25" customHeight="1">
      <c r="A28" s="207" t="s">
        <v>103</v>
      </c>
      <c r="B28" s="224">
        <f t="shared" si="10"/>
        <v>3605102.736</v>
      </c>
      <c r="C28" s="223">
        <f>'2-C Financial'!$B21</f>
        <v>3605102.736</v>
      </c>
      <c r="D28" s="223">
        <f t="shared" si="11"/>
        <v>0</v>
      </c>
      <c r="E28" s="270">
        <v>0</v>
      </c>
      <c r="F28" s="223">
        <f>IF(AND(F9&gt;$I$4,F9&lt;=$L$4),$C28/(($M$4)/3),0)</f>
        <v>0</v>
      </c>
      <c r="G28" s="223">
        <f t="shared" ref="G28:X28" si="25">IF(AND(G9&gt;$I$4,G9&lt;=$L$4),$C28/(($M$4)/3),0)</f>
        <v>0</v>
      </c>
      <c r="H28" s="223">
        <f t="shared" si="25"/>
        <v>0</v>
      </c>
      <c r="I28" s="223">
        <f t="shared" si="25"/>
        <v>0</v>
      </c>
      <c r="J28" s="223">
        <f t="shared" si="25"/>
        <v>0</v>
      </c>
      <c r="K28" s="223">
        <f t="shared" si="25"/>
        <v>0</v>
      </c>
      <c r="L28" s="223">
        <f t="shared" si="25"/>
        <v>0</v>
      </c>
      <c r="M28" s="223">
        <f t="shared" si="25"/>
        <v>0</v>
      </c>
      <c r="N28" s="223">
        <f t="shared" si="25"/>
        <v>0</v>
      </c>
      <c r="O28" s="223">
        <f t="shared" si="25"/>
        <v>0</v>
      </c>
      <c r="P28" s="223">
        <f t="shared" si="25"/>
        <v>0</v>
      </c>
      <c r="Q28" s="223">
        <f t="shared" si="25"/>
        <v>0</v>
      </c>
      <c r="R28" s="223">
        <f t="shared" si="25"/>
        <v>0</v>
      </c>
      <c r="S28" s="223">
        <f t="shared" si="25"/>
        <v>0</v>
      </c>
      <c r="T28" s="223">
        <f t="shared" si="25"/>
        <v>1802551.368</v>
      </c>
      <c r="U28" s="223">
        <f t="shared" si="25"/>
        <v>1802551.368</v>
      </c>
      <c r="V28" s="223">
        <f t="shared" si="25"/>
        <v>0</v>
      </c>
      <c r="W28" s="223">
        <f t="shared" si="25"/>
        <v>0</v>
      </c>
      <c r="X28" s="223">
        <f t="shared" si="25"/>
        <v>0</v>
      </c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4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CH28" s="207"/>
      <c r="CI28" s="207"/>
    </row>
    <row r="29" spans="1:87" ht="20.25" customHeight="1">
      <c r="A29" s="207" t="s">
        <v>106</v>
      </c>
      <c r="B29" s="224">
        <f t="shared" si="10"/>
        <v>1579536.3000000003</v>
      </c>
      <c r="C29" s="223">
        <f>'2-C Financial'!$B22</f>
        <v>1579536.3000000003</v>
      </c>
      <c r="D29" s="223">
        <f t="shared" si="11"/>
        <v>0</v>
      </c>
      <c r="E29" s="270">
        <v>0</v>
      </c>
      <c r="F29" s="223">
        <f>IF(F$8=1,$C29/COUNTIF($E$8:$X$8,"1"),0)</f>
        <v>0</v>
      </c>
      <c r="G29" s="223">
        <f t="shared" ref="G29:X29" si="26">IF(G$8=1,$C29/COUNTIF($E$8:$X$8,"1"),0)</f>
        <v>0</v>
      </c>
      <c r="H29" s="223">
        <f t="shared" si="26"/>
        <v>0</v>
      </c>
      <c r="I29" s="223">
        <f t="shared" si="26"/>
        <v>0</v>
      </c>
      <c r="J29" s="223">
        <f t="shared" si="26"/>
        <v>0</v>
      </c>
      <c r="K29" s="223">
        <f t="shared" si="26"/>
        <v>0</v>
      </c>
      <c r="L29" s="223">
        <f t="shared" si="26"/>
        <v>0</v>
      </c>
      <c r="M29" s="223">
        <f t="shared" si="26"/>
        <v>0</v>
      </c>
      <c r="N29" s="223">
        <f t="shared" si="26"/>
        <v>0</v>
      </c>
      <c r="O29" s="223">
        <f t="shared" si="26"/>
        <v>0</v>
      </c>
      <c r="P29" s="223">
        <f t="shared" si="26"/>
        <v>0</v>
      </c>
      <c r="Q29" s="223">
        <f t="shared" si="26"/>
        <v>0</v>
      </c>
      <c r="R29" s="223">
        <f t="shared" si="26"/>
        <v>526512.10000000009</v>
      </c>
      <c r="S29" s="223">
        <f t="shared" si="26"/>
        <v>526512.10000000009</v>
      </c>
      <c r="T29" s="223">
        <f t="shared" si="26"/>
        <v>526512.10000000009</v>
      </c>
      <c r="U29" s="223">
        <f t="shared" si="26"/>
        <v>0</v>
      </c>
      <c r="V29" s="223">
        <f t="shared" si="26"/>
        <v>0</v>
      </c>
      <c r="W29" s="223">
        <f t="shared" si="26"/>
        <v>0</v>
      </c>
      <c r="X29" s="223">
        <f t="shared" si="26"/>
        <v>0</v>
      </c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4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CH29" s="207"/>
      <c r="CI29" s="207"/>
    </row>
    <row r="30" spans="1:87" ht="20.25" customHeight="1">
      <c r="A30" s="207" t="s">
        <v>403</v>
      </c>
      <c r="B30" s="224">
        <f t="shared" si="10"/>
        <v>50545.161600000007</v>
      </c>
      <c r="C30" s="223">
        <f>'2-C Financial'!$B23</f>
        <v>50545.161600000007</v>
      </c>
      <c r="D30" s="223">
        <f t="shared" si="11"/>
        <v>0</v>
      </c>
      <c r="E30" s="270">
        <v>0</v>
      </c>
      <c r="F30" s="223">
        <f>IF(AND(F$9&gt;$I$4,F$9&lt;$L$4),$C30,0)</f>
        <v>0</v>
      </c>
      <c r="G30" s="223">
        <f t="shared" ref="G30:X30" si="27">IF(AND(G$9&gt;$I$4,G$9&lt;$L$4),$C30,0)</f>
        <v>0</v>
      </c>
      <c r="H30" s="223">
        <f t="shared" si="27"/>
        <v>0</v>
      </c>
      <c r="I30" s="223">
        <f t="shared" si="27"/>
        <v>0</v>
      </c>
      <c r="J30" s="223">
        <f t="shared" si="27"/>
        <v>0</v>
      </c>
      <c r="K30" s="223">
        <f t="shared" si="27"/>
        <v>0</v>
      </c>
      <c r="L30" s="223">
        <f t="shared" si="27"/>
        <v>0</v>
      </c>
      <c r="M30" s="223">
        <f t="shared" si="27"/>
        <v>0</v>
      </c>
      <c r="N30" s="223">
        <f t="shared" si="27"/>
        <v>0</v>
      </c>
      <c r="O30" s="223">
        <f t="shared" si="27"/>
        <v>0</v>
      </c>
      <c r="P30" s="223">
        <f t="shared" si="27"/>
        <v>0</v>
      </c>
      <c r="Q30" s="223">
        <f t="shared" si="27"/>
        <v>0</v>
      </c>
      <c r="R30" s="223">
        <f t="shared" si="27"/>
        <v>0</v>
      </c>
      <c r="S30" s="223">
        <f t="shared" si="27"/>
        <v>0</v>
      </c>
      <c r="T30" s="223">
        <f t="shared" si="27"/>
        <v>50545.161600000007</v>
      </c>
      <c r="U30" s="223">
        <f t="shared" si="27"/>
        <v>0</v>
      </c>
      <c r="V30" s="223">
        <f t="shared" si="27"/>
        <v>0</v>
      </c>
      <c r="W30" s="223">
        <f t="shared" si="27"/>
        <v>0</v>
      </c>
      <c r="X30" s="223">
        <f t="shared" si="27"/>
        <v>0</v>
      </c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4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CH30" s="207"/>
      <c r="CI30" s="207"/>
    </row>
    <row r="31" spans="1:87" ht="20.25" customHeight="1">
      <c r="A31" s="207" t="s">
        <v>112</v>
      </c>
      <c r="B31" s="224">
        <f t="shared" si="10"/>
        <v>534349.78766400006</v>
      </c>
      <c r="C31" s="223">
        <f>'2-C Financial'!$B24</f>
        <v>534349.78766400006</v>
      </c>
      <c r="D31" s="223">
        <f t="shared" si="11"/>
        <v>0</v>
      </c>
      <c r="E31" s="270">
        <v>0</v>
      </c>
      <c r="F31" s="223">
        <f t="shared" ref="F31:X31" si="28">IF(F$13&gt;0,$C31/(($J$4)/3),0)</f>
        <v>0</v>
      </c>
      <c r="G31" s="223">
        <f t="shared" si="28"/>
        <v>0</v>
      </c>
      <c r="H31" s="223">
        <f t="shared" si="28"/>
        <v>0</v>
      </c>
      <c r="I31" s="223">
        <f t="shared" si="28"/>
        <v>0</v>
      </c>
      <c r="J31" s="223">
        <f t="shared" si="28"/>
        <v>0</v>
      </c>
      <c r="K31" s="223">
        <f t="shared" si="28"/>
        <v>59372.198629333339</v>
      </c>
      <c r="L31" s="223">
        <f t="shared" si="28"/>
        <v>59372.198629333339</v>
      </c>
      <c r="M31" s="223">
        <f t="shared" si="28"/>
        <v>59372.198629333339</v>
      </c>
      <c r="N31" s="223">
        <f t="shared" si="28"/>
        <v>59372.198629333339</v>
      </c>
      <c r="O31" s="223">
        <f t="shared" si="28"/>
        <v>59372.198629333339</v>
      </c>
      <c r="P31" s="223">
        <f t="shared" si="28"/>
        <v>59372.198629333339</v>
      </c>
      <c r="Q31" s="223">
        <f t="shared" si="28"/>
        <v>59372.198629333339</v>
      </c>
      <c r="R31" s="223">
        <f t="shared" si="28"/>
        <v>59372.198629333339</v>
      </c>
      <c r="S31" s="223">
        <f t="shared" si="28"/>
        <v>59372.198629333339</v>
      </c>
      <c r="T31" s="223">
        <f t="shared" si="28"/>
        <v>0</v>
      </c>
      <c r="U31" s="223">
        <f t="shared" si="28"/>
        <v>0</v>
      </c>
      <c r="V31" s="223">
        <f t="shared" si="28"/>
        <v>0</v>
      </c>
      <c r="W31" s="223">
        <f t="shared" si="28"/>
        <v>0</v>
      </c>
      <c r="X31" s="223">
        <f t="shared" si="28"/>
        <v>0</v>
      </c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CH31" s="207"/>
      <c r="CI31" s="207"/>
    </row>
    <row r="32" spans="1:87" ht="20.25" customHeight="1">
      <c r="A32" s="207" t="s">
        <v>165</v>
      </c>
      <c r="B32" s="224">
        <f>SUM(E32:X32)</f>
        <v>-8166666.6666666679</v>
      </c>
      <c r="C32" s="223">
        <f>'2-C Financial'!$B25</f>
        <v>-8166666.666666667</v>
      </c>
      <c r="D32" s="223">
        <f>B32-C32</f>
        <v>0</v>
      </c>
      <c r="E32" s="270">
        <v>0</v>
      </c>
      <c r="F32" s="223">
        <f>$C32*F$13</f>
        <v>0</v>
      </c>
      <c r="G32" s="223">
        <f t="shared" ref="G32:X32" si="29">$C32*G$13</f>
        <v>0</v>
      </c>
      <c r="H32" s="223">
        <f t="shared" si="29"/>
        <v>0</v>
      </c>
      <c r="I32" s="223">
        <f t="shared" si="29"/>
        <v>0</v>
      </c>
      <c r="J32" s="223">
        <f t="shared" si="29"/>
        <v>0</v>
      </c>
      <c r="K32" s="223">
        <f t="shared" si="29"/>
        <v>-211687.6714223845</v>
      </c>
      <c r="L32" s="223">
        <f t="shared" si="29"/>
        <v>-461517.3658815776</v>
      </c>
      <c r="M32" s="223">
        <f t="shared" si="29"/>
        <v>-979143.40723245603</v>
      </c>
      <c r="N32" s="223">
        <f t="shared" si="29"/>
        <v>-1537481.938171111</v>
      </c>
      <c r="O32" s="223">
        <f t="shared" si="29"/>
        <v>-1787005.9012516087</v>
      </c>
      <c r="P32" s="223">
        <f t="shared" si="29"/>
        <v>-1537481.938171111</v>
      </c>
      <c r="Q32" s="223">
        <f t="shared" si="29"/>
        <v>-979143.40723245637</v>
      </c>
      <c r="R32" s="223">
        <f t="shared" si="29"/>
        <v>-461517.36588157713</v>
      </c>
      <c r="S32" s="223">
        <f t="shared" si="29"/>
        <v>-211687.67142238459</v>
      </c>
      <c r="T32" s="223">
        <f t="shared" si="29"/>
        <v>0</v>
      </c>
      <c r="U32" s="223">
        <f t="shared" si="29"/>
        <v>0</v>
      </c>
      <c r="V32" s="223">
        <f t="shared" si="29"/>
        <v>0</v>
      </c>
      <c r="W32" s="223">
        <f t="shared" si="29"/>
        <v>0</v>
      </c>
      <c r="X32" s="223">
        <f t="shared" si="29"/>
        <v>0</v>
      </c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4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CH32" s="207"/>
      <c r="CI32" s="207"/>
    </row>
    <row r="33" spans="1:87" ht="20.25" customHeight="1">
      <c r="A33" s="207" t="s">
        <v>38</v>
      </c>
      <c r="B33" s="224">
        <f ca="1">SUM(E33:X33)</f>
        <v>510000</v>
      </c>
      <c r="C33" s="223">
        <f>'2-C Financial'!$B26</f>
        <v>510000</v>
      </c>
      <c r="D33" s="223">
        <f ca="1">B33-C33</f>
        <v>0</v>
      </c>
      <c r="E33" s="270">
        <v>0</v>
      </c>
      <c r="F33" s="223">
        <f t="shared" ref="F33:X33" ca="1" si="30">IF(AND(G39&gt;0,F39=0),$C$33,0)</f>
        <v>0</v>
      </c>
      <c r="G33" s="223">
        <f t="shared" ca="1" si="30"/>
        <v>0</v>
      </c>
      <c r="H33" s="223">
        <f t="shared" ca="1" si="30"/>
        <v>0</v>
      </c>
      <c r="I33" s="223">
        <f t="shared" ca="1" si="30"/>
        <v>0</v>
      </c>
      <c r="J33" s="223">
        <f t="shared" ca="1" si="30"/>
        <v>0</v>
      </c>
      <c r="K33" s="223">
        <f t="shared" ca="1" si="30"/>
        <v>0</v>
      </c>
      <c r="L33" s="223">
        <f t="shared" ca="1" si="30"/>
        <v>0</v>
      </c>
      <c r="M33" s="223">
        <f t="shared" ca="1" si="30"/>
        <v>510000</v>
      </c>
      <c r="N33" s="223">
        <f t="shared" ca="1" si="30"/>
        <v>0</v>
      </c>
      <c r="O33" s="223">
        <f t="shared" ca="1" si="30"/>
        <v>0</v>
      </c>
      <c r="P33" s="223">
        <f t="shared" ca="1" si="30"/>
        <v>0</v>
      </c>
      <c r="Q33" s="223">
        <f t="shared" ca="1" si="30"/>
        <v>0</v>
      </c>
      <c r="R33" s="223">
        <f t="shared" ca="1" si="30"/>
        <v>0</v>
      </c>
      <c r="S33" s="223">
        <f t="shared" ca="1" si="30"/>
        <v>0</v>
      </c>
      <c r="T33" s="223">
        <f t="shared" ca="1" si="30"/>
        <v>0</v>
      </c>
      <c r="U33" s="223">
        <f t="shared" ca="1" si="30"/>
        <v>0</v>
      </c>
      <c r="V33" s="223">
        <f t="shared" ca="1" si="30"/>
        <v>0</v>
      </c>
      <c r="W33" s="223">
        <f t="shared" ca="1" si="30"/>
        <v>0</v>
      </c>
      <c r="X33" s="223">
        <f t="shared" ca="1" si="30"/>
        <v>0</v>
      </c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4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CH33" s="207"/>
      <c r="CI33" s="207"/>
    </row>
    <row r="34" spans="1:87" ht="20.25" customHeight="1">
      <c r="A34" s="207" t="s">
        <v>407</v>
      </c>
      <c r="B34" s="224">
        <f>SUM(E34:X34)</f>
        <v>8219999.9999999991</v>
      </c>
      <c r="C34" s="223">
        <f>'2-C Financial'!$B27</f>
        <v>8220000</v>
      </c>
      <c r="D34" s="223">
        <f>B34-C34</f>
        <v>0</v>
      </c>
      <c r="E34" s="270">
        <v>0</v>
      </c>
      <c r="F34" s="223">
        <f>IF(F7&lt;&gt;0,$C$34/($J$4/3),0)</f>
        <v>0</v>
      </c>
      <c r="G34" s="223">
        <f t="shared" ref="G34:X34" si="31">IF(G7&lt;&gt;0,$C$34/($J$4/3),0)</f>
        <v>0</v>
      </c>
      <c r="H34" s="223">
        <f t="shared" si="31"/>
        <v>0</v>
      </c>
      <c r="I34" s="223">
        <f t="shared" si="31"/>
        <v>0</v>
      </c>
      <c r="J34" s="223">
        <f t="shared" si="31"/>
        <v>0</v>
      </c>
      <c r="K34" s="223">
        <f t="shared" si="31"/>
        <v>913333.33333333337</v>
      </c>
      <c r="L34" s="223">
        <f t="shared" si="31"/>
        <v>913333.33333333337</v>
      </c>
      <c r="M34" s="223">
        <f t="shared" si="31"/>
        <v>913333.33333333337</v>
      </c>
      <c r="N34" s="223">
        <f t="shared" si="31"/>
        <v>913333.33333333337</v>
      </c>
      <c r="O34" s="223">
        <f t="shared" si="31"/>
        <v>913333.33333333337</v>
      </c>
      <c r="P34" s="223">
        <f t="shared" si="31"/>
        <v>913333.33333333337</v>
      </c>
      <c r="Q34" s="223">
        <f t="shared" si="31"/>
        <v>913333.33333333337</v>
      </c>
      <c r="R34" s="223">
        <f t="shared" si="31"/>
        <v>913333.33333333337</v>
      </c>
      <c r="S34" s="223">
        <f t="shared" si="31"/>
        <v>913333.33333333337</v>
      </c>
      <c r="T34" s="223">
        <f t="shared" si="31"/>
        <v>0</v>
      </c>
      <c r="U34" s="223">
        <f t="shared" si="31"/>
        <v>0</v>
      </c>
      <c r="V34" s="223">
        <f t="shared" si="31"/>
        <v>0</v>
      </c>
      <c r="W34" s="223">
        <f t="shared" si="31"/>
        <v>0</v>
      </c>
      <c r="X34" s="223">
        <f t="shared" si="31"/>
        <v>0</v>
      </c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4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CH34" s="207"/>
      <c r="CI34" s="207"/>
    </row>
    <row r="35" spans="1:87" ht="20.25" customHeight="1">
      <c r="B35" s="252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CH35" s="207"/>
      <c r="CI35" s="207"/>
    </row>
    <row r="36" spans="1:87" s="254" customFormat="1" ht="30" customHeight="1">
      <c r="A36" s="254" t="s">
        <v>408</v>
      </c>
      <c r="B36" s="256">
        <f ca="1">SUM(E36:X36)</f>
        <v>158107384.99859735</v>
      </c>
      <c r="C36" s="255">
        <f>SUM(C14:C34)</f>
        <v>158107384.99859735</v>
      </c>
      <c r="D36" s="255">
        <f ca="1">B36-C36</f>
        <v>0</v>
      </c>
      <c r="E36" s="255">
        <f>SUM(E14:E34)</f>
        <v>0</v>
      </c>
      <c r="F36" s="255">
        <f ca="1">SUM(F14:F34)</f>
        <v>579782.73600000003</v>
      </c>
      <c r="G36" s="255">
        <f t="shared" ref="G36:X36" ca="1" si="32">SUM(G14:G34)</f>
        <v>579782.73600000003</v>
      </c>
      <c r="H36" s="255">
        <f t="shared" ca="1" si="32"/>
        <v>579782.73600000003</v>
      </c>
      <c r="I36" s="255">
        <f t="shared" ca="1" si="32"/>
        <v>579782.73600000003</v>
      </c>
      <c r="J36" s="255">
        <f t="shared" ca="1" si="32"/>
        <v>1408914.6659999997</v>
      </c>
      <c r="K36" s="255">
        <f t="shared" ca="1" si="32"/>
        <v>6801399.8429498011</v>
      </c>
      <c r="L36" s="255">
        <f t="shared" ca="1" si="32"/>
        <v>9316464.0667801164</v>
      </c>
      <c r="M36" s="255">
        <f t="shared" ca="1" si="32"/>
        <v>18040617.106373463</v>
      </c>
      <c r="N36" s="255">
        <f t="shared" ca="1" si="32"/>
        <v>26390832.347984497</v>
      </c>
      <c r="O36" s="255">
        <f t="shared" ca="1" si="32"/>
        <v>30350501.792821586</v>
      </c>
      <c r="P36" s="255">
        <f t="shared" ca="1" si="32"/>
        <v>26390832.347984497</v>
      </c>
      <c r="Q36" s="255">
        <f t="shared" ca="1" si="32"/>
        <v>17248778.276373468</v>
      </c>
      <c r="R36" s="255">
        <f t="shared" ca="1" si="32"/>
        <v>9727804.0034467746</v>
      </c>
      <c r="S36" s="255">
        <f t="shared" ca="1" si="32"/>
        <v>5763282.9396164715</v>
      </c>
      <c r="T36" s="255">
        <f t="shared" ca="1" si="32"/>
        <v>2546275.2962666671</v>
      </c>
      <c r="U36" s="255">
        <f t="shared" ca="1" si="32"/>
        <v>1802551.368</v>
      </c>
      <c r="V36" s="255">
        <f t="shared" ca="1" si="32"/>
        <v>0</v>
      </c>
      <c r="W36" s="255">
        <f t="shared" ca="1" si="32"/>
        <v>0</v>
      </c>
      <c r="X36" s="255">
        <f t="shared" ca="1" si="32"/>
        <v>0</v>
      </c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6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</row>
    <row r="37" spans="1:87" s="227" customFormat="1" ht="20.25" customHeight="1">
      <c r="A37" s="227" t="s">
        <v>493</v>
      </c>
      <c r="B37" s="369">
        <f ca="1">SUM(E37:X37)</f>
        <v>55337584.749509074</v>
      </c>
      <c r="C37" s="228"/>
      <c r="D37" s="230"/>
      <c r="E37" s="228">
        <f>E36</f>
        <v>0</v>
      </c>
      <c r="F37" s="228">
        <f t="shared" ref="F37:X37" ca="1" si="33">IF(((E38+F36)&lt;=$B$38),F36,($B$38-E38))</f>
        <v>579782.73600000003</v>
      </c>
      <c r="G37" s="228">
        <f t="shared" ca="1" si="33"/>
        <v>579782.73600000003</v>
      </c>
      <c r="H37" s="228">
        <f t="shared" ca="1" si="33"/>
        <v>579782.73600000003</v>
      </c>
      <c r="I37" s="228">
        <f t="shared" ca="1" si="33"/>
        <v>579782.73600000003</v>
      </c>
      <c r="J37" s="228">
        <f t="shared" ca="1" si="33"/>
        <v>1408914.6659999997</v>
      </c>
      <c r="K37" s="228">
        <f t="shared" ca="1" si="33"/>
        <v>6801399.8429498011</v>
      </c>
      <c r="L37" s="228">
        <f t="shared" ca="1" si="33"/>
        <v>9316464.0667801164</v>
      </c>
      <c r="M37" s="228">
        <f t="shared" ca="1" si="33"/>
        <v>18040617.106373463</v>
      </c>
      <c r="N37" s="228">
        <f t="shared" ca="1" si="33"/>
        <v>17451058.123405688</v>
      </c>
      <c r="O37" s="228">
        <f t="shared" ca="1" si="33"/>
        <v>0</v>
      </c>
      <c r="P37" s="228">
        <f t="shared" ca="1" si="33"/>
        <v>0</v>
      </c>
      <c r="Q37" s="228">
        <f t="shared" ca="1" si="33"/>
        <v>0</v>
      </c>
      <c r="R37" s="228">
        <f t="shared" ca="1" si="33"/>
        <v>0</v>
      </c>
      <c r="S37" s="228">
        <f t="shared" ca="1" si="33"/>
        <v>0</v>
      </c>
      <c r="T37" s="228">
        <f t="shared" ca="1" si="33"/>
        <v>0</v>
      </c>
      <c r="U37" s="228">
        <f t="shared" ca="1" si="33"/>
        <v>0</v>
      </c>
      <c r="V37" s="228">
        <f t="shared" ca="1" si="33"/>
        <v>0</v>
      </c>
      <c r="W37" s="228">
        <f t="shared" ca="1" si="33"/>
        <v>0</v>
      </c>
      <c r="X37" s="228">
        <f t="shared" ca="1" si="33"/>
        <v>0</v>
      </c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9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</row>
    <row r="38" spans="1:87" ht="20.25" customHeight="1">
      <c r="A38" s="207" t="s">
        <v>494</v>
      </c>
      <c r="B38" s="224">
        <f>'2-C Financial'!$D$15</f>
        <v>55337584.749509074</v>
      </c>
      <c r="C38" s="223"/>
      <c r="D38" s="223"/>
      <c r="E38" s="223">
        <f>IF(OR(E9&lt;$E$4,E9&gt;$L$4),0,IF(SUM($E$37:E37)&lt;=$B38,SUM($E$37:E37),$B$38))</f>
        <v>0</v>
      </c>
      <c r="F38" s="223">
        <f ca="1">IF(OR(F9&lt;$E$4,F9&gt;$L$4),0,IF(SUM($E$37:F37)&lt;=$B38,SUM($E$37:F37),$B$38))</f>
        <v>579782.73600000003</v>
      </c>
      <c r="G38" s="223">
        <f ca="1">IF(OR(G9&lt;$E$4,G9&gt;$L$4),0,IF(SUM($E$37:G37)&lt;=$B38,SUM($E$37:G37),$B$38))</f>
        <v>1159565.4720000001</v>
      </c>
      <c r="H38" s="223">
        <f ca="1">IF(OR(H9&lt;$E$4,H9&gt;$L$4),0,IF(SUM($E$37:H37)&lt;=$B38,SUM($E$37:H37),$B$38))</f>
        <v>1739348.2080000001</v>
      </c>
      <c r="I38" s="223">
        <f ca="1">IF(OR(I9&lt;$E$4,I9&gt;$L$4),0,IF(SUM($E$37:I37)&lt;=$B38,SUM($E$37:I37),$B$38))</f>
        <v>2319130.9440000001</v>
      </c>
      <c r="J38" s="223">
        <f ca="1">IF(OR(J9&lt;$E$4,J9&gt;$L$4),0,IF(SUM($E$37:J37)&lt;=$B38,SUM($E$37:J37),$B$38))</f>
        <v>3728045.61</v>
      </c>
      <c r="K38" s="223">
        <f ca="1">IF(OR(K9&lt;$E$4,K9&gt;$L$4),0,IF(SUM($E$37:K37)&lt;=$B38,SUM($E$37:K37),$B$38))</f>
        <v>10529445.452949801</v>
      </c>
      <c r="L38" s="223">
        <f ca="1">IF(OR(L9&lt;$E$4,L9&gt;$L$4),0,IF(SUM($E$37:L37)&lt;=$B38,SUM($E$37:L37),$B$38))</f>
        <v>19845909.51972992</v>
      </c>
      <c r="M38" s="223">
        <f ca="1">IF(OR(M9&lt;$E$4,M9&gt;$L$4),0,IF(SUM($E$37:M37)&lt;=$B38,SUM($E$37:M37),$B$38))</f>
        <v>37886526.626103386</v>
      </c>
      <c r="N38" s="223">
        <f ca="1">IF(OR(N9&lt;$E$4,N9&gt;$L$4),0,IF(SUM($E$37:N37)&lt;=$B38,SUM($E$37:N37),$B$38))</f>
        <v>55337584.749509074</v>
      </c>
      <c r="O38" s="223">
        <f ca="1">IF(OR(O9&lt;$E$4,O9&gt;$L$4),0,IF(SUM($E$37:O37)&lt;=$B38,SUM($E$37:O37),$B$38))</f>
        <v>55337584.749509074</v>
      </c>
      <c r="P38" s="223">
        <f ca="1">IF(OR(P9&lt;$E$4,P9&gt;$L$4),0,IF(SUM($E$37:P37)&lt;=$B38,SUM($E$37:P37),$B$38))</f>
        <v>55337584.749509074</v>
      </c>
      <c r="Q38" s="223">
        <f ca="1">IF(OR(Q9&lt;$E$4,Q9&gt;$L$4),0,IF(SUM($E$37:Q37)&lt;=$B38,SUM($E$37:Q37),$B$38))</f>
        <v>55337584.749509074</v>
      </c>
      <c r="R38" s="223">
        <f ca="1">IF(OR(R9&lt;$E$4,R9&gt;$L$4),0,IF(SUM($E$37:R37)&lt;=$B38,SUM($E$37:R37),$B$38))</f>
        <v>55337584.749509074</v>
      </c>
      <c r="S38" s="223">
        <f ca="1">IF(OR(S9&lt;$E$4,S9&gt;$L$4),0,IF(SUM($E$37:S37)&lt;=$B38,SUM($E$37:S37),$B$38))</f>
        <v>55337584.749509074</v>
      </c>
      <c r="T38" s="223">
        <f ca="1">IF(OR(T9&lt;$E$4,T9&gt;$L$4),0,IF(SUM($E$37:T37)&lt;=$B38,SUM($E$37:T37),$B$38))</f>
        <v>55337584.749509074</v>
      </c>
      <c r="U38" s="223">
        <f ca="1">IF(OR(U9&lt;$E$4,U9&gt;$L$4),0,IF(SUM($E$37:U37)&lt;=$B38,SUM($E$37:U37),$B$38))</f>
        <v>55337584.749509074</v>
      </c>
      <c r="V38" s="223">
        <f>IF(OR(V9&lt;$E$4,V9&gt;$L$4),0,IF(SUM($E$37:V37)&lt;=$B38,SUM($E$37:V37),$B$38))</f>
        <v>0</v>
      </c>
      <c r="W38" s="223">
        <f>IF(OR(W9&lt;$E$4,W9&gt;$L$4),0,IF(SUM($E$37:W37)&lt;=$B38,SUM($E$37:W37),$B$38))</f>
        <v>0</v>
      </c>
      <c r="X38" s="223">
        <f>IF(OR(X9&lt;$E$4,X9&gt;$L$4),0,IF(SUM($E$37:X37)&lt;=$B38,SUM($E$37:X37),$B$38))</f>
        <v>0</v>
      </c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4"/>
      <c r="AS38" s="223"/>
      <c r="AT38" s="223"/>
      <c r="AU38" s="223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CH38" s="207"/>
      <c r="CI38" s="207"/>
    </row>
    <row r="39" spans="1:87" ht="20.25" customHeight="1">
      <c r="A39" s="207" t="s">
        <v>495</v>
      </c>
      <c r="B39" s="365">
        <f ca="1">SUM(E39:X39)</f>
        <v>102769800.24908826</v>
      </c>
      <c r="C39" s="223"/>
      <c r="D39" s="223"/>
      <c r="E39" s="223">
        <f t="shared" ref="E39:X39" si="34">IF(E36&gt;E37,E36-E37,0)</f>
        <v>0</v>
      </c>
      <c r="F39" s="223">
        <f t="shared" ca="1" si="34"/>
        <v>0</v>
      </c>
      <c r="G39" s="223">
        <f t="shared" ca="1" si="34"/>
        <v>0</v>
      </c>
      <c r="H39" s="223">
        <f t="shared" ca="1" si="34"/>
        <v>0</v>
      </c>
      <c r="I39" s="223">
        <f t="shared" ca="1" si="34"/>
        <v>0</v>
      </c>
      <c r="J39" s="223">
        <f t="shared" ca="1" si="34"/>
        <v>0</v>
      </c>
      <c r="K39" s="223">
        <f t="shared" ca="1" si="34"/>
        <v>0</v>
      </c>
      <c r="L39" s="223">
        <f t="shared" ca="1" si="34"/>
        <v>0</v>
      </c>
      <c r="M39" s="223">
        <f t="shared" ca="1" si="34"/>
        <v>0</v>
      </c>
      <c r="N39" s="223">
        <f t="shared" ca="1" si="34"/>
        <v>8939774.224578809</v>
      </c>
      <c r="O39" s="223">
        <f t="shared" ca="1" si="34"/>
        <v>30350501.792821586</v>
      </c>
      <c r="P39" s="223">
        <f t="shared" ca="1" si="34"/>
        <v>26390832.347984497</v>
      </c>
      <c r="Q39" s="223">
        <f t="shared" ca="1" si="34"/>
        <v>17248778.276373468</v>
      </c>
      <c r="R39" s="223">
        <f t="shared" ca="1" si="34"/>
        <v>9727804.0034467746</v>
      </c>
      <c r="S39" s="223">
        <f t="shared" ca="1" si="34"/>
        <v>5763282.9396164715</v>
      </c>
      <c r="T39" s="223">
        <f t="shared" ca="1" si="34"/>
        <v>2546275.2962666671</v>
      </c>
      <c r="U39" s="223">
        <f t="shared" ca="1" si="34"/>
        <v>1802551.368</v>
      </c>
      <c r="V39" s="223">
        <f t="shared" ca="1" si="34"/>
        <v>0</v>
      </c>
      <c r="W39" s="223">
        <f t="shared" ca="1" si="34"/>
        <v>0</v>
      </c>
      <c r="X39" s="223">
        <f t="shared" ca="1" si="34"/>
        <v>0</v>
      </c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4"/>
      <c r="AS39" s="245"/>
      <c r="AT39" s="223"/>
      <c r="AU39" s="223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CH39" s="207"/>
      <c r="CI39" s="207"/>
    </row>
    <row r="40" spans="1:87" s="227" customFormat="1" ht="20.25" customHeight="1">
      <c r="A40" s="227" t="s">
        <v>496</v>
      </c>
      <c r="B40" s="229">
        <f ca="1">-B39</f>
        <v>-102769800.24908826</v>
      </c>
      <c r="C40" s="228"/>
      <c r="D40" s="228"/>
      <c r="E40" s="228">
        <f>IF(E6=$K$3,$B$40,0)</f>
        <v>0</v>
      </c>
      <c r="F40" s="228">
        <f t="shared" ref="F40:X40" si="35">IF(F6=$L$3,$B$40,0)</f>
        <v>0</v>
      </c>
      <c r="G40" s="228">
        <f t="shared" si="35"/>
        <v>0</v>
      </c>
      <c r="H40" s="228">
        <f t="shared" si="35"/>
        <v>0</v>
      </c>
      <c r="I40" s="228">
        <f t="shared" si="35"/>
        <v>0</v>
      </c>
      <c r="J40" s="228">
        <f t="shared" si="35"/>
        <v>0</v>
      </c>
      <c r="K40" s="228">
        <f t="shared" si="35"/>
        <v>0</v>
      </c>
      <c r="L40" s="228">
        <f t="shared" si="35"/>
        <v>0</v>
      </c>
      <c r="M40" s="228">
        <f t="shared" si="35"/>
        <v>0</v>
      </c>
      <c r="N40" s="228">
        <f t="shared" si="35"/>
        <v>0</v>
      </c>
      <c r="O40" s="228">
        <f t="shared" si="35"/>
        <v>0</v>
      </c>
      <c r="P40" s="228">
        <f t="shared" si="35"/>
        <v>0</v>
      </c>
      <c r="Q40" s="228">
        <f t="shared" si="35"/>
        <v>0</v>
      </c>
      <c r="R40" s="228">
        <f t="shared" si="35"/>
        <v>0</v>
      </c>
      <c r="S40" s="228">
        <f t="shared" si="35"/>
        <v>0</v>
      </c>
      <c r="T40" s="228">
        <f t="shared" si="35"/>
        <v>0</v>
      </c>
      <c r="U40" s="228">
        <f t="shared" ca="1" si="35"/>
        <v>-102769800.24908826</v>
      </c>
      <c r="V40" s="228">
        <f t="shared" si="35"/>
        <v>0</v>
      </c>
      <c r="W40" s="228">
        <f t="shared" si="35"/>
        <v>0</v>
      </c>
      <c r="X40" s="228">
        <f t="shared" si="35"/>
        <v>0</v>
      </c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9"/>
      <c r="AS40" s="228"/>
      <c r="AT40" s="228"/>
      <c r="AU40" s="228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</row>
    <row r="41" spans="1:87" s="366" customFormat="1" ht="20.25" customHeight="1">
      <c r="A41" s="371" t="s">
        <v>497</v>
      </c>
      <c r="B41" s="372">
        <f>'2-C Financial'!$D$9</f>
        <v>0</v>
      </c>
      <c r="C41" s="373"/>
      <c r="D41" s="373"/>
      <c r="E41" s="373">
        <f t="shared" ref="E41:X41" si="36">IF(E6=$L$3,$B41,0)</f>
        <v>0</v>
      </c>
      <c r="F41" s="373">
        <f t="shared" si="36"/>
        <v>0</v>
      </c>
      <c r="G41" s="373">
        <f t="shared" si="36"/>
        <v>0</v>
      </c>
      <c r="H41" s="373">
        <f t="shared" si="36"/>
        <v>0</v>
      </c>
      <c r="I41" s="373">
        <f t="shared" si="36"/>
        <v>0</v>
      </c>
      <c r="J41" s="373">
        <f t="shared" si="36"/>
        <v>0</v>
      </c>
      <c r="K41" s="373">
        <f t="shared" si="36"/>
        <v>0</v>
      </c>
      <c r="L41" s="373">
        <f t="shared" si="36"/>
        <v>0</v>
      </c>
      <c r="M41" s="373">
        <f t="shared" si="36"/>
        <v>0</v>
      </c>
      <c r="N41" s="373">
        <f t="shared" si="36"/>
        <v>0</v>
      </c>
      <c r="O41" s="373">
        <f t="shared" si="36"/>
        <v>0</v>
      </c>
      <c r="P41" s="373">
        <f t="shared" si="36"/>
        <v>0</v>
      </c>
      <c r="Q41" s="373">
        <f t="shared" si="36"/>
        <v>0</v>
      </c>
      <c r="R41" s="373">
        <f t="shared" si="36"/>
        <v>0</v>
      </c>
      <c r="S41" s="373">
        <f t="shared" si="36"/>
        <v>0</v>
      </c>
      <c r="T41" s="373">
        <f t="shared" si="36"/>
        <v>0</v>
      </c>
      <c r="U41" s="373">
        <f>IF(U6=$L$3,$B41,0)</f>
        <v>0</v>
      </c>
      <c r="V41" s="373">
        <f t="shared" si="36"/>
        <v>0</v>
      </c>
      <c r="W41" s="373">
        <f t="shared" si="36"/>
        <v>0</v>
      </c>
      <c r="X41" s="373">
        <f t="shared" si="36"/>
        <v>0</v>
      </c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2"/>
      <c r="AS41" s="373"/>
      <c r="AT41" s="373"/>
      <c r="AU41" s="373"/>
      <c r="AV41" s="374"/>
      <c r="AW41" s="374"/>
      <c r="AX41" s="374"/>
      <c r="AY41" s="374"/>
      <c r="AZ41" s="374"/>
      <c r="BA41" s="374"/>
      <c r="BB41" s="374"/>
      <c r="BC41" s="374"/>
      <c r="BD41" s="374"/>
      <c r="BE41" s="374"/>
      <c r="BF41" s="374"/>
      <c r="BG41" s="374"/>
      <c r="BH41" s="374"/>
      <c r="BI41" s="374"/>
      <c r="BJ41" s="374"/>
      <c r="BK41" s="374"/>
      <c r="BL41" s="374"/>
      <c r="BM41" s="374"/>
      <c r="BN41" s="374"/>
      <c r="BO41" s="374"/>
      <c r="BP41" s="374"/>
      <c r="BQ41" s="374"/>
      <c r="BR41" s="374"/>
      <c r="BS41" s="374"/>
      <c r="BT41" s="374"/>
      <c r="BU41" s="374"/>
      <c r="BV41" s="371"/>
      <c r="BW41" s="371"/>
      <c r="BX41" s="371"/>
      <c r="BY41" s="371"/>
      <c r="BZ41" s="371"/>
      <c r="CA41" s="371"/>
      <c r="CB41" s="371"/>
      <c r="CC41" s="371"/>
      <c r="CD41" s="371"/>
      <c r="CE41" s="371"/>
      <c r="CF41" s="371"/>
      <c r="CG41" s="371"/>
      <c r="CH41" s="371"/>
      <c r="CI41" s="371"/>
    </row>
    <row r="42" spans="1:87" s="488" customFormat="1" ht="20.25" customHeight="1">
      <c r="A42" s="1092" t="s">
        <v>498</v>
      </c>
      <c r="B42" s="838">
        <f ca="1">SUM(E42:AR42)</f>
        <v>106923609.45418662</v>
      </c>
      <c r="C42" s="1095"/>
      <c r="D42" s="1095"/>
      <c r="E42" s="1095">
        <f ca="1">IF(E41&gt;$B$39,0,IF('2-C Financial'!$D$11="NO",IF(E6&lt;&gt;$L$3,0,'2-C Amortization'!$E$4),IF(E6=$L$3,'2-C Amortization'!$E$4,0)))</f>
        <v>0</v>
      </c>
      <c r="F42" s="1095">
        <f ca="1">IF(F41&gt;$B$39,0,IF('2-C Financial'!$D$11="NO",IF(F6&lt;&gt;$L$3,0,'2-C Amortization'!$E$4),IF(F6=$L$3,'2-C Amortization'!$E$4,0)))</f>
        <v>0</v>
      </c>
      <c r="G42" s="1095">
        <f ca="1">IF(G41&gt;$B$39,0,IF('2-C Financial'!$D$11="NO",IF(G6&lt;&gt;$L$3,0,'2-C Amortization'!$E$4),IF(G6=$L$3,'2-C Amortization'!$E$4,0)))</f>
        <v>0</v>
      </c>
      <c r="H42" s="1095">
        <f ca="1">IF(H41&gt;$B$39,0,IF('2-C Financial'!$D$11="NO",IF(H6&lt;&gt;$L$3,0,'2-C Amortization'!$E$4),IF(H6=$L$3,'2-C Amortization'!$E$4,0)))</f>
        <v>0</v>
      </c>
      <c r="I42" s="1095">
        <f ca="1">IF(I41&gt;$B$39,0,IF('2-C Financial'!$D$11="NO",IF(I6&lt;&gt;$L$3,0,'2-C Amortization'!$E$4),IF(I6=$L$3,'2-C Amortization'!$E$4,0)))</f>
        <v>0</v>
      </c>
      <c r="J42" s="1095">
        <f ca="1">IF(J41&gt;$B$39,0,IF('2-C Financial'!$D$11="NO",IF(J6&lt;&gt;$L$3,0,'2-C Amortization'!$E$4),IF(J6=$L$3,'2-C Amortization'!$E$4,0)))</f>
        <v>0</v>
      </c>
      <c r="K42" s="1095">
        <f ca="1">IF(K41&gt;$B$39,0,IF('2-C Financial'!$D$11="NO",IF(K6&lt;&gt;$L$3,0,'2-C Amortization'!$E$4),IF(K6=$L$3,'2-C Amortization'!$E$4,0)))</f>
        <v>0</v>
      </c>
      <c r="L42" s="1095">
        <f ca="1">IF(L41&gt;$B$39,0,IF('2-C Financial'!$D$11="NO",IF(L6&lt;&gt;$L$3,0,'2-C Amortization'!$E$4),IF(L6=$L$3,'2-C Amortization'!$E$4,0)))</f>
        <v>0</v>
      </c>
      <c r="M42" s="1095">
        <f ca="1">IF(M41&gt;$B$39,0,IF('2-C Financial'!$D$11="NO",IF(M6&lt;&gt;$L$3,0,'2-C Amortization'!$E$4),IF(M6=$L$3,'2-C Amortization'!$E$4,0)))</f>
        <v>0</v>
      </c>
      <c r="N42" s="1095">
        <f ca="1">IF(N41&gt;$B$39,0,IF('2-C Financial'!$D$11="NO",IF(N6&lt;&gt;$L$3,0,'2-C Amortization'!$E$4),IF(N6=$L$3,'2-C Amortization'!$E$4,0)))</f>
        <v>0</v>
      </c>
      <c r="O42" s="1095">
        <f ca="1">IF(O41&gt;$B$39,0,IF('2-C Financial'!$D$11="NO",IF(O6&lt;&gt;$L$3,0,'2-C Amortization'!$E$4),IF(O6=$L$3,'2-C Amortization'!$E$4,0)))</f>
        <v>0</v>
      </c>
      <c r="P42" s="1095">
        <f ca="1">IF(P41&gt;$B$39,0,IF('2-C Financial'!$D$11="NO",IF(P6&lt;&gt;$L$3,0,'2-C Amortization'!$E$4),IF(P6=$L$3,'2-C Amortization'!$E$4,0)))</f>
        <v>0</v>
      </c>
      <c r="Q42" s="1095">
        <f ca="1">IF(Q41&gt;$B$39,0,IF('2-C Financial'!$D$11="NO",IF(Q6&lt;&gt;$L$3,0,'2-C Amortization'!$E$4),IF(Q6=$L$3,'2-C Amortization'!$E$4,0)))</f>
        <v>0</v>
      </c>
      <c r="R42" s="1095">
        <f ca="1">IF(R41&gt;$B$39,0,IF('2-C Financial'!$D$11="NO",IF(R6&lt;&gt;$L$3,0,'2-C Amortization'!$E$4),IF(R6=$L$3,'2-C Amortization'!$E$4,0)))</f>
        <v>0</v>
      </c>
      <c r="S42" s="1095">
        <f ca="1">IF(S41&gt;$B$39,0,IF('2-C Financial'!$D$11="NO",IF(S6&lt;&gt;$L$3,0,'2-C Amortization'!$E$4),IF(S6=$L$3,'2-C Amortization'!$E$4,0)))</f>
        <v>0</v>
      </c>
      <c r="T42" s="1095">
        <f ca="1">IF(T41&gt;$B$39,0,IF('2-C Financial'!$D$11="NO",IF(T6&lt;&gt;$L$3,0,'2-C Amortization'!$E$4),IF(T6=$L$3,'2-C Amortization'!$E$4,0)))</f>
        <v>0</v>
      </c>
      <c r="U42" s="1095">
        <f ca="1">IF(U41&gt;$B$39,0,IF('2-C Financial'!$D$11="NO",IF(U6&lt;&gt;$L$3,0,'2-C Amortization'!$E$4),IF(U6=$L$3,'2-C Amortization'!$E$4,0)))</f>
        <v>106923609.45418662</v>
      </c>
      <c r="V42" s="1095">
        <f ca="1">IF(V41&gt;$B$39,0,IF('2-C Financial'!$D$11="NO",IF(V6&lt;&gt;$L$3,0,'2-C Amortization'!$E$4),IF(V6=$L$3,'2-C Amortization'!$E$4,0)))</f>
        <v>0</v>
      </c>
      <c r="W42" s="1095">
        <f ca="1">IF(W41&gt;$B$39,0,IF('2-C Financial'!$D$11="NO",IF(W6&lt;&gt;$L$3,0,'2-C Amortization'!$E$4),IF(W6=$L$3,'2-C Amortization'!$E$4,0)))</f>
        <v>0</v>
      </c>
      <c r="X42" s="1095">
        <f ca="1">IF(X41&gt;$B$39,0,IF('2-C Financial'!$D$11="NO",IF(X6&lt;&gt;$L$3,0,'2-C Amortization'!$E$4),IF(X6=$L$3,'2-C Amortization'!$E$4,0)))</f>
        <v>0</v>
      </c>
      <c r="Y42" s="1095"/>
      <c r="Z42" s="1095"/>
      <c r="AA42" s="1095"/>
      <c r="AB42" s="1095"/>
      <c r="AC42" s="1095"/>
      <c r="AD42" s="1095"/>
      <c r="AE42" s="1095"/>
      <c r="AF42" s="1095"/>
      <c r="AG42" s="1095"/>
      <c r="AH42" s="1095"/>
      <c r="AI42" s="1095"/>
      <c r="AJ42" s="1095"/>
      <c r="AK42" s="1095"/>
      <c r="AL42" s="1095"/>
      <c r="AM42" s="1095"/>
      <c r="AN42" s="1095"/>
      <c r="AO42" s="1095"/>
      <c r="AP42" s="1095"/>
      <c r="AQ42" s="1095"/>
      <c r="AR42" s="764"/>
      <c r="AS42" s="1095"/>
      <c r="AT42" s="1095"/>
      <c r="AU42" s="1095"/>
      <c r="AV42" s="1093"/>
      <c r="AW42" s="1093"/>
      <c r="AX42" s="1093"/>
      <c r="AY42" s="1093"/>
      <c r="AZ42" s="1093"/>
      <c r="BA42" s="1093"/>
      <c r="BB42" s="1093"/>
      <c r="BC42" s="1093"/>
      <c r="BD42" s="1093"/>
      <c r="BE42" s="1093"/>
      <c r="BF42" s="1093"/>
      <c r="BG42" s="1093"/>
      <c r="BH42" s="1093"/>
      <c r="BI42" s="1093"/>
      <c r="BJ42" s="1093"/>
      <c r="BK42" s="1093"/>
      <c r="BL42" s="1093"/>
      <c r="BM42" s="1093"/>
      <c r="BN42" s="1093"/>
      <c r="BO42" s="1093"/>
      <c r="BP42" s="1093"/>
      <c r="BQ42" s="1093"/>
      <c r="BR42" s="1093"/>
      <c r="BS42" s="1093"/>
      <c r="BT42" s="1093"/>
      <c r="BU42" s="1093"/>
      <c r="BV42" s="1092"/>
      <c r="BW42" s="1092"/>
      <c r="BX42" s="1092"/>
      <c r="BY42" s="1092"/>
      <c r="BZ42" s="1092"/>
      <c r="CA42" s="1092"/>
      <c r="CB42" s="1092"/>
      <c r="CC42" s="1092"/>
      <c r="CD42" s="1092"/>
      <c r="CE42" s="1092"/>
      <c r="CF42" s="1092"/>
      <c r="CG42" s="1092"/>
      <c r="CH42" s="1092"/>
      <c r="CI42" s="1092"/>
    </row>
    <row r="43" spans="1:87" ht="20.25" customHeight="1">
      <c r="A43" s="207" t="s">
        <v>517</v>
      </c>
      <c r="B43" s="224">
        <f ca="1">SUM(E43:AR43)</f>
        <v>-534618.04727093305</v>
      </c>
      <c r="C43" s="223"/>
      <c r="D43" s="223"/>
      <c r="E43" s="223">
        <f ca="1">IF(E42&gt;0,-'2-C Amortization'!$F$11,0)</f>
        <v>0</v>
      </c>
      <c r="F43" s="223">
        <f ca="1">IF(F42&gt;0,-'2-C Amortization'!$F$11,0)</f>
        <v>0</v>
      </c>
      <c r="G43" s="223">
        <f ca="1">IF(G42&gt;0,-'2-C Amortization'!$F$11,0)</f>
        <v>0</v>
      </c>
      <c r="H43" s="223">
        <f ca="1">IF(H42&gt;0,-'2-C Amortization'!$F$11,0)</f>
        <v>0</v>
      </c>
      <c r="I43" s="223">
        <f ca="1">IF(I42&gt;0,-'2-C Amortization'!$F$11,0)</f>
        <v>0</v>
      </c>
      <c r="J43" s="223">
        <f ca="1">IF(J42&gt;0,-'2-C Amortization'!$F$11,0)</f>
        <v>0</v>
      </c>
      <c r="K43" s="223">
        <f ca="1">IF(K42&gt;0,-'2-C Amortization'!$F$11,0)</f>
        <v>0</v>
      </c>
      <c r="L43" s="223">
        <f ca="1">IF(L42&gt;0,-'2-C Amortization'!$F$11,0)</f>
        <v>0</v>
      </c>
      <c r="M43" s="223">
        <f ca="1">IF(M42&gt;0,-'2-C Amortization'!$F$11,0)</f>
        <v>0</v>
      </c>
      <c r="N43" s="223">
        <f ca="1">IF(N42&gt;0,-'2-C Amortization'!$F$11,0)</f>
        <v>0</v>
      </c>
      <c r="O43" s="223">
        <f ca="1">IF(O42&gt;0,-'2-C Amortization'!$F$11,0)</f>
        <v>0</v>
      </c>
      <c r="P43" s="223">
        <f ca="1">IF(P42&gt;0,-'2-C Amortization'!$F$11,0)</f>
        <v>0</v>
      </c>
      <c r="Q43" s="223">
        <f ca="1">IF(Q42&gt;0,-'2-C Amortization'!$F$11,0)</f>
        <v>0</v>
      </c>
      <c r="R43" s="223">
        <f ca="1">IF(R42&gt;0,-'2-C Amortization'!$F$11,0)</f>
        <v>0</v>
      </c>
      <c r="S43" s="223">
        <f ca="1">IF(S42&gt;0,-'2-C Amortization'!$F$11,0)</f>
        <v>0</v>
      </c>
      <c r="T43" s="223">
        <f ca="1">IF(T42&gt;0,-'2-C Amortization'!$F$11,0)</f>
        <v>0</v>
      </c>
      <c r="U43" s="223">
        <f ca="1">IF(U42&gt;0,-'2-C Amortization'!$F$11,0)</f>
        <v>-534618.04727093305</v>
      </c>
      <c r="V43" s="223">
        <f ca="1">IF(V42&gt;0,-'2-C Amortization'!$F$11,0)</f>
        <v>0</v>
      </c>
      <c r="W43" s="223">
        <f ca="1">IF(W42&gt;0,-'2-C Amortization'!$F$11,0)</f>
        <v>0</v>
      </c>
      <c r="X43" s="223">
        <f ca="1">IF(X42&gt;0,-'2-C Amortization'!$F$11,0)</f>
        <v>0</v>
      </c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4"/>
      <c r="AS43" s="223"/>
      <c r="AT43" s="223"/>
      <c r="AU43" s="223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CH43" s="207"/>
      <c r="CI43" s="207"/>
    </row>
    <row r="44" spans="1:87" s="227" customFormat="1" ht="20.25" customHeight="1">
      <c r="A44" s="227" t="s">
        <v>499</v>
      </c>
      <c r="B44" s="369">
        <f ca="1">SUM(E44:AR44)</f>
        <v>3619191.1578274276</v>
      </c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>
        <f ca="1">U40+U41+U42+U43</f>
        <v>3619191.1578274276</v>
      </c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9"/>
      <c r="AS44" s="228"/>
      <c r="AT44" s="228"/>
      <c r="AU44" s="228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</row>
    <row r="45" spans="1:87" s="227" customFormat="1" ht="20.25" customHeight="1">
      <c r="A45" s="227" t="s">
        <v>500</v>
      </c>
      <c r="B45" s="369">
        <f>SUM(E45:AR45)</f>
        <v>48676071.53398823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>
        <f>'2-C Financial'!$D$5*(1+'2-C Financial'!$D$7)^(Y5-1)/4</f>
        <v>2269295.1649000002</v>
      </c>
      <c r="Z45" s="228">
        <f>'2-C Financial'!$D$5*(1+'2-C Financial'!$D$7)^(Z5-1)/4</f>
        <v>2269295.1649000002</v>
      </c>
      <c r="AA45" s="228">
        <f>'2-C Financial'!$D$5*(1+'2-C Financial'!$D$7)^(AA5-1)/4</f>
        <v>2269295.1649000002</v>
      </c>
      <c r="AB45" s="228">
        <f>'2-C Financial'!$D$5*(1+'2-C Financial'!$D$7)^(AB5-1)/4</f>
        <v>2269295.1649000002</v>
      </c>
      <c r="AC45" s="228">
        <f>'2-C Financial'!$D$5*(1+'2-C Financial'!$D$7)^(AC5-1)/4</f>
        <v>2348720.4956715</v>
      </c>
      <c r="AD45" s="228">
        <f>'2-C Financial'!$D$5*(1+'2-C Financial'!$D$7)^(AD5-1)/4</f>
        <v>2348720.4956715</v>
      </c>
      <c r="AE45" s="228">
        <f>'2-C Financial'!$D$5*(1+'2-C Financial'!$D$7)^(AE5-1)/4</f>
        <v>2348720.4956715</v>
      </c>
      <c r="AF45" s="228">
        <f>'2-C Financial'!$D$5*(1+'2-C Financial'!$D$7)^(AF5-1)/4</f>
        <v>2348720.4956715</v>
      </c>
      <c r="AG45" s="228">
        <f>'2-C Financial'!$D$5*(1+'2-C Financial'!$D$7)^(AG5-1)/4</f>
        <v>2430925.7130200025</v>
      </c>
      <c r="AH45" s="228">
        <f>'2-C Financial'!$D$5*(1+'2-C Financial'!$D$7)^(AH5-1)/4</f>
        <v>2430925.7130200025</v>
      </c>
      <c r="AI45" s="228">
        <f>'2-C Financial'!$D$5*(1+'2-C Financial'!$D$7)^(AI5-1)/4</f>
        <v>2430925.7130200025</v>
      </c>
      <c r="AJ45" s="228">
        <f>'2-C Financial'!$D$5*(1+'2-C Financial'!$D$7)^(AJ5-1)/4</f>
        <v>2430925.7130200025</v>
      </c>
      <c r="AK45" s="228">
        <f>'2-C Financial'!$D$5*(1+'2-C Financial'!$D$7)^(AK5-1)/4</f>
        <v>2516008.1129757022</v>
      </c>
      <c r="AL45" s="228">
        <f>'2-C Financial'!$D$5*(1+'2-C Financial'!$D$7)^(AL5-1)/4</f>
        <v>2516008.1129757022</v>
      </c>
      <c r="AM45" s="228">
        <f>'2-C Financial'!$D$5*(1+'2-C Financial'!$D$7)^(AM5-1)/4</f>
        <v>2516008.1129757022</v>
      </c>
      <c r="AN45" s="228">
        <f>'2-C Financial'!$D$5*(1+'2-C Financial'!$D$7)^(AN5-1)/4</f>
        <v>2516008.1129757022</v>
      </c>
      <c r="AO45" s="228">
        <f>'2-C Financial'!$D$5*(1+'2-C Financial'!$D$7)^(AO5-1)/4</f>
        <v>2604068.3969298517</v>
      </c>
      <c r="AP45" s="228">
        <f>'2-C Financial'!$D$5*(1+'2-C Financial'!$D$7)^(AP5-1)/4</f>
        <v>2604068.3969298517</v>
      </c>
      <c r="AQ45" s="228">
        <f>'2-C Financial'!$D$5*(1+'2-C Financial'!$D$7)^(AQ5-1)/4</f>
        <v>2604068.3969298517</v>
      </c>
      <c r="AR45" s="229">
        <f>'2-C Financial'!$D$5*(1+'2-C Financial'!$D$7)^(AR5-1)/4</f>
        <v>2604068.3969298517</v>
      </c>
      <c r="AS45" s="228"/>
      <c r="AT45" s="228"/>
      <c r="AU45" s="228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  <c r="BH45" s="230"/>
      <c r="BI45" s="230"/>
      <c r="BJ45" s="230"/>
      <c r="BK45" s="230"/>
      <c r="BL45" s="230"/>
      <c r="BM45" s="230"/>
      <c r="BN45" s="230"/>
      <c r="BO45" s="230"/>
      <c r="BP45" s="230"/>
      <c r="BQ45" s="230"/>
      <c r="BR45" s="230"/>
      <c r="BS45" s="230"/>
      <c r="BT45" s="230"/>
      <c r="BU45" s="230"/>
    </row>
    <row r="46" spans="1:87" ht="20.25" customHeight="1">
      <c r="A46" s="207" t="s">
        <v>501</v>
      </c>
      <c r="B46" s="224">
        <f>SUM(E46:AR46)</f>
        <v>-36099011.315024331</v>
      </c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 cm="1">
        <f t="array" ref="Y46">INDEX('2-C Amortization'!$J$4:$J$23,MATCH(1,('2-C Amortization'!$I$4:$I$23=Y7)*('2-C Amortization'!$H$4:$H$23=Y5),0),0)</f>
        <v>-1537026.8859039326</v>
      </c>
      <c r="Z46" s="223" cm="1">
        <f t="array" ref="Z46">INDEX('2-C Amortization'!$J$4:$J$23,MATCH(1,('2-C Amortization'!$I$4:$I$23=Z7)*('2-C Amortization'!$H$4:$H$23=Z5),0),0)</f>
        <v>-1537026.8859039326</v>
      </c>
      <c r="AA46" s="223" cm="1">
        <f t="array" ref="AA46">INDEX('2-C Amortization'!$J$4:$J$23,MATCH(1,('2-C Amortization'!$I$4:$I$23=AA7)*('2-C Amortization'!$H$4:$H$23=AA5),0),0)</f>
        <v>-1537026.8859039326</v>
      </c>
      <c r="AB46" s="223" cm="1">
        <f t="array" ref="AB46">INDEX('2-C Amortization'!$J$4:$J$23,MATCH(1,('2-C Amortization'!$I$4:$I$23=AB7)*('2-C Amortization'!$H$4:$H$23=AB5),0),0)</f>
        <v>-1537026.8859039326</v>
      </c>
      <c r="AC46" s="223" cm="1">
        <f t="array" ref="AC46">INDEX('2-C Amortization'!$J$4:$J$23,MATCH(1,('2-C Amortization'!$I$4:$I$23=AC7)*('2-C Amortization'!$H$4:$H$23=AC5),0),0)</f>
        <v>-1871931.4857130367</v>
      </c>
      <c r="AD46" s="223" cm="1">
        <f t="array" ref="AD46">INDEX('2-C Amortization'!$J$4:$J$23,MATCH(1,('2-C Amortization'!$I$4:$I$23=AD7)*('2-C Amortization'!$H$4:$H$23=AD5),0),0)</f>
        <v>-1871931.4857130372</v>
      </c>
      <c r="AE46" s="223" cm="1">
        <f t="array" ref="AE46">INDEX('2-C Amortization'!$J$4:$J$23,MATCH(1,('2-C Amortization'!$I$4:$I$23=AE7)*('2-C Amortization'!$H$4:$H$23=AE5),0),0)</f>
        <v>-1871931.4857130372</v>
      </c>
      <c r="AF46" s="223" cm="1">
        <f t="array" ref="AF46">INDEX('2-C Amortization'!$J$4:$J$23,MATCH(1,('2-C Amortization'!$I$4:$I$23=AF7)*('2-C Amortization'!$H$4:$H$23=AF5),0),0)</f>
        <v>-1871931.4857130372</v>
      </c>
      <c r="AG46" s="223" cm="1">
        <f t="array" ref="AG46">INDEX('2-C Amortization'!$J$4:$J$23,MATCH(1,('2-C Amortization'!$I$4:$I$23=AG7)*('2-C Amortization'!$H$4:$H$23=AG5),0),0)</f>
        <v>-1871931.4857130372</v>
      </c>
      <c r="AH46" s="223" cm="1">
        <f t="array" ref="AH46">INDEX('2-C Amortization'!$J$4:$J$23,MATCH(1,('2-C Amortization'!$I$4:$I$23=AH7)*('2-C Amortization'!$H$4:$H$23=AH5),0),0)</f>
        <v>-1871931.4857130372</v>
      </c>
      <c r="AI46" s="223" cm="1">
        <f t="array" ref="AI46">INDEX('2-C Amortization'!$J$4:$J$23,MATCH(1,('2-C Amortization'!$I$4:$I$23=AI7)*('2-C Amortization'!$H$4:$H$23=AI5),0),0)</f>
        <v>-1871931.4857130372</v>
      </c>
      <c r="AJ46" s="223" cm="1">
        <f t="array" ref="AJ46">INDEX('2-C Amortization'!$J$4:$J$23,MATCH(1,('2-C Amortization'!$I$4:$I$23=AJ7)*('2-C Amortization'!$H$4:$H$23=AJ5),0),0)</f>
        <v>-1871931.4857130372</v>
      </c>
      <c r="AK46" s="223" cm="1">
        <f t="array" ref="AK46">INDEX('2-C Amortization'!$J$4:$J$23,MATCH(1,('2-C Amortization'!$I$4:$I$23=AK7)*('2-C Amortization'!$H$4:$H$23=AK5),0),0)</f>
        <v>-1871931.4857130372</v>
      </c>
      <c r="AL46" s="223" cm="1">
        <f t="array" ref="AL46">INDEX('2-C Amortization'!$J$4:$J$23,MATCH(1,('2-C Amortization'!$I$4:$I$23=AL7)*('2-C Amortization'!$H$4:$H$23=AL5),0),0)</f>
        <v>-1871931.4857130372</v>
      </c>
      <c r="AM46" s="223" cm="1">
        <f t="array" ref="AM46">INDEX('2-C Amortization'!$J$4:$J$23,MATCH(1,('2-C Amortization'!$I$4:$I$23=AM7)*('2-C Amortization'!$H$4:$H$23=AM5),0),0)</f>
        <v>-1871931.4857130372</v>
      </c>
      <c r="AN46" s="223" cm="1">
        <f t="array" ref="AN46">INDEX('2-C Amortization'!$J$4:$J$23,MATCH(1,('2-C Amortization'!$I$4:$I$23=AN7)*('2-C Amortization'!$H$4:$H$23=AN5),0),0)</f>
        <v>-1871931.4857130372</v>
      </c>
      <c r="AO46" s="223" cm="1">
        <f t="array" ref="AO46">INDEX('2-C Amortization'!$J$4:$J$23,MATCH(1,('2-C Amortization'!$I$4:$I$23=AO7)*('2-C Amortization'!$H$4:$H$23=AO5),0),0)</f>
        <v>-1871931.4857130372</v>
      </c>
      <c r="AP46" s="223" cm="1">
        <f t="array" ref="AP46">INDEX('2-C Amortization'!$J$4:$J$23,MATCH(1,('2-C Amortization'!$I$4:$I$23=AP7)*('2-C Amortization'!$H$4:$H$23=AP5),0),0)</f>
        <v>-1871931.4857130372</v>
      </c>
      <c r="AQ46" s="223" cm="1">
        <f t="array" ref="AQ46">INDEX('2-C Amortization'!$J$4:$J$23,MATCH(1,('2-C Amortization'!$I$4:$I$23=AQ7)*('2-C Amortization'!$H$4:$H$23=AQ5),0),0)</f>
        <v>-1871931.4857130372</v>
      </c>
      <c r="AR46" s="224" cm="1">
        <f t="array" ref="AR46">INDEX('2-C Amortization'!$J$4:$J$23,MATCH(1,('2-C Amortization'!$I$4:$I$23=AR7)*('2-C Amortization'!$H$4:$H$23=AR5),0),0)</f>
        <v>-1871931.4857130372</v>
      </c>
      <c r="AS46" s="223"/>
      <c r="AT46" s="223"/>
      <c r="AU46" s="223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CH46" s="207"/>
      <c r="CI46" s="207"/>
    </row>
    <row r="47" spans="1:87" ht="20.25" customHeight="1">
      <c r="A47" s="207" t="s">
        <v>502</v>
      </c>
      <c r="B47" s="224">
        <f ca="1">-B42</f>
        <v>-106923609.45418662</v>
      </c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N47" s="223"/>
      <c r="AO47" s="223"/>
      <c r="AP47" s="223"/>
      <c r="AQ47" s="223"/>
      <c r="AR47" s="224">
        <f>-'2-C Amortization'!$E$13</f>
        <v>-100914923.14853932</v>
      </c>
      <c r="AS47" s="223"/>
      <c r="AT47" s="223"/>
      <c r="AU47" s="223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CH47" s="207"/>
      <c r="CI47" s="207"/>
    </row>
    <row r="48" spans="1:87" ht="20.25" customHeight="1">
      <c r="A48" s="207" t="s">
        <v>503</v>
      </c>
      <c r="B48" s="224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837">
        <f t="shared" ref="Y48:AR48" si="37">Y45/(-Y46)</f>
        <v>1.4764186532530412</v>
      </c>
      <c r="Z48" s="837">
        <f t="shared" si="37"/>
        <v>1.4764186532530412</v>
      </c>
      <c r="AA48" s="837">
        <f t="shared" si="37"/>
        <v>1.4764186532530412</v>
      </c>
      <c r="AB48" s="837">
        <f t="shared" si="37"/>
        <v>1.4764186532530412</v>
      </c>
      <c r="AC48" s="837">
        <f t="shared" si="37"/>
        <v>1.2547043060055425</v>
      </c>
      <c r="AD48" s="837">
        <f t="shared" si="37"/>
        <v>1.2547043060055423</v>
      </c>
      <c r="AE48" s="837">
        <f t="shared" si="37"/>
        <v>1.2547043060055423</v>
      </c>
      <c r="AF48" s="837">
        <f t="shared" si="37"/>
        <v>1.2547043060055423</v>
      </c>
      <c r="AG48" s="837">
        <f t="shared" si="37"/>
        <v>1.2986189567157362</v>
      </c>
      <c r="AH48" s="837">
        <f t="shared" si="37"/>
        <v>1.2986189567157362</v>
      </c>
      <c r="AI48" s="837">
        <f t="shared" si="37"/>
        <v>1.2986189567157362</v>
      </c>
      <c r="AJ48" s="837">
        <f t="shared" si="37"/>
        <v>1.2986189567157362</v>
      </c>
      <c r="AK48" s="837">
        <f t="shared" si="37"/>
        <v>1.3440706202007868</v>
      </c>
      <c r="AL48" s="837">
        <f t="shared" si="37"/>
        <v>1.3440706202007868</v>
      </c>
      <c r="AM48" s="837">
        <f t="shared" si="37"/>
        <v>1.3440706202007868</v>
      </c>
      <c r="AN48" s="837">
        <f t="shared" si="37"/>
        <v>1.3440706202007868</v>
      </c>
      <c r="AO48" s="837">
        <f t="shared" si="37"/>
        <v>1.3911130919078143</v>
      </c>
      <c r="AP48" s="837">
        <f t="shared" si="37"/>
        <v>1.3911130919078143</v>
      </c>
      <c r="AQ48" s="837">
        <f t="shared" si="37"/>
        <v>1.3911130919078143</v>
      </c>
      <c r="AR48" s="839">
        <f t="shared" si="37"/>
        <v>1.3911130919078143</v>
      </c>
      <c r="AS48" s="223"/>
      <c r="AT48" s="223"/>
      <c r="AU48" s="223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CH48" s="207"/>
      <c r="CI48" s="207"/>
    </row>
    <row r="49" spans="1:87" s="371" customFormat="1" ht="20.25" customHeight="1">
      <c r="A49" s="371" t="s">
        <v>504</v>
      </c>
      <c r="B49" s="372">
        <f>'2-C Financial'!$D$10</f>
        <v>243008203.30496958</v>
      </c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N49" s="373"/>
      <c r="AO49" s="373"/>
      <c r="AP49" s="373"/>
      <c r="AQ49" s="373"/>
      <c r="AR49" s="372">
        <f>B49</f>
        <v>243008203.30496958</v>
      </c>
      <c r="AS49" s="373"/>
      <c r="AT49" s="373"/>
      <c r="AU49" s="373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</row>
    <row r="50" spans="1:87" s="367" customFormat="1" ht="20.25" customHeight="1">
      <c r="A50" s="1092" t="s">
        <v>505</v>
      </c>
      <c r="B50" s="224">
        <f ca="1">SUM(E50:AR50)</f>
        <v>158289531.53322157</v>
      </c>
      <c r="C50" s="1095"/>
      <c r="D50" s="1095"/>
      <c r="E50" s="1095"/>
      <c r="F50" s="1095"/>
      <c r="G50" s="1095"/>
      <c r="H50" s="1095"/>
      <c r="I50" s="1095"/>
      <c r="J50" s="1095"/>
      <c r="K50" s="1095"/>
      <c r="L50" s="1095"/>
      <c r="M50" s="1095"/>
      <c r="N50" s="1095"/>
      <c r="O50" s="1095"/>
      <c r="P50" s="1095"/>
      <c r="Q50" s="1095"/>
      <c r="R50" s="1095"/>
      <c r="S50" s="1095"/>
      <c r="T50" s="1095"/>
      <c r="U50" s="1095">
        <f ca="1">SUM(U45,U44,U46,U47,U49)</f>
        <v>3619191.1578274276</v>
      </c>
      <c r="V50" s="1095"/>
      <c r="W50" s="1095"/>
      <c r="X50" s="1095"/>
      <c r="Y50" s="1095">
        <f t="shared" ref="Y50:AR50" si="38">SUM(Y45,Y44,Y46,Y47,Y49)</f>
        <v>732268.27899606759</v>
      </c>
      <c r="Z50" s="1095">
        <f t="shared" si="38"/>
        <v>732268.27899606759</v>
      </c>
      <c r="AA50" s="1095">
        <f t="shared" si="38"/>
        <v>732268.27899606759</v>
      </c>
      <c r="AB50" s="1095">
        <f t="shared" si="38"/>
        <v>732268.27899606759</v>
      </c>
      <c r="AC50" s="1095">
        <f t="shared" si="38"/>
        <v>476789.00995846326</v>
      </c>
      <c r="AD50" s="1095">
        <f t="shared" si="38"/>
        <v>476789.00995846279</v>
      </c>
      <c r="AE50" s="1095">
        <f t="shared" si="38"/>
        <v>476789.00995846279</v>
      </c>
      <c r="AF50" s="1095">
        <f t="shared" si="38"/>
        <v>476789.00995846279</v>
      </c>
      <c r="AG50" s="1095">
        <f t="shared" si="38"/>
        <v>558994.22730696527</v>
      </c>
      <c r="AH50" s="1095">
        <f t="shared" si="38"/>
        <v>558994.22730696527</v>
      </c>
      <c r="AI50" s="1095">
        <f t="shared" si="38"/>
        <v>558994.22730696527</v>
      </c>
      <c r="AJ50" s="1095">
        <f t="shared" si="38"/>
        <v>558994.22730696527</v>
      </c>
      <c r="AK50" s="1095">
        <f t="shared" si="38"/>
        <v>644076.62726266496</v>
      </c>
      <c r="AL50" s="1095">
        <f t="shared" si="38"/>
        <v>644076.62726266496</v>
      </c>
      <c r="AM50" s="1095">
        <f t="shared" si="38"/>
        <v>644076.62726266496</v>
      </c>
      <c r="AN50" s="1095">
        <f t="shared" si="38"/>
        <v>644076.62726266496</v>
      </c>
      <c r="AO50" s="1095">
        <f t="shared" si="38"/>
        <v>732136.91121681454</v>
      </c>
      <c r="AP50" s="1095">
        <f t="shared" si="38"/>
        <v>732136.91121681454</v>
      </c>
      <c r="AQ50" s="1095">
        <f t="shared" si="38"/>
        <v>732136.91121681454</v>
      </c>
      <c r="AR50" s="764">
        <f t="shared" si="38"/>
        <v>142825417.06764707</v>
      </c>
      <c r="AS50" s="1095"/>
      <c r="AT50" s="1095"/>
      <c r="AU50" s="1095"/>
      <c r="AV50" s="1093"/>
      <c r="AW50" s="1093"/>
      <c r="AX50" s="1093"/>
      <c r="AY50" s="1093"/>
      <c r="AZ50" s="1093"/>
      <c r="BA50" s="1093"/>
      <c r="BB50" s="1093"/>
      <c r="BC50" s="1093"/>
      <c r="BD50" s="1093"/>
      <c r="BE50" s="1093"/>
      <c r="BF50" s="1093"/>
      <c r="BG50" s="1093"/>
      <c r="BH50" s="1093"/>
      <c r="BI50" s="1093"/>
      <c r="BJ50" s="1093"/>
      <c r="BK50" s="1093"/>
      <c r="BL50" s="1093"/>
      <c r="BM50" s="1093"/>
      <c r="BN50" s="1093"/>
      <c r="BO50" s="1093"/>
      <c r="BP50" s="1093"/>
      <c r="BQ50" s="1093"/>
      <c r="BR50" s="1093"/>
      <c r="BS50" s="1093"/>
      <c r="BT50" s="1093"/>
      <c r="BU50" s="1093"/>
      <c r="BV50" s="1092"/>
      <c r="BW50" s="1092"/>
      <c r="BX50" s="1092"/>
      <c r="BY50" s="1092"/>
      <c r="BZ50" s="1092"/>
      <c r="CA50" s="1092"/>
      <c r="CB50" s="1092"/>
      <c r="CC50" s="1092"/>
      <c r="CD50" s="1092"/>
      <c r="CE50" s="1092"/>
      <c r="CF50" s="1092"/>
      <c r="CG50" s="1092"/>
      <c r="CH50" s="1092"/>
      <c r="CI50" s="1092"/>
    </row>
    <row r="51" spans="1:87" ht="20.25" customHeight="1">
      <c r="B51" s="224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4"/>
      <c r="AS51" s="223"/>
      <c r="AT51" s="223"/>
      <c r="AU51" s="223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CH51" s="207"/>
      <c r="CI51" s="207"/>
    </row>
    <row r="52" spans="1:87" s="238" customFormat="1" ht="20.25" customHeight="1">
      <c r="A52" s="241" t="s">
        <v>506</v>
      </c>
      <c r="B52" s="253"/>
      <c r="C52" s="242"/>
      <c r="D52" s="242"/>
      <c r="E52" s="242"/>
      <c r="F52" s="242"/>
      <c r="G52" s="242"/>
      <c r="H52" s="242"/>
      <c r="I52" s="242"/>
      <c r="J52" s="242"/>
      <c r="K52" s="243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4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T52" s="239"/>
      <c r="BU52" s="239"/>
    </row>
    <row r="53" spans="1:87" ht="20.25" customHeight="1">
      <c r="A53" s="207" t="s">
        <v>507</v>
      </c>
      <c r="B53" s="224">
        <f ca="1">SUM(F53:AR53)</f>
        <v>133576889.84036048</v>
      </c>
      <c r="C53" s="223"/>
      <c r="D53" s="223"/>
      <c r="E53" s="223">
        <f t="shared" ref="E53:AR53" si="39">SUM(-E36,E45,E49)</f>
        <v>0</v>
      </c>
      <c r="F53" s="223">
        <f t="shared" ca="1" si="39"/>
        <v>-579782.73600000003</v>
      </c>
      <c r="G53" s="223">
        <f t="shared" ca="1" si="39"/>
        <v>-579782.73600000003</v>
      </c>
      <c r="H53" s="223">
        <f t="shared" ca="1" si="39"/>
        <v>-579782.73600000003</v>
      </c>
      <c r="I53" s="223">
        <f t="shared" ca="1" si="39"/>
        <v>-579782.73600000003</v>
      </c>
      <c r="J53" s="223">
        <f t="shared" ca="1" si="39"/>
        <v>-1408914.6659999997</v>
      </c>
      <c r="K53" s="223">
        <f t="shared" ca="1" si="39"/>
        <v>-6801399.8429498011</v>
      </c>
      <c r="L53" s="223">
        <f t="shared" ca="1" si="39"/>
        <v>-9316464.0667801164</v>
      </c>
      <c r="M53" s="223">
        <f t="shared" ca="1" si="39"/>
        <v>-18040617.106373463</v>
      </c>
      <c r="N53" s="223">
        <f t="shared" ca="1" si="39"/>
        <v>-26390832.347984497</v>
      </c>
      <c r="O53" s="223">
        <f t="shared" ca="1" si="39"/>
        <v>-30350501.792821586</v>
      </c>
      <c r="P53" s="223">
        <f t="shared" ca="1" si="39"/>
        <v>-26390832.347984497</v>
      </c>
      <c r="Q53" s="223">
        <f t="shared" ca="1" si="39"/>
        <v>-17248778.276373468</v>
      </c>
      <c r="R53" s="223">
        <f t="shared" ca="1" si="39"/>
        <v>-9727804.0034467746</v>
      </c>
      <c r="S53" s="223">
        <f t="shared" ca="1" si="39"/>
        <v>-5763282.9396164715</v>
      </c>
      <c r="T53" s="223">
        <f t="shared" ca="1" si="39"/>
        <v>-2546275.2962666671</v>
      </c>
      <c r="U53" s="223">
        <f t="shared" ca="1" si="39"/>
        <v>-1802551.368</v>
      </c>
      <c r="V53" s="223">
        <f t="shared" ca="1" si="39"/>
        <v>0</v>
      </c>
      <c r="W53" s="223">
        <f t="shared" ca="1" si="39"/>
        <v>0</v>
      </c>
      <c r="X53" s="223">
        <f t="shared" ca="1" si="39"/>
        <v>0</v>
      </c>
      <c r="Y53" s="223">
        <f t="shared" si="39"/>
        <v>2269295.1649000002</v>
      </c>
      <c r="Z53" s="223">
        <f t="shared" si="39"/>
        <v>2269295.1649000002</v>
      </c>
      <c r="AA53" s="223">
        <f t="shared" si="39"/>
        <v>2269295.1649000002</v>
      </c>
      <c r="AB53" s="223">
        <f t="shared" si="39"/>
        <v>2269295.1649000002</v>
      </c>
      <c r="AC53" s="223">
        <f t="shared" si="39"/>
        <v>2348720.4956715</v>
      </c>
      <c r="AD53" s="223">
        <f t="shared" si="39"/>
        <v>2348720.4956715</v>
      </c>
      <c r="AE53" s="223">
        <f t="shared" si="39"/>
        <v>2348720.4956715</v>
      </c>
      <c r="AF53" s="223">
        <f t="shared" si="39"/>
        <v>2348720.4956715</v>
      </c>
      <c r="AG53" s="223">
        <f t="shared" si="39"/>
        <v>2430925.7130200025</v>
      </c>
      <c r="AH53" s="223">
        <f t="shared" si="39"/>
        <v>2430925.7130200025</v>
      </c>
      <c r="AI53" s="223">
        <f t="shared" si="39"/>
        <v>2430925.7130200025</v>
      </c>
      <c r="AJ53" s="223">
        <f t="shared" si="39"/>
        <v>2430925.7130200025</v>
      </c>
      <c r="AK53" s="223">
        <f t="shared" si="39"/>
        <v>2516008.1129757022</v>
      </c>
      <c r="AL53" s="223">
        <f t="shared" si="39"/>
        <v>2516008.1129757022</v>
      </c>
      <c r="AM53" s="223">
        <f t="shared" si="39"/>
        <v>2516008.1129757022</v>
      </c>
      <c r="AN53" s="223">
        <f t="shared" si="39"/>
        <v>2516008.1129757022</v>
      </c>
      <c r="AO53" s="223">
        <f t="shared" si="39"/>
        <v>2604068.3969298517</v>
      </c>
      <c r="AP53" s="223">
        <f t="shared" si="39"/>
        <v>2604068.3969298517</v>
      </c>
      <c r="AQ53" s="223">
        <f t="shared" si="39"/>
        <v>2604068.3969298517</v>
      </c>
      <c r="AR53" s="224">
        <f t="shared" si="39"/>
        <v>245612271.70189944</v>
      </c>
      <c r="AS53" s="231"/>
      <c r="BT53" s="209"/>
      <c r="BU53" s="209"/>
      <c r="CH53" s="207"/>
      <c r="CI53" s="207"/>
    </row>
    <row r="54" spans="1:87" ht="20.25" customHeight="1">
      <c r="A54" s="207" t="s">
        <v>508</v>
      </c>
      <c r="B54" s="777">
        <f ca="1">IF(B53&lt;0,0,IRR(F53:AR53))</f>
        <v>2.2649007147792499E-2</v>
      </c>
      <c r="G54" s="223"/>
      <c r="BT54" s="209"/>
      <c r="BU54" s="209"/>
      <c r="CH54" s="207"/>
      <c r="CI54" s="207"/>
    </row>
    <row r="55" spans="1:87" ht="20.25" customHeight="1">
      <c r="A55" s="207" t="s">
        <v>509</v>
      </c>
      <c r="B55" s="368">
        <f ca="1">POWER((1+B54),4)-1</f>
        <v>9.3720630612297073E-2</v>
      </c>
      <c r="G55" s="223"/>
      <c r="BT55" s="209"/>
      <c r="BU55" s="209"/>
      <c r="CH55" s="207"/>
      <c r="CI55" s="207"/>
    </row>
    <row r="56" spans="1:87" s="238" customFormat="1" ht="20.25" customHeight="1">
      <c r="A56" s="241" t="s">
        <v>510</v>
      </c>
      <c r="B56" s="253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6"/>
      <c r="AS56" s="240"/>
      <c r="AT56" s="225"/>
      <c r="AU56" s="225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</row>
    <row r="57" spans="1:87" ht="20.25" customHeight="1">
      <c r="A57" s="207" t="s">
        <v>511</v>
      </c>
      <c r="B57" s="224">
        <f ca="1">SUM(F57:AR57)</f>
        <v>102951946.78371251</v>
      </c>
      <c r="C57" s="223"/>
      <c r="D57" s="223"/>
      <c r="E57" s="223">
        <f t="shared" ref="E57:AR57" si="40">SUM(-E37,E50)</f>
        <v>0</v>
      </c>
      <c r="F57" s="223">
        <f t="shared" ca="1" si="40"/>
        <v>-579782.73600000003</v>
      </c>
      <c r="G57" s="223">
        <f t="shared" ca="1" si="40"/>
        <v>-579782.73600000003</v>
      </c>
      <c r="H57" s="223">
        <f t="shared" ca="1" si="40"/>
        <v>-579782.73600000003</v>
      </c>
      <c r="I57" s="223">
        <f t="shared" ca="1" si="40"/>
        <v>-579782.73600000003</v>
      </c>
      <c r="J57" s="223">
        <f t="shared" ca="1" si="40"/>
        <v>-1408914.6659999997</v>
      </c>
      <c r="K57" s="223">
        <f t="shared" ca="1" si="40"/>
        <v>-6801399.8429498011</v>
      </c>
      <c r="L57" s="223">
        <f t="shared" ca="1" si="40"/>
        <v>-9316464.0667801164</v>
      </c>
      <c r="M57" s="223">
        <f t="shared" ca="1" si="40"/>
        <v>-18040617.106373463</v>
      </c>
      <c r="N57" s="223">
        <f t="shared" ca="1" si="40"/>
        <v>-17451058.123405688</v>
      </c>
      <c r="O57" s="223">
        <f t="shared" ca="1" si="40"/>
        <v>0</v>
      </c>
      <c r="P57" s="223">
        <f t="shared" ca="1" si="40"/>
        <v>0</v>
      </c>
      <c r="Q57" s="223">
        <f t="shared" ca="1" si="40"/>
        <v>0</v>
      </c>
      <c r="R57" s="223">
        <f t="shared" ca="1" si="40"/>
        <v>0</v>
      </c>
      <c r="S57" s="223">
        <f t="shared" ca="1" si="40"/>
        <v>0</v>
      </c>
      <c r="T57" s="223">
        <f t="shared" ca="1" si="40"/>
        <v>0</v>
      </c>
      <c r="U57" s="223">
        <f t="shared" ca="1" si="40"/>
        <v>3619191.1578274276</v>
      </c>
      <c r="V57" s="223">
        <f t="shared" ca="1" si="40"/>
        <v>0</v>
      </c>
      <c r="W57" s="223">
        <f t="shared" ca="1" si="40"/>
        <v>0</v>
      </c>
      <c r="X57" s="223">
        <f t="shared" ca="1" si="40"/>
        <v>0</v>
      </c>
      <c r="Y57" s="223">
        <f t="shared" si="40"/>
        <v>732268.27899606759</v>
      </c>
      <c r="Z57" s="223">
        <f t="shared" si="40"/>
        <v>732268.27899606759</v>
      </c>
      <c r="AA57" s="223">
        <f t="shared" si="40"/>
        <v>732268.27899606759</v>
      </c>
      <c r="AB57" s="223">
        <f t="shared" si="40"/>
        <v>732268.27899606759</v>
      </c>
      <c r="AC57" s="223">
        <f t="shared" si="40"/>
        <v>476789.00995846326</v>
      </c>
      <c r="AD57" s="223">
        <f t="shared" si="40"/>
        <v>476789.00995846279</v>
      </c>
      <c r="AE57" s="223">
        <f t="shared" si="40"/>
        <v>476789.00995846279</v>
      </c>
      <c r="AF57" s="223">
        <f t="shared" si="40"/>
        <v>476789.00995846279</v>
      </c>
      <c r="AG57" s="223">
        <f t="shared" si="40"/>
        <v>558994.22730696527</v>
      </c>
      <c r="AH57" s="223">
        <f t="shared" si="40"/>
        <v>558994.22730696527</v>
      </c>
      <c r="AI57" s="223">
        <f t="shared" si="40"/>
        <v>558994.22730696527</v>
      </c>
      <c r="AJ57" s="223">
        <f t="shared" si="40"/>
        <v>558994.22730696527</v>
      </c>
      <c r="AK57" s="223">
        <f t="shared" si="40"/>
        <v>644076.62726266496</v>
      </c>
      <c r="AL57" s="223">
        <f t="shared" si="40"/>
        <v>644076.62726266496</v>
      </c>
      <c r="AM57" s="223">
        <f t="shared" si="40"/>
        <v>644076.62726266496</v>
      </c>
      <c r="AN57" s="223">
        <f t="shared" si="40"/>
        <v>644076.62726266496</v>
      </c>
      <c r="AO57" s="223">
        <f t="shared" si="40"/>
        <v>732136.91121681454</v>
      </c>
      <c r="AP57" s="223">
        <f t="shared" si="40"/>
        <v>732136.91121681454</v>
      </c>
      <c r="AQ57" s="223">
        <f t="shared" si="40"/>
        <v>732136.91121681454</v>
      </c>
      <c r="AR57" s="224">
        <f t="shared" si="40"/>
        <v>142825417.06764707</v>
      </c>
      <c r="AS57" s="233"/>
      <c r="AT57" s="223"/>
      <c r="AU57" s="223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CH57" s="207"/>
      <c r="CI57" s="207"/>
    </row>
    <row r="58" spans="1:87" ht="20.25" customHeight="1">
      <c r="A58" s="207" t="s">
        <v>512</v>
      </c>
      <c r="B58" s="777">
        <f ca="1">IF(B57&lt;0,0,IRR(F57:AR57))</f>
        <v>3.5965824581444483E-2</v>
      </c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2"/>
      <c r="AT58" s="231"/>
      <c r="AU58" s="231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CH58" s="207"/>
      <c r="CI58" s="207"/>
    </row>
    <row r="59" spans="1:87" ht="20.25" customHeight="1">
      <c r="A59" s="207" t="s">
        <v>377</v>
      </c>
      <c r="B59" s="368">
        <f ca="1">POWER((1+B58),4)-1</f>
        <v>0.15181230780812949</v>
      </c>
      <c r="C59" s="234"/>
      <c r="D59" s="234"/>
      <c r="E59" s="234"/>
      <c r="F59" s="234"/>
      <c r="G59" s="234"/>
      <c r="H59" s="234"/>
      <c r="I59" s="234"/>
      <c r="J59" s="234"/>
      <c r="K59" s="235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6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T59" s="209"/>
      <c r="BU59" s="209"/>
      <c r="CH59" s="207"/>
      <c r="CI59" s="207"/>
    </row>
    <row r="160" spans="2:2">
      <c r="B160" s="370">
        <v>0.06</v>
      </c>
    </row>
    <row r="181" spans="1:7">
      <c r="E181" s="207">
        <f>A98</f>
        <v>0</v>
      </c>
    </row>
    <row r="182" spans="1:7">
      <c r="E182" s="207" t="s">
        <v>513</v>
      </c>
      <c r="F182" s="207" t="s">
        <v>514</v>
      </c>
    </row>
    <row r="183" spans="1:7">
      <c r="A183" s="207" t="s">
        <v>515</v>
      </c>
      <c r="B183" s="208">
        <f>IFERROR(G183/$B$100,0)</f>
        <v>0</v>
      </c>
      <c r="E183" s="207">
        <f>IFERROR(G183/$B$99,0)</f>
        <v>0</v>
      </c>
      <c r="G183" s="207">
        <f>G106</f>
        <v>0</v>
      </c>
    </row>
    <row r="184" spans="1:7">
      <c r="A184" s="207" t="s">
        <v>516</v>
      </c>
      <c r="F184" s="237">
        <f>IFERROR(G184/$B$166,0)</f>
        <v>0</v>
      </c>
      <c r="G184" s="207">
        <f>G166</f>
        <v>0</v>
      </c>
    </row>
    <row r="185" spans="1:7">
      <c r="G185" s="207">
        <f>SUM(G183:G184)</f>
        <v>0</v>
      </c>
    </row>
  </sheetData>
  <mergeCells count="6">
    <mergeCell ref="BG4:BI4"/>
    <mergeCell ref="A2:A4"/>
    <mergeCell ref="E2:G2"/>
    <mergeCell ref="H2:J2"/>
    <mergeCell ref="K2:M2"/>
    <mergeCell ref="BA4:BE4"/>
  </mergeCells>
  <conditionalFormatting sqref="C9:D10">
    <cfRule type="cellIs" dxfId="103" priority="1" operator="equal">
      <formula>#REF!</formula>
    </cfRule>
    <cfRule type="cellIs" dxfId="102" priority="2" operator="equal">
      <formula>#REF!</formula>
    </cfRule>
    <cfRule type="cellIs" dxfId="101" priority="3" operator="equal">
      <formula>#REF!</formula>
    </cfRule>
    <cfRule type="cellIs" dxfId="100" priority="4" operator="equal">
      <formula>#REF!</formula>
    </cfRule>
  </conditionalFormatting>
  <pageMargins left="0.7" right="0.7" top="0.75" bottom="0.75" header="0.3" footer="0.3"/>
  <pageSetup paperSize="3" orientation="landscape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35774-DF2B-4D20-8D8E-F3CFF9928856}">
  <dimension ref="A1:T86"/>
  <sheetViews>
    <sheetView workbookViewId="0">
      <selection activeCell="E3" sqref="E3"/>
    </sheetView>
  </sheetViews>
  <sheetFormatPr defaultRowHeight="14.45"/>
  <cols>
    <col min="2" max="2" width="2" customWidth="1"/>
    <col min="4" max="4" width="10.42578125" bestFit="1" customWidth="1"/>
    <col min="5" max="5" width="15" bestFit="1" customWidth="1"/>
    <col min="6" max="6" width="15" customWidth="1"/>
    <col min="7" max="7" width="15.7109375" bestFit="1" customWidth="1"/>
    <col min="8" max="8" width="15" bestFit="1" customWidth="1"/>
    <col min="9" max="9" width="17.140625" bestFit="1" customWidth="1"/>
    <col min="10" max="10" width="13.5703125" bestFit="1" customWidth="1"/>
    <col min="11" max="11" width="13.5703125" customWidth="1"/>
    <col min="12" max="12" width="15" bestFit="1" customWidth="1"/>
    <col min="13" max="15" width="13.5703125" bestFit="1" customWidth="1"/>
    <col min="18" max="18" width="13.5703125" bestFit="1" customWidth="1"/>
    <col min="20" max="20" width="13.5703125" bestFit="1" customWidth="1"/>
  </cols>
  <sheetData>
    <row r="1" spans="1:13">
      <c r="A1" t="s">
        <v>102</v>
      </c>
    </row>
    <row r="3" spans="1:13">
      <c r="B3" s="778" t="s">
        <v>90</v>
      </c>
      <c r="C3" s="842"/>
      <c r="D3" s="842"/>
      <c r="E3" s="913">
        <f>IFERROR(INDEX(Assumptions!$J$27:$L$36,MATCH(A1,Assumptions!$J$27:$J$36,0),3),0)</f>
        <v>0.44</v>
      </c>
      <c r="H3" s="778" t="s">
        <v>518</v>
      </c>
      <c r="I3" s="1098"/>
      <c r="J3" s="827"/>
      <c r="L3" s="804" t="s">
        <v>519</v>
      </c>
      <c r="M3" s="805"/>
    </row>
    <row r="4" spans="1:13">
      <c r="B4" s="778" t="s">
        <v>520</v>
      </c>
      <c r="C4" s="1099"/>
      <c r="D4" s="779"/>
      <c r="E4" s="780">
        <f>'2-C Financial'!$D$10*E3</f>
        <v>106923609.45418662</v>
      </c>
      <c r="F4" s="823"/>
      <c r="H4" s="832">
        <v>1</v>
      </c>
      <c r="I4" s="831">
        <v>1</v>
      </c>
      <c r="J4" s="791">
        <f>SUMIFS('2-C Amortization'!$K$26:$K$86,'2-C Amortization'!$E$26:$E$86,H4,'2-C Amortization'!$F$26:$F$86,I4)</f>
        <v>-1537026.8859039326</v>
      </c>
      <c r="L4" s="806">
        <v>1</v>
      </c>
      <c r="M4" s="791">
        <f t="shared" ref="M4:M13" si="0">SUMIF($E$26:$E$386,L4,$K$26:$K$386)</f>
        <v>-6148107.5436157295</v>
      </c>
    </row>
    <row r="5" spans="1:13">
      <c r="B5" s="1026" t="s">
        <v>521</v>
      </c>
      <c r="C5" s="781"/>
      <c r="D5" s="782"/>
      <c r="E5" s="783">
        <f>'2-C DRAW'!U9+1</f>
        <v>48214</v>
      </c>
      <c r="F5" s="824"/>
      <c r="H5" s="832">
        <v>1</v>
      </c>
      <c r="I5" s="831">
        <v>2</v>
      </c>
      <c r="J5" s="791">
        <f>SUMIFS('2-C Amortization'!$K$26:$K$86,'2-C Amortization'!$E$26:$E$86,H5,'2-C Amortization'!$F$26:$F$86,I5)</f>
        <v>-1537026.8859039326</v>
      </c>
      <c r="L5" s="806">
        <f>L4+1</f>
        <v>2</v>
      </c>
      <c r="M5" s="791">
        <f t="shared" si="0"/>
        <v>-7487725.9428521506</v>
      </c>
    </row>
    <row r="6" spans="1:13">
      <c r="B6" s="1026" t="s">
        <v>522</v>
      </c>
      <c r="C6" s="781"/>
      <c r="D6" s="782"/>
      <c r="E6" s="784">
        <f>Assumptions!$L$41</f>
        <v>5</v>
      </c>
      <c r="F6" s="825"/>
      <c r="G6" s="785"/>
      <c r="H6" s="832">
        <v>1</v>
      </c>
      <c r="I6" s="831">
        <v>3</v>
      </c>
      <c r="J6" s="791">
        <f>SUMIFS('2-C Amortization'!$K$26:$K$86,'2-C Amortization'!$E$26:$E$86,H6,'2-C Amortization'!$F$26:$F$86,I6)</f>
        <v>-1537026.8859039326</v>
      </c>
      <c r="L6" s="806">
        <f t="shared" ref="L6:L13" si="1">L5+1</f>
        <v>3</v>
      </c>
      <c r="M6" s="791">
        <f t="shared" si="0"/>
        <v>-7487725.9428521506</v>
      </c>
    </row>
    <row r="7" spans="1:13">
      <c r="B7" s="1026" t="s">
        <v>523</v>
      </c>
      <c r="C7" s="781"/>
      <c r="D7" s="782"/>
      <c r="E7" s="803">
        <v>360</v>
      </c>
      <c r="F7" s="826"/>
      <c r="H7" s="832">
        <v>1</v>
      </c>
      <c r="I7" s="831">
        <v>4</v>
      </c>
      <c r="J7" s="791">
        <f>SUMIFS('2-C Amortization'!$K$26:$K$86,'2-C Amortization'!$E$26:$E$86,H7,'2-C Amortization'!$F$26:$F$86,I7)</f>
        <v>-1537026.8859039326</v>
      </c>
      <c r="L7" s="806">
        <f t="shared" si="1"/>
        <v>4</v>
      </c>
      <c r="M7" s="791">
        <f t="shared" si="0"/>
        <v>-7487725.9428521488</v>
      </c>
    </row>
    <row r="8" spans="1:13">
      <c r="B8" s="1026" t="s">
        <v>524</v>
      </c>
      <c r="C8" s="781"/>
      <c r="D8" s="782"/>
      <c r="E8" s="801">
        <v>1</v>
      </c>
      <c r="F8" s="786">
        <f>IF(E8="","",VLOOKUP(E8,$C$26:$D$386,2,FALSE))</f>
        <v>48244</v>
      </c>
      <c r="H8" s="832">
        <v>2</v>
      </c>
      <c r="I8" s="831">
        <v>1</v>
      </c>
      <c r="J8" s="791">
        <f>SUMIFS('2-C Amortization'!$K$26:$K$86,'2-C Amortization'!$E$26:$E$86,H8,'2-C Amortization'!$F$26:$F$86,I8)</f>
        <v>-1871931.4857130367</v>
      </c>
      <c r="L8" s="806">
        <f t="shared" si="1"/>
        <v>5</v>
      </c>
      <c r="M8" s="791">
        <f t="shared" si="0"/>
        <v>-7487725.9428521488</v>
      </c>
    </row>
    <row r="9" spans="1:13">
      <c r="B9" s="1026" t="s">
        <v>525</v>
      </c>
      <c r="C9" s="781"/>
      <c r="D9" s="782"/>
      <c r="E9" s="802">
        <v>12</v>
      </c>
      <c r="F9" s="787">
        <f>IF(E9="","",VLOOKUP(E9,$C$26:$D$386,2,FALSE))</f>
        <v>48579</v>
      </c>
      <c r="H9" s="832">
        <v>2</v>
      </c>
      <c r="I9" s="831">
        <v>2</v>
      </c>
      <c r="J9" s="791">
        <f>SUMIFS('2-C Amortization'!$K$26:$K$86,'2-C Amortization'!$E$26:$E$86,H9,'2-C Amortization'!$F$26:$F$86,I9)</f>
        <v>-1871931.4857130372</v>
      </c>
      <c r="L9" s="806">
        <f t="shared" si="1"/>
        <v>6</v>
      </c>
      <c r="M9" s="791">
        <f t="shared" si="0"/>
        <v>0</v>
      </c>
    </row>
    <row r="10" spans="1:13">
      <c r="B10" s="1026" t="s">
        <v>526</v>
      </c>
      <c r="C10" s="781"/>
      <c r="D10" s="782"/>
      <c r="E10" s="788">
        <f>Assumptions!$L6</f>
        <v>5.7500000000000002E-2</v>
      </c>
      <c r="H10" s="832">
        <v>2</v>
      </c>
      <c r="I10" s="831">
        <v>3</v>
      </c>
      <c r="J10" s="791">
        <f>SUMIFS('2-C Amortization'!$K$26:$K$86,'2-C Amortization'!$E$26:$E$86,H10,'2-C Amortization'!$F$26:$F$86,I10)</f>
        <v>-1871931.4857130372</v>
      </c>
      <c r="L10" s="806">
        <f t="shared" si="1"/>
        <v>7</v>
      </c>
      <c r="M10" s="791">
        <f t="shared" si="0"/>
        <v>0</v>
      </c>
    </row>
    <row r="11" spans="1:13">
      <c r="B11" s="1026" t="s">
        <v>527</v>
      </c>
      <c r="C11" s="781"/>
      <c r="D11" s="782"/>
      <c r="E11" s="788">
        <f>Assumptions!$L7</f>
        <v>5.0000000000000001E-3</v>
      </c>
      <c r="F11" s="789">
        <f>E11*E4</f>
        <v>534618.04727093305</v>
      </c>
      <c r="H11" s="832">
        <v>2</v>
      </c>
      <c r="I11" s="831">
        <v>4</v>
      </c>
      <c r="J11" s="791">
        <f>SUMIFS('2-C Amortization'!$K$26:$K$86,'2-C Amortization'!$E$26:$E$86,H11,'2-C Amortization'!$F$26:$F$86,I11)</f>
        <v>-1871931.4857130372</v>
      </c>
      <c r="L11" s="806">
        <f t="shared" si="1"/>
        <v>8</v>
      </c>
      <c r="M11" s="791">
        <f t="shared" si="0"/>
        <v>0</v>
      </c>
    </row>
    <row r="12" spans="1:13">
      <c r="B12" s="1026" t="s">
        <v>528</v>
      </c>
      <c r="C12" s="781"/>
      <c r="D12" s="782"/>
      <c r="E12" s="1027" t="s">
        <v>529</v>
      </c>
      <c r="H12" s="832">
        <v>3</v>
      </c>
      <c r="I12" s="831">
        <v>1</v>
      </c>
      <c r="J12" s="791">
        <f>SUMIFS('2-C Amortization'!$K$26:$K$86,'2-C Amortization'!$E$26:$E$86,H12,'2-C Amortization'!$F$26:$F$86,I12)</f>
        <v>-1871931.4857130372</v>
      </c>
      <c r="L12" s="806">
        <f t="shared" si="1"/>
        <v>9</v>
      </c>
      <c r="M12" s="791">
        <f t="shared" si="0"/>
        <v>0</v>
      </c>
    </row>
    <row r="13" spans="1:13">
      <c r="B13" s="1026" t="s">
        <v>530</v>
      </c>
      <c r="C13" s="781"/>
      <c r="D13" s="782"/>
      <c r="E13" s="791">
        <f>VLOOKUP(MIN(E6*12,E14),$C$26:$L$386,10,FALSE)</f>
        <v>100914923.14853932</v>
      </c>
      <c r="H13" s="832">
        <v>3</v>
      </c>
      <c r="I13" s="831">
        <v>2</v>
      </c>
      <c r="J13" s="791">
        <f>SUMIFS('2-C Amortization'!$K$26:$K$86,'2-C Amortization'!$E$26:$E$86,H13,'2-C Amortization'!$F$26:$F$86,I13)</f>
        <v>-1871931.4857130372</v>
      </c>
      <c r="L13" s="807">
        <f t="shared" si="1"/>
        <v>10</v>
      </c>
      <c r="M13" s="808">
        <f t="shared" si="0"/>
        <v>0</v>
      </c>
    </row>
    <row r="14" spans="1:13">
      <c r="B14" s="792" t="s">
        <v>531</v>
      </c>
      <c r="C14" s="793"/>
      <c r="D14" s="794"/>
      <c r="E14" s="790">
        <f>E6*12</f>
        <v>60</v>
      </c>
      <c r="F14" s="795"/>
      <c r="H14" s="832">
        <v>3</v>
      </c>
      <c r="I14" s="831">
        <v>3</v>
      </c>
      <c r="J14" s="791">
        <f>SUMIFS('2-C Amortization'!$K$26:$K$86,'2-C Amortization'!$E$26:$E$86,H14,'2-C Amortization'!$F$26:$F$86,I14)</f>
        <v>-1871931.4857130372</v>
      </c>
      <c r="K14" s="809"/>
    </row>
    <row r="15" spans="1:13">
      <c r="H15" s="832">
        <v>3</v>
      </c>
      <c r="I15" s="831">
        <v>4</v>
      </c>
      <c r="J15" s="791">
        <f>SUMIFS('2-C Amortization'!$K$26:$K$86,'2-C Amortization'!$E$26:$E$86,H15,'2-C Amortization'!$F$26:$F$86,I15)</f>
        <v>-1871931.4857130372</v>
      </c>
      <c r="K15" s="809"/>
    </row>
    <row r="16" spans="1:13">
      <c r="H16" s="832">
        <v>4</v>
      </c>
      <c r="I16" s="831">
        <v>1</v>
      </c>
      <c r="J16" s="791">
        <f>SUMIFS('2-C Amortization'!$K$26:$K$86,'2-C Amortization'!$E$26:$E$86,H16,'2-C Amortization'!$F$26:$F$86,I16)</f>
        <v>-1871931.4857130372</v>
      </c>
      <c r="K16" s="809"/>
    </row>
    <row r="17" spans="3:20">
      <c r="H17" s="832">
        <v>4</v>
      </c>
      <c r="I17" s="831">
        <v>2</v>
      </c>
      <c r="J17" s="791">
        <f>SUMIFS('2-C Amortization'!$K$26:$K$86,'2-C Amortization'!$E$26:$E$86,H17,'2-C Amortization'!$F$26:$F$86,I17)</f>
        <v>-1871931.4857130372</v>
      </c>
      <c r="K17" s="809"/>
    </row>
    <row r="18" spans="3:20">
      <c r="H18" s="832">
        <v>4</v>
      </c>
      <c r="I18" s="831">
        <v>3</v>
      </c>
      <c r="J18" s="791">
        <f>SUMIFS('2-C Amortization'!$K$26:$K$86,'2-C Amortization'!$E$26:$E$86,H18,'2-C Amortization'!$F$26:$F$86,I18)</f>
        <v>-1871931.4857130372</v>
      </c>
      <c r="K18" s="809"/>
    </row>
    <row r="19" spans="3:20">
      <c r="H19" s="832">
        <v>4</v>
      </c>
      <c r="I19" s="831">
        <v>4</v>
      </c>
      <c r="J19" s="791">
        <f>SUMIFS('2-C Amortization'!$K$26:$K$86,'2-C Amortization'!$E$26:$E$86,H19,'2-C Amortization'!$F$26:$F$86,I19)</f>
        <v>-1871931.4857130372</v>
      </c>
      <c r="K19" s="809"/>
    </row>
    <row r="20" spans="3:20">
      <c r="H20" s="832">
        <v>5</v>
      </c>
      <c r="I20" s="831">
        <v>1</v>
      </c>
      <c r="J20" s="791">
        <f>SUMIFS('2-C Amortization'!$K$26:$K$86,'2-C Amortization'!$E$26:$E$86,H20,'2-C Amortization'!$F$26:$F$86,I20)</f>
        <v>-1871931.4857130372</v>
      </c>
      <c r="K20" s="809"/>
    </row>
    <row r="21" spans="3:20">
      <c r="H21" s="832">
        <v>5</v>
      </c>
      <c r="I21" s="831">
        <v>2</v>
      </c>
      <c r="J21" s="791">
        <f>SUMIFS('2-C Amortization'!$K$26:$K$86,'2-C Amortization'!$E$26:$E$86,H21,'2-C Amortization'!$F$26:$F$86,I21)</f>
        <v>-1871931.4857130372</v>
      </c>
      <c r="K21" s="809"/>
    </row>
    <row r="22" spans="3:20">
      <c r="H22" s="832">
        <v>5</v>
      </c>
      <c r="I22" s="831">
        <v>3</v>
      </c>
      <c r="J22" s="791">
        <f>SUMIFS('2-C Amortization'!$K$26:$K$86,'2-C Amortization'!$E$26:$E$86,H22,'2-C Amortization'!$F$26:$F$86,I22)</f>
        <v>-1871931.4857130372</v>
      </c>
      <c r="K22" s="809"/>
    </row>
    <row r="23" spans="3:20">
      <c r="H23" s="833">
        <v>5</v>
      </c>
      <c r="I23" s="834">
        <v>4</v>
      </c>
      <c r="J23" s="808">
        <f>SUMIFS('2-C Amortization'!$K$26:$K$86,'2-C Amortization'!$E$26:$E$86,H23,'2-C Amortization'!$F$26:$F$86,I23)</f>
        <v>-1871931.4857130372</v>
      </c>
      <c r="K23" s="809"/>
    </row>
    <row r="24" spans="3:20">
      <c r="R24" s="809"/>
      <c r="T24" s="809"/>
    </row>
    <row r="25" spans="3:20" ht="15" thickBot="1">
      <c r="C25" s="811" t="s">
        <v>532</v>
      </c>
      <c r="D25" s="812" t="s">
        <v>533</v>
      </c>
      <c r="E25" s="812" t="s">
        <v>534</v>
      </c>
      <c r="F25" s="1100" t="s">
        <v>535</v>
      </c>
      <c r="G25" s="1100" t="s">
        <v>536</v>
      </c>
      <c r="H25" s="812" t="s">
        <v>537</v>
      </c>
      <c r="I25" s="812" t="s">
        <v>538</v>
      </c>
      <c r="J25" s="812" t="s">
        <v>520</v>
      </c>
      <c r="K25" s="812" t="s">
        <v>539</v>
      </c>
      <c r="L25" s="813" t="s">
        <v>540</v>
      </c>
    </row>
    <row r="26" spans="3:20">
      <c r="C26" s="796">
        <v>0</v>
      </c>
      <c r="D26" s="797">
        <f>E5</f>
        <v>48214</v>
      </c>
      <c r="E26" s="798">
        <f>ROUNDUP(C26/12,0)</f>
        <v>0</v>
      </c>
      <c r="F26" s="798"/>
      <c r="G26" s="799"/>
      <c r="I26" s="809"/>
      <c r="K26" s="809">
        <f t="shared" ref="K26:K86" si="2">SUM(I26:J26)</f>
        <v>0</v>
      </c>
      <c r="L26" s="791">
        <f t="shared" ref="L26:L57" si="3">IF(C26=0,$E$4,H26+J26)</f>
        <v>106923609.45418662</v>
      </c>
    </row>
    <row r="27" spans="3:20" ht="15" customHeight="1">
      <c r="C27" s="814">
        <f>C26+1</f>
        <v>1</v>
      </c>
      <c r="D27" s="815">
        <f t="shared" ref="D27:D58" si="4">EOMONTH($E$5,C27-1)</f>
        <v>48244</v>
      </c>
      <c r="E27" s="800">
        <f t="shared" ref="E27:E86" si="5">ROUNDUP(C27/12,0)</f>
        <v>1</v>
      </c>
      <c r="F27" s="800">
        <f>CHOOSE(MONTH(D27), 1, 1, 1, 2, 2, 2, 3, 3, 3, 4, 4, 4)</f>
        <v>1</v>
      </c>
      <c r="G27" s="816" t="str">
        <f>IF($E$12="NO",G26+1,
IF(OR(D27&lt;$F$8,D27&gt;$F$9),MAX($G$26:G26)+1,""))</f>
        <v/>
      </c>
      <c r="H27" s="809">
        <f t="shared" ref="H27:H58" si="6">IF(OR(E27&gt;$E$6,C27&gt;$E$14),0,L26)</f>
        <v>106923609.45418662</v>
      </c>
      <c r="I27" s="809">
        <f t="shared" ref="I27:I58" si="7">IF(OR(E27&gt;$E$6*12,C27&gt;$E$14),0,-H27*$E$10/12)</f>
        <v>-512342.29530131089</v>
      </c>
      <c r="J27" s="817">
        <f t="shared" ref="J27:J58" si="8">IF(OR(E27&gt;$E$6,C27&gt;$E$14),0,
IF(AND($E$8&lt;&gt;OR(0,""),$E$9&lt;&gt;OR(0,""),C27&gt;=$E$8,C27&lt;=$E$9),0,PPMT($E$10/12,IF($E$12="YES",G27,C27),$E$7,$E$4)))</f>
        <v>0</v>
      </c>
      <c r="K27" s="809">
        <f t="shared" si="2"/>
        <v>-512342.29530131089</v>
      </c>
      <c r="L27" s="791">
        <f t="shared" si="3"/>
        <v>106923609.45418662</v>
      </c>
    </row>
    <row r="28" spans="3:20">
      <c r="C28" s="814">
        <f t="shared" ref="C28:C86" si="9">C27+1</f>
        <v>2</v>
      </c>
      <c r="D28" s="815">
        <f t="shared" si="4"/>
        <v>48273</v>
      </c>
      <c r="E28" s="800">
        <f t="shared" si="5"/>
        <v>1</v>
      </c>
      <c r="F28" s="800">
        <f t="shared" ref="F28:F86" si="10">CHOOSE(MONTH(D28), 1, 1, 1, 2, 2, 2, 3, 3, 3, 4, 4, 4)</f>
        <v>1</v>
      </c>
      <c r="G28" s="816" t="str">
        <f>IF($E$12="NO",G27+1,
IF(OR(D28&lt;$F$8,D28&gt;$F$9),MAX($G$26:G27)+1,""))</f>
        <v/>
      </c>
      <c r="H28" s="809">
        <f t="shared" si="6"/>
        <v>106923609.45418662</v>
      </c>
      <c r="I28" s="809">
        <f t="shared" si="7"/>
        <v>-512342.29530131089</v>
      </c>
      <c r="J28" s="817">
        <f t="shared" si="8"/>
        <v>0</v>
      </c>
      <c r="K28" s="809">
        <f t="shared" si="2"/>
        <v>-512342.29530131089</v>
      </c>
      <c r="L28" s="791">
        <f t="shared" si="3"/>
        <v>106923609.45418662</v>
      </c>
    </row>
    <row r="29" spans="3:20">
      <c r="C29" s="814">
        <f t="shared" si="9"/>
        <v>3</v>
      </c>
      <c r="D29" s="815">
        <f t="shared" si="4"/>
        <v>48304</v>
      </c>
      <c r="E29" s="800">
        <f t="shared" si="5"/>
        <v>1</v>
      </c>
      <c r="F29" s="800">
        <f t="shared" si="10"/>
        <v>1</v>
      </c>
      <c r="G29" s="816" t="str">
        <f>IF($E$12="NO",G28+1,
IF(OR(D29&lt;$F$8,D29&gt;$F$9),MAX($G$26:G28)+1,""))</f>
        <v/>
      </c>
      <c r="H29" s="809">
        <f t="shared" si="6"/>
        <v>106923609.45418662</v>
      </c>
      <c r="I29" s="809">
        <f t="shared" si="7"/>
        <v>-512342.29530131089</v>
      </c>
      <c r="J29" s="817">
        <f t="shared" si="8"/>
        <v>0</v>
      </c>
      <c r="K29" s="809">
        <f t="shared" si="2"/>
        <v>-512342.29530131089</v>
      </c>
      <c r="L29" s="791">
        <f t="shared" si="3"/>
        <v>106923609.45418662</v>
      </c>
    </row>
    <row r="30" spans="3:20">
      <c r="C30" s="814">
        <f t="shared" si="9"/>
        <v>4</v>
      </c>
      <c r="D30" s="815">
        <f t="shared" si="4"/>
        <v>48334</v>
      </c>
      <c r="E30" s="800">
        <f t="shared" si="5"/>
        <v>1</v>
      </c>
      <c r="F30" s="800">
        <f t="shared" si="10"/>
        <v>2</v>
      </c>
      <c r="G30" s="816" t="str">
        <f>IF($E$12="NO",G29+1,
IF(OR(D30&lt;$F$8,D30&gt;$F$9),MAX($G$26:G29)+1,""))</f>
        <v/>
      </c>
      <c r="H30" s="809">
        <f t="shared" si="6"/>
        <v>106923609.45418662</v>
      </c>
      <c r="I30" s="809">
        <f t="shared" si="7"/>
        <v>-512342.29530131089</v>
      </c>
      <c r="J30" s="817">
        <f t="shared" si="8"/>
        <v>0</v>
      </c>
      <c r="K30" s="809">
        <f t="shared" si="2"/>
        <v>-512342.29530131089</v>
      </c>
      <c r="L30" s="791">
        <f t="shared" si="3"/>
        <v>106923609.45418662</v>
      </c>
    </row>
    <row r="31" spans="3:20">
      <c r="C31" s="814">
        <f t="shared" si="9"/>
        <v>5</v>
      </c>
      <c r="D31" s="815">
        <f t="shared" si="4"/>
        <v>48365</v>
      </c>
      <c r="E31" s="800">
        <f t="shared" si="5"/>
        <v>1</v>
      </c>
      <c r="F31" s="800">
        <f t="shared" si="10"/>
        <v>2</v>
      </c>
      <c r="G31" s="816" t="str">
        <f>IF($E$12="NO",G30+1,
IF(OR(D31&lt;$F$8,D31&gt;$F$9),MAX($G$26:G30)+1,""))</f>
        <v/>
      </c>
      <c r="H31" s="809">
        <f t="shared" si="6"/>
        <v>106923609.45418662</v>
      </c>
      <c r="I31" s="809">
        <f t="shared" si="7"/>
        <v>-512342.29530131089</v>
      </c>
      <c r="J31" s="817">
        <f t="shared" si="8"/>
        <v>0</v>
      </c>
      <c r="K31" s="809">
        <f t="shared" si="2"/>
        <v>-512342.29530131089</v>
      </c>
      <c r="L31" s="791">
        <f t="shared" si="3"/>
        <v>106923609.45418662</v>
      </c>
    </row>
    <row r="32" spans="3:20">
      <c r="C32" s="814">
        <f t="shared" si="9"/>
        <v>6</v>
      </c>
      <c r="D32" s="815">
        <f t="shared" si="4"/>
        <v>48395</v>
      </c>
      <c r="E32" s="800">
        <f t="shared" si="5"/>
        <v>1</v>
      </c>
      <c r="F32" s="800">
        <f t="shared" si="10"/>
        <v>2</v>
      </c>
      <c r="G32" s="816" t="str">
        <f>IF($E$12="NO",G31+1,
IF(OR(D32&lt;$F$8,D32&gt;$F$9),MAX($G$26:G31)+1,""))</f>
        <v/>
      </c>
      <c r="H32" s="809">
        <f t="shared" si="6"/>
        <v>106923609.45418662</v>
      </c>
      <c r="I32" s="809">
        <f t="shared" si="7"/>
        <v>-512342.29530131089</v>
      </c>
      <c r="J32" s="817">
        <f t="shared" si="8"/>
        <v>0</v>
      </c>
      <c r="K32" s="809">
        <f t="shared" si="2"/>
        <v>-512342.29530131089</v>
      </c>
      <c r="L32" s="791">
        <f t="shared" si="3"/>
        <v>106923609.45418662</v>
      </c>
    </row>
    <row r="33" spans="3:12">
      <c r="C33" s="814">
        <f t="shared" si="9"/>
        <v>7</v>
      </c>
      <c r="D33" s="815">
        <f t="shared" si="4"/>
        <v>48426</v>
      </c>
      <c r="E33" s="800">
        <f t="shared" si="5"/>
        <v>1</v>
      </c>
      <c r="F33" s="800">
        <f t="shared" si="10"/>
        <v>3</v>
      </c>
      <c r="G33" s="816" t="str">
        <f>IF($E$12="NO",G32+1,
IF(OR(D33&lt;$F$8,D33&gt;$F$9),MAX($G$26:G32)+1,""))</f>
        <v/>
      </c>
      <c r="H33" s="809">
        <f t="shared" si="6"/>
        <v>106923609.45418662</v>
      </c>
      <c r="I33" s="809">
        <f t="shared" si="7"/>
        <v>-512342.29530131089</v>
      </c>
      <c r="J33" s="817">
        <f t="shared" si="8"/>
        <v>0</v>
      </c>
      <c r="K33" s="809">
        <f t="shared" si="2"/>
        <v>-512342.29530131089</v>
      </c>
      <c r="L33" s="791">
        <f t="shared" si="3"/>
        <v>106923609.45418662</v>
      </c>
    </row>
    <row r="34" spans="3:12">
      <c r="C34" s="814">
        <f t="shared" si="9"/>
        <v>8</v>
      </c>
      <c r="D34" s="815">
        <f t="shared" si="4"/>
        <v>48457</v>
      </c>
      <c r="E34" s="800">
        <f t="shared" si="5"/>
        <v>1</v>
      </c>
      <c r="F34" s="800">
        <f t="shared" si="10"/>
        <v>3</v>
      </c>
      <c r="G34" s="816" t="str">
        <f>IF($E$12="NO",G33+1,
IF(OR(D34&lt;$F$8,D34&gt;$F$9),MAX($G$26:G33)+1,""))</f>
        <v/>
      </c>
      <c r="H34" s="809">
        <f t="shared" si="6"/>
        <v>106923609.45418662</v>
      </c>
      <c r="I34" s="809">
        <f t="shared" si="7"/>
        <v>-512342.29530131089</v>
      </c>
      <c r="J34" s="817">
        <f t="shared" si="8"/>
        <v>0</v>
      </c>
      <c r="K34" s="809">
        <f t="shared" si="2"/>
        <v>-512342.29530131089</v>
      </c>
      <c r="L34" s="791">
        <f t="shared" si="3"/>
        <v>106923609.45418662</v>
      </c>
    </row>
    <row r="35" spans="3:12">
      <c r="C35" s="814">
        <f t="shared" si="9"/>
        <v>9</v>
      </c>
      <c r="D35" s="815">
        <f t="shared" si="4"/>
        <v>48487</v>
      </c>
      <c r="E35" s="800">
        <f t="shared" si="5"/>
        <v>1</v>
      </c>
      <c r="F35" s="800">
        <f t="shared" si="10"/>
        <v>3</v>
      </c>
      <c r="G35" s="816" t="str">
        <f>IF($E$12="NO",G34+1,
IF(OR(D35&lt;$F$8,D35&gt;$F$9),MAX($G$26:G34)+1,""))</f>
        <v/>
      </c>
      <c r="H35" s="809">
        <f t="shared" si="6"/>
        <v>106923609.45418662</v>
      </c>
      <c r="I35" s="809">
        <f t="shared" si="7"/>
        <v>-512342.29530131089</v>
      </c>
      <c r="J35" s="817">
        <f t="shared" si="8"/>
        <v>0</v>
      </c>
      <c r="K35" s="809">
        <f t="shared" si="2"/>
        <v>-512342.29530131089</v>
      </c>
      <c r="L35" s="791">
        <f t="shared" si="3"/>
        <v>106923609.45418662</v>
      </c>
    </row>
    <row r="36" spans="3:12">
      <c r="C36" s="814">
        <f t="shared" si="9"/>
        <v>10</v>
      </c>
      <c r="D36" s="815">
        <f t="shared" si="4"/>
        <v>48518</v>
      </c>
      <c r="E36" s="800">
        <f t="shared" si="5"/>
        <v>1</v>
      </c>
      <c r="F36" s="800">
        <f t="shared" si="10"/>
        <v>4</v>
      </c>
      <c r="G36" s="816" t="str">
        <f>IF($E$12="NO",G35+1,
IF(OR(D36&lt;$F$8,D36&gt;$F$9),MAX($G$26:G35)+1,""))</f>
        <v/>
      </c>
      <c r="H36" s="809">
        <f t="shared" si="6"/>
        <v>106923609.45418662</v>
      </c>
      <c r="I36" s="809">
        <f t="shared" si="7"/>
        <v>-512342.29530131089</v>
      </c>
      <c r="J36" s="817">
        <f t="shared" si="8"/>
        <v>0</v>
      </c>
      <c r="K36" s="809">
        <f t="shared" si="2"/>
        <v>-512342.29530131089</v>
      </c>
      <c r="L36" s="791">
        <f t="shared" si="3"/>
        <v>106923609.45418662</v>
      </c>
    </row>
    <row r="37" spans="3:12">
      <c r="C37" s="814">
        <f t="shared" si="9"/>
        <v>11</v>
      </c>
      <c r="D37" s="815">
        <f t="shared" si="4"/>
        <v>48548</v>
      </c>
      <c r="E37" s="800">
        <f t="shared" si="5"/>
        <v>1</v>
      </c>
      <c r="F37" s="800">
        <f t="shared" si="10"/>
        <v>4</v>
      </c>
      <c r="G37" s="816" t="str">
        <f>IF($E$12="NO",G36+1,
IF(OR(D37&lt;$F$8,D37&gt;$F$9),MAX($G$26:G36)+1,""))</f>
        <v/>
      </c>
      <c r="H37" s="809">
        <f t="shared" si="6"/>
        <v>106923609.45418662</v>
      </c>
      <c r="I37" s="809">
        <f t="shared" si="7"/>
        <v>-512342.29530131089</v>
      </c>
      <c r="J37" s="817">
        <f t="shared" si="8"/>
        <v>0</v>
      </c>
      <c r="K37" s="809">
        <f t="shared" si="2"/>
        <v>-512342.29530131089</v>
      </c>
      <c r="L37" s="791">
        <f t="shared" si="3"/>
        <v>106923609.45418662</v>
      </c>
    </row>
    <row r="38" spans="3:12">
      <c r="C38" s="814">
        <f t="shared" si="9"/>
        <v>12</v>
      </c>
      <c r="D38" s="815">
        <f t="shared" si="4"/>
        <v>48579</v>
      </c>
      <c r="E38" s="800">
        <f t="shared" si="5"/>
        <v>1</v>
      </c>
      <c r="F38" s="800">
        <f t="shared" si="10"/>
        <v>4</v>
      </c>
      <c r="G38" s="816" t="str">
        <f>IF($E$12="NO",G37+1,
IF(OR(D38&lt;$F$8,D38&gt;$F$9),MAX($G$26:G37)+1,""))</f>
        <v/>
      </c>
      <c r="H38" s="809">
        <f t="shared" si="6"/>
        <v>106923609.45418662</v>
      </c>
      <c r="I38" s="809">
        <f t="shared" si="7"/>
        <v>-512342.29530131089</v>
      </c>
      <c r="J38" s="817">
        <f t="shared" si="8"/>
        <v>0</v>
      </c>
      <c r="K38" s="809">
        <f t="shared" si="2"/>
        <v>-512342.29530131089</v>
      </c>
      <c r="L38" s="791">
        <f t="shared" si="3"/>
        <v>106923609.45418662</v>
      </c>
    </row>
    <row r="39" spans="3:12">
      <c r="C39" s="814">
        <f t="shared" si="9"/>
        <v>13</v>
      </c>
      <c r="D39" s="815">
        <f t="shared" si="4"/>
        <v>48610</v>
      </c>
      <c r="E39" s="800">
        <f t="shared" si="5"/>
        <v>2</v>
      </c>
      <c r="F39" s="800">
        <f t="shared" si="10"/>
        <v>1</v>
      </c>
      <c r="G39" s="816">
        <f>IF($E$12="NO",G38+1,
IF(OR(D39&lt;$F$8,D39&gt;$F$9),MAX($G$26:G38)+1,""))</f>
        <v>1</v>
      </c>
      <c r="H39" s="809">
        <f t="shared" si="6"/>
        <v>106923609.45418662</v>
      </c>
      <c r="I39" s="809">
        <f t="shared" si="7"/>
        <v>-512342.29530131089</v>
      </c>
      <c r="J39" s="817">
        <f t="shared" si="8"/>
        <v>-111634.86660303477</v>
      </c>
      <c r="K39" s="809">
        <f t="shared" si="2"/>
        <v>-623977.16190434562</v>
      </c>
      <c r="L39" s="791">
        <f t="shared" si="3"/>
        <v>106811974.58758359</v>
      </c>
    </row>
    <row r="40" spans="3:12">
      <c r="C40" s="814">
        <f t="shared" si="9"/>
        <v>14</v>
      </c>
      <c r="D40" s="815">
        <f t="shared" si="4"/>
        <v>48638</v>
      </c>
      <c r="E40" s="800">
        <f t="shared" si="5"/>
        <v>2</v>
      </c>
      <c r="F40" s="800">
        <f t="shared" si="10"/>
        <v>1</v>
      </c>
      <c r="G40" s="816">
        <f>IF($E$12="NO",G39+1,
IF(OR(D40&lt;$F$8,D40&gt;$F$9),MAX($G$26:G39)+1,""))</f>
        <v>2</v>
      </c>
      <c r="H40" s="809">
        <f t="shared" si="6"/>
        <v>106811974.58758359</v>
      </c>
      <c r="I40" s="809">
        <f t="shared" si="7"/>
        <v>-511807.37823217135</v>
      </c>
      <c r="J40" s="817">
        <f t="shared" si="8"/>
        <v>-112169.78367217426</v>
      </c>
      <c r="K40" s="809">
        <f t="shared" si="2"/>
        <v>-623977.16190434562</v>
      </c>
      <c r="L40" s="791">
        <f t="shared" si="3"/>
        <v>106699804.80391142</v>
      </c>
    </row>
    <row r="41" spans="3:12">
      <c r="C41" s="814">
        <f t="shared" si="9"/>
        <v>15</v>
      </c>
      <c r="D41" s="815">
        <f t="shared" si="4"/>
        <v>48669</v>
      </c>
      <c r="E41" s="800">
        <f t="shared" si="5"/>
        <v>2</v>
      </c>
      <c r="F41" s="800">
        <f t="shared" si="10"/>
        <v>1</v>
      </c>
      <c r="G41" s="816">
        <f>IF($E$12="NO",G40+1,
IF(OR(D41&lt;$F$8,D41&gt;$F$9),MAX($G$26:G40)+1,""))</f>
        <v>3</v>
      </c>
      <c r="H41" s="809">
        <f t="shared" si="6"/>
        <v>106699804.80391142</v>
      </c>
      <c r="I41" s="809">
        <f t="shared" si="7"/>
        <v>-511269.89801874221</v>
      </c>
      <c r="J41" s="817">
        <f t="shared" si="8"/>
        <v>-112707.26388560345</v>
      </c>
      <c r="K41" s="809">
        <f t="shared" si="2"/>
        <v>-623977.16190434562</v>
      </c>
      <c r="L41" s="791">
        <f t="shared" si="3"/>
        <v>106587097.54002582</v>
      </c>
    </row>
    <row r="42" spans="3:12">
      <c r="C42" s="814">
        <f t="shared" si="9"/>
        <v>16</v>
      </c>
      <c r="D42" s="815">
        <f t="shared" si="4"/>
        <v>48699</v>
      </c>
      <c r="E42" s="800">
        <f t="shared" si="5"/>
        <v>2</v>
      </c>
      <c r="F42" s="800">
        <f t="shared" si="10"/>
        <v>2</v>
      </c>
      <c r="G42" s="816">
        <f>IF($E$12="NO",G41+1,
IF(OR(D42&lt;$F$8,D42&gt;$F$9),MAX($G$26:G41)+1,""))</f>
        <v>4</v>
      </c>
      <c r="H42" s="809">
        <f t="shared" si="6"/>
        <v>106587097.54002582</v>
      </c>
      <c r="I42" s="809">
        <f t="shared" si="7"/>
        <v>-510729.84237929038</v>
      </c>
      <c r="J42" s="817">
        <f t="shared" si="8"/>
        <v>-113247.31952505531</v>
      </c>
      <c r="K42" s="809">
        <f t="shared" si="2"/>
        <v>-623977.16190434573</v>
      </c>
      <c r="L42" s="791">
        <f t="shared" si="3"/>
        <v>106473850.22050077</v>
      </c>
    </row>
    <row r="43" spans="3:12">
      <c r="C43" s="814">
        <f t="shared" si="9"/>
        <v>17</v>
      </c>
      <c r="D43" s="815">
        <f t="shared" si="4"/>
        <v>48730</v>
      </c>
      <c r="E43" s="800">
        <f t="shared" si="5"/>
        <v>2</v>
      </c>
      <c r="F43" s="800">
        <f t="shared" si="10"/>
        <v>2</v>
      </c>
      <c r="G43" s="816">
        <f>IF($E$12="NO",G42+1,
IF(OR(D43&lt;$F$8,D43&gt;$F$9),MAX($G$26:G42)+1,""))</f>
        <v>5</v>
      </c>
      <c r="H43" s="809">
        <f t="shared" si="6"/>
        <v>106473850.22050077</v>
      </c>
      <c r="I43" s="809">
        <f t="shared" si="7"/>
        <v>-510187.19897323288</v>
      </c>
      <c r="J43" s="817">
        <f t="shared" si="8"/>
        <v>-113789.96293111285</v>
      </c>
      <c r="K43" s="809">
        <f t="shared" si="2"/>
        <v>-623977.16190434573</v>
      </c>
      <c r="L43" s="791">
        <f t="shared" si="3"/>
        <v>106360060.25756966</v>
      </c>
    </row>
    <row r="44" spans="3:12">
      <c r="C44" s="814">
        <f t="shared" si="9"/>
        <v>18</v>
      </c>
      <c r="D44" s="815">
        <f t="shared" si="4"/>
        <v>48760</v>
      </c>
      <c r="E44" s="800">
        <f t="shared" si="5"/>
        <v>2</v>
      </c>
      <c r="F44" s="800">
        <f t="shared" si="10"/>
        <v>2</v>
      </c>
      <c r="G44" s="816">
        <f>IF($E$12="NO",G43+1,
IF(OR(D44&lt;$F$8,D44&gt;$F$9),MAX($G$26:G43)+1,""))</f>
        <v>6</v>
      </c>
      <c r="H44" s="809">
        <f t="shared" si="6"/>
        <v>106360060.25756966</v>
      </c>
      <c r="I44" s="809">
        <f t="shared" si="7"/>
        <v>-509641.95540085464</v>
      </c>
      <c r="J44" s="817">
        <f t="shared" si="8"/>
        <v>-114335.20650349109</v>
      </c>
      <c r="K44" s="809">
        <f t="shared" si="2"/>
        <v>-623977.16190434573</v>
      </c>
      <c r="L44" s="791">
        <f t="shared" si="3"/>
        <v>106245725.05106616</v>
      </c>
    </row>
    <row r="45" spans="3:12">
      <c r="C45" s="814">
        <f t="shared" si="9"/>
        <v>19</v>
      </c>
      <c r="D45" s="815">
        <f t="shared" si="4"/>
        <v>48791</v>
      </c>
      <c r="E45" s="800">
        <f t="shared" si="5"/>
        <v>2</v>
      </c>
      <c r="F45" s="800">
        <f t="shared" si="10"/>
        <v>3</v>
      </c>
      <c r="G45" s="816">
        <f>IF($E$12="NO",G44+1,
IF(OR(D45&lt;$F$8,D45&gt;$F$9),MAX($G$26:G44)+1,""))</f>
        <v>7</v>
      </c>
      <c r="H45" s="809">
        <f t="shared" si="6"/>
        <v>106245725.05106616</v>
      </c>
      <c r="I45" s="809">
        <f t="shared" si="7"/>
        <v>-509094.0992030254</v>
      </c>
      <c r="J45" s="817">
        <f t="shared" si="8"/>
        <v>-114883.06270132035</v>
      </c>
      <c r="K45" s="809">
        <f t="shared" si="2"/>
        <v>-623977.16190434573</v>
      </c>
      <c r="L45" s="791">
        <f t="shared" si="3"/>
        <v>106130841.98836485</v>
      </c>
    </row>
    <row r="46" spans="3:12">
      <c r="C46" s="814">
        <f t="shared" si="9"/>
        <v>20</v>
      </c>
      <c r="D46" s="815">
        <f t="shared" si="4"/>
        <v>48822</v>
      </c>
      <c r="E46" s="800">
        <f t="shared" si="5"/>
        <v>2</v>
      </c>
      <c r="F46" s="800">
        <f t="shared" si="10"/>
        <v>3</v>
      </c>
      <c r="G46" s="816">
        <f>IF($E$12="NO",G45+1,
IF(OR(D46&lt;$F$8,D46&gt;$F$9),MAX($G$26:G45)+1,""))</f>
        <v>8</v>
      </c>
      <c r="H46" s="809">
        <f t="shared" si="6"/>
        <v>106130841.98836485</v>
      </c>
      <c r="I46" s="809">
        <f t="shared" si="7"/>
        <v>-508543.61786091491</v>
      </c>
      <c r="J46" s="817">
        <f t="shared" si="8"/>
        <v>-115433.54404343083</v>
      </c>
      <c r="K46" s="809">
        <f t="shared" si="2"/>
        <v>-623977.16190434573</v>
      </c>
      <c r="L46" s="791">
        <f t="shared" si="3"/>
        <v>106015408.44432141</v>
      </c>
    </row>
    <row r="47" spans="3:12">
      <c r="C47" s="814">
        <f t="shared" si="9"/>
        <v>21</v>
      </c>
      <c r="D47" s="815">
        <f t="shared" si="4"/>
        <v>48852</v>
      </c>
      <c r="E47" s="800">
        <f t="shared" si="5"/>
        <v>2</v>
      </c>
      <c r="F47" s="800">
        <f t="shared" si="10"/>
        <v>3</v>
      </c>
      <c r="G47" s="816">
        <f>IF($E$12="NO",G46+1,
IF(OR(D47&lt;$F$8,D47&gt;$F$9),MAX($G$26:G46)+1,""))</f>
        <v>9</v>
      </c>
      <c r="H47" s="809">
        <f t="shared" si="6"/>
        <v>106015408.44432141</v>
      </c>
      <c r="I47" s="809">
        <f t="shared" si="7"/>
        <v>-507990.49879570678</v>
      </c>
      <c r="J47" s="817">
        <f t="shared" si="8"/>
        <v>-115986.66310863894</v>
      </c>
      <c r="K47" s="809">
        <f t="shared" si="2"/>
        <v>-623977.16190434573</v>
      </c>
      <c r="L47" s="791">
        <f t="shared" si="3"/>
        <v>105899421.78121278</v>
      </c>
    </row>
    <row r="48" spans="3:12">
      <c r="C48" s="814">
        <f t="shared" si="9"/>
        <v>22</v>
      </c>
      <c r="D48" s="815">
        <f t="shared" si="4"/>
        <v>48883</v>
      </c>
      <c r="E48" s="800">
        <f t="shared" si="5"/>
        <v>2</v>
      </c>
      <c r="F48" s="800">
        <f t="shared" si="10"/>
        <v>4</v>
      </c>
      <c r="G48" s="816">
        <f>IF($E$12="NO",G47+1,
IF(OR(D48&lt;$F$8,D48&gt;$F$9),MAX($G$26:G47)+1,""))</f>
        <v>10</v>
      </c>
      <c r="H48" s="809">
        <f t="shared" si="6"/>
        <v>105899421.78121278</v>
      </c>
      <c r="I48" s="809">
        <f t="shared" si="7"/>
        <v>-507434.72936831129</v>
      </c>
      <c r="J48" s="817">
        <f t="shared" si="8"/>
        <v>-116542.43253603451</v>
      </c>
      <c r="K48" s="809">
        <f t="shared" si="2"/>
        <v>-623977.16190434585</v>
      </c>
      <c r="L48" s="791">
        <f t="shared" si="3"/>
        <v>105782879.34867674</v>
      </c>
    </row>
    <row r="49" spans="3:12">
      <c r="C49" s="814">
        <f t="shared" si="9"/>
        <v>23</v>
      </c>
      <c r="D49" s="815">
        <f t="shared" si="4"/>
        <v>48913</v>
      </c>
      <c r="E49" s="800">
        <f t="shared" si="5"/>
        <v>2</v>
      </c>
      <c r="F49" s="800">
        <f t="shared" si="10"/>
        <v>4</v>
      </c>
      <c r="G49" s="816">
        <f>IF($E$12="NO",G48+1,
IF(OR(D49&lt;$F$8,D49&gt;$F$9),MAX($G$26:G48)+1,""))</f>
        <v>11</v>
      </c>
      <c r="H49" s="809">
        <f t="shared" si="6"/>
        <v>105782879.34867674</v>
      </c>
      <c r="I49" s="809">
        <f t="shared" si="7"/>
        <v>-506876.29687907611</v>
      </c>
      <c r="J49" s="817">
        <f t="shared" si="8"/>
        <v>-117100.86502526964</v>
      </c>
      <c r="K49" s="809">
        <f t="shared" si="2"/>
        <v>-623977.16190434573</v>
      </c>
      <c r="L49" s="791">
        <f t="shared" si="3"/>
        <v>105665778.48365147</v>
      </c>
    </row>
    <row r="50" spans="3:12">
      <c r="C50" s="814">
        <f t="shared" si="9"/>
        <v>24</v>
      </c>
      <c r="D50" s="815">
        <f t="shared" si="4"/>
        <v>48944</v>
      </c>
      <c r="E50" s="800">
        <f t="shared" si="5"/>
        <v>2</v>
      </c>
      <c r="F50" s="800">
        <f t="shared" si="10"/>
        <v>4</v>
      </c>
      <c r="G50" s="816">
        <f>IF($E$12="NO",G49+1,
IF(OR(D50&lt;$F$8,D50&gt;$F$9),MAX($G$26:G49)+1,""))</f>
        <v>12</v>
      </c>
      <c r="H50" s="809">
        <f t="shared" si="6"/>
        <v>105665778.48365147</v>
      </c>
      <c r="I50" s="809">
        <f t="shared" si="7"/>
        <v>-506315.18856749666</v>
      </c>
      <c r="J50" s="817">
        <f t="shared" si="8"/>
        <v>-117661.97333684907</v>
      </c>
      <c r="K50" s="809">
        <f t="shared" si="2"/>
        <v>-623977.16190434573</v>
      </c>
      <c r="L50" s="791">
        <f t="shared" si="3"/>
        <v>105548116.51031463</v>
      </c>
    </row>
    <row r="51" spans="3:12">
      <c r="C51" s="814">
        <f t="shared" si="9"/>
        <v>25</v>
      </c>
      <c r="D51" s="815">
        <f t="shared" si="4"/>
        <v>48975</v>
      </c>
      <c r="E51" s="800">
        <f t="shared" si="5"/>
        <v>3</v>
      </c>
      <c r="F51" s="800">
        <f t="shared" si="10"/>
        <v>1</v>
      </c>
      <c r="G51" s="816">
        <f>IF($E$12="NO",G50+1,
IF(OR(D51&lt;$F$8,D51&gt;$F$9),MAX($G$26:G50)+1,""))</f>
        <v>13</v>
      </c>
      <c r="H51" s="809">
        <f t="shared" si="6"/>
        <v>105548116.51031463</v>
      </c>
      <c r="I51" s="809">
        <f t="shared" si="7"/>
        <v>-505751.39161192434</v>
      </c>
      <c r="J51" s="817">
        <f t="shared" si="8"/>
        <v>-118225.77029242148</v>
      </c>
      <c r="K51" s="809">
        <f t="shared" si="2"/>
        <v>-623977.16190434585</v>
      </c>
      <c r="L51" s="791">
        <f t="shared" si="3"/>
        <v>105429890.74002221</v>
      </c>
    </row>
    <row r="52" spans="3:12">
      <c r="C52" s="814">
        <f t="shared" si="9"/>
        <v>26</v>
      </c>
      <c r="D52" s="815">
        <f t="shared" si="4"/>
        <v>49003</v>
      </c>
      <c r="E52" s="800">
        <f t="shared" si="5"/>
        <v>3</v>
      </c>
      <c r="F52" s="800">
        <f t="shared" si="10"/>
        <v>1</v>
      </c>
      <c r="G52" s="816">
        <f>IF($E$12="NO",G51+1,
IF(OR(D52&lt;$F$8,D52&gt;$F$9),MAX($G$26:G51)+1,""))</f>
        <v>14</v>
      </c>
      <c r="H52" s="809">
        <f t="shared" si="6"/>
        <v>105429890.74002221</v>
      </c>
      <c r="I52" s="809">
        <f t="shared" si="7"/>
        <v>-505184.89312927308</v>
      </c>
      <c r="J52" s="817">
        <f t="shared" si="8"/>
        <v>-118792.26877507269</v>
      </c>
      <c r="K52" s="809">
        <f t="shared" si="2"/>
        <v>-623977.16190434573</v>
      </c>
      <c r="L52" s="791">
        <f t="shared" si="3"/>
        <v>105311098.47124714</v>
      </c>
    </row>
    <row r="53" spans="3:12">
      <c r="C53" s="814">
        <f t="shared" si="9"/>
        <v>27</v>
      </c>
      <c r="D53" s="815">
        <f t="shared" si="4"/>
        <v>49034</v>
      </c>
      <c r="E53" s="800">
        <f t="shared" si="5"/>
        <v>3</v>
      </c>
      <c r="F53" s="800">
        <f t="shared" si="10"/>
        <v>1</v>
      </c>
      <c r="G53" s="816">
        <f>IF($E$12="NO",G52+1,
IF(OR(D53&lt;$F$8,D53&gt;$F$9),MAX($G$26:G52)+1,""))</f>
        <v>15</v>
      </c>
      <c r="H53" s="809">
        <f t="shared" si="6"/>
        <v>105311098.47124714</v>
      </c>
      <c r="I53" s="809">
        <f t="shared" si="7"/>
        <v>-504615.68017472589</v>
      </c>
      <c r="J53" s="817">
        <f t="shared" si="8"/>
        <v>-119361.48172961989</v>
      </c>
      <c r="K53" s="809">
        <f t="shared" si="2"/>
        <v>-623977.16190434573</v>
      </c>
      <c r="L53" s="791">
        <f t="shared" si="3"/>
        <v>105191736.98951751</v>
      </c>
    </row>
    <row r="54" spans="3:12">
      <c r="C54" s="814">
        <f t="shared" si="9"/>
        <v>28</v>
      </c>
      <c r="D54" s="815">
        <f t="shared" si="4"/>
        <v>49064</v>
      </c>
      <c r="E54" s="800">
        <f t="shared" si="5"/>
        <v>3</v>
      </c>
      <c r="F54" s="800">
        <f t="shared" si="10"/>
        <v>2</v>
      </c>
      <c r="G54" s="816">
        <f>IF($E$12="NO",G53+1,
IF(OR(D54&lt;$F$8,D54&gt;$F$9),MAX($G$26:G53)+1,""))</f>
        <v>16</v>
      </c>
      <c r="H54" s="809">
        <f t="shared" si="6"/>
        <v>105191736.98951751</v>
      </c>
      <c r="I54" s="809">
        <f t="shared" si="7"/>
        <v>-504043.73974143807</v>
      </c>
      <c r="J54" s="817">
        <f t="shared" si="8"/>
        <v>-119933.42216290766</v>
      </c>
      <c r="K54" s="809">
        <f t="shared" si="2"/>
        <v>-623977.16190434573</v>
      </c>
      <c r="L54" s="791">
        <f t="shared" si="3"/>
        <v>105071803.5673546</v>
      </c>
    </row>
    <row r="55" spans="3:12">
      <c r="C55" s="814">
        <f t="shared" si="9"/>
        <v>29</v>
      </c>
      <c r="D55" s="815">
        <f t="shared" si="4"/>
        <v>49095</v>
      </c>
      <c r="E55" s="800">
        <f t="shared" si="5"/>
        <v>3</v>
      </c>
      <c r="F55" s="800">
        <f t="shared" si="10"/>
        <v>2</v>
      </c>
      <c r="G55" s="816">
        <f>IF($E$12="NO",G54+1,
IF(OR(D55&lt;$F$8,D55&gt;$F$9),MAX($G$26:G54)+1,""))</f>
        <v>17</v>
      </c>
      <c r="H55" s="809">
        <f t="shared" si="6"/>
        <v>105071803.5673546</v>
      </c>
      <c r="I55" s="809">
        <f t="shared" si="7"/>
        <v>-503469.05876024085</v>
      </c>
      <c r="J55" s="817">
        <f t="shared" si="8"/>
        <v>-120508.10314410494</v>
      </c>
      <c r="K55" s="809">
        <f t="shared" si="2"/>
        <v>-623977.16190434573</v>
      </c>
      <c r="L55" s="791">
        <f t="shared" si="3"/>
        <v>104951295.4642105</v>
      </c>
    </row>
    <row r="56" spans="3:12">
      <c r="C56" s="814">
        <f t="shared" si="9"/>
        <v>30</v>
      </c>
      <c r="D56" s="815">
        <f t="shared" si="4"/>
        <v>49125</v>
      </c>
      <c r="E56" s="800">
        <f t="shared" si="5"/>
        <v>3</v>
      </c>
      <c r="F56" s="800">
        <f t="shared" si="10"/>
        <v>2</v>
      </c>
      <c r="G56" s="816">
        <f>IF($E$12="NO",G55+1,
IF(OR(D56&lt;$F$8,D56&gt;$F$9),MAX($G$26:G55)+1,""))</f>
        <v>18</v>
      </c>
      <c r="H56" s="809">
        <f t="shared" si="6"/>
        <v>104951295.4642105</v>
      </c>
      <c r="I56" s="809">
        <f t="shared" si="7"/>
        <v>-502891.62409934198</v>
      </c>
      <c r="J56" s="817">
        <f t="shared" si="8"/>
        <v>-121085.53780500375</v>
      </c>
      <c r="K56" s="809">
        <f t="shared" si="2"/>
        <v>-623977.16190434573</v>
      </c>
      <c r="L56" s="791">
        <f t="shared" si="3"/>
        <v>104830209.92640549</v>
      </c>
    </row>
    <row r="57" spans="3:12">
      <c r="C57" s="814">
        <f t="shared" si="9"/>
        <v>31</v>
      </c>
      <c r="D57" s="815">
        <f t="shared" si="4"/>
        <v>49156</v>
      </c>
      <c r="E57" s="800">
        <f t="shared" si="5"/>
        <v>3</v>
      </c>
      <c r="F57" s="800">
        <f t="shared" si="10"/>
        <v>3</v>
      </c>
      <c r="G57" s="816">
        <f>IF($E$12="NO",G56+1,
IF(OR(D57&lt;$F$8,D57&gt;$F$9),MAX($G$26:G56)+1,""))</f>
        <v>19</v>
      </c>
      <c r="H57" s="809">
        <f t="shared" si="6"/>
        <v>104830209.92640549</v>
      </c>
      <c r="I57" s="809">
        <f t="shared" si="7"/>
        <v>-502311.42256402638</v>
      </c>
      <c r="J57" s="817">
        <f t="shared" si="8"/>
        <v>-121665.73934031941</v>
      </c>
      <c r="K57" s="809">
        <f t="shared" si="2"/>
        <v>-623977.16190434573</v>
      </c>
      <c r="L57" s="791">
        <f t="shared" si="3"/>
        <v>104708544.18706517</v>
      </c>
    </row>
    <row r="58" spans="3:12">
      <c r="C58" s="814">
        <f t="shared" si="9"/>
        <v>32</v>
      </c>
      <c r="D58" s="815">
        <f t="shared" si="4"/>
        <v>49187</v>
      </c>
      <c r="E58" s="800">
        <f t="shared" si="5"/>
        <v>3</v>
      </c>
      <c r="F58" s="800">
        <f t="shared" si="10"/>
        <v>3</v>
      </c>
      <c r="G58" s="816">
        <f>IF($E$12="NO",G57+1,
IF(OR(D58&lt;$F$8,D58&gt;$F$9),MAX($G$26:G57)+1,""))</f>
        <v>20</v>
      </c>
      <c r="H58" s="809">
        <f t="shared" si="6"/>
        <v>104708544.18706517</v>
      </c>
      <c r="I58" s="809">
        <f t="shared" si="7"/>
        <v>-501728.44089635398</v>
      </c>
      <c r="J58" s="817">
        <f t="shared" si="8"/>
        <v>-122248.72100799177</v>
      </c>
      <c r="K58" s="809">
        <f t="shared" si="2"/>
        <v>-623977.16190434573</v>
      </c>
      <c r="L58" s="791">
        <f t="shared" ref="L58:L86" si="11">IF(C58=0,$E$4,H58+J58)</f>
        <v>104586295.46605718</v>
      </c>
    </row>
    <row r="59" spans="3:12">
      <c r="C59" s="814">
        <f t="shared" si="9"/>
        <v>33</v>
      </c>
      <c r="D59" s="815">
        <f t="shared" ref="D59:D86" si="12">EOMONTH($E$5,C59-1)</f>
        <v>49217</v>
      </c>
      <c r="E59" s="800">
        <f t="shared" si="5"/>
        <v>3</v>
      </c>
      <c r="F59" s="800">
        <f t="shared" si="10"/>
        <v>3</v>
      </c>
      <c r="G59" s="816">
        <f>IF($E$12="NO",G58+1,
IF(OR(D59&lt;$F$8,D59&gt;$F$9),MAX($G$26:G58)+1,""))</f>
        <v>21</v>
      </c>
      <c r="H59" s="809">
        <f t="shared" ref="H59:H86" si="13">IF(OR(E59&gt;$E$6,C59&gt;$E$14),0,L58)</f>
        <v>104586295.46605718</v>
      </c>
      <c r="I59" s="809">
        <f t="shared" ref="I59:I86" si="14">IF(OR(E59&gt;$E$6*12,C59&gt;$E$14),0,-H59*$E$10/12)</f>
        <v>-501142.66577485733</v>
      </c>
      <c r="J59" s="817">
        <f t="shared" ref="J59:J86" si="15">IF(OR(E59&gt;$E$6,C59&gt;$E$14),0,
IF(AND($E$8&lt;&gt;OR(0,""),$E$9&lt;&gt;OR(0,""),C59&gt;=$E$8,C59&lt;=$E$9),0,PPMT($E$10/12,IF($E$12="YES",G59,C59),$E$7,$E$4)))</f>
        <v>-122834.49612948838</v>
      </c>
      <c r="K59" s="809">
        <f t="shared" si="2"/>
        <v>-623977.16190434573</v>
      </c>
      <c r="L59" s="791">
        <f t="shared" si="11"/>
        <v>104463460.9699277</v>
      </c>
    </row>
    <row r="60" spans="3:12">
      <c r="C60" s="814">
        <f t="shared" si="9"/>
        <v>34</v>
      </c>
      <c r="D60" s="815">
        <f t="shared" si="12"/>
        <v>49248</v>
      </c>
      <c r="E60" s="800">
        <f t="shared" si="5"/>
        <v>3</v>
      </c>
      <c r="F60" s="800">
        <f t="shared" si="10"/>
        <v>4</v>
      </c>
      <c r="G60" s="816">
        <f>IF($E$12="NO",G59+1,
IF(OR(D60&lt;$F$8,D60&gt;$F$9),MAX($G$26:G59)+1,""))</f>
        <v>22</v>
      </c>
      <c r="H60" s="809">
        <f t="shared" si="13"/>
        <v>104463460.9699277</v>
      </c>
      <c r="I60" s="809">
        <f t="shared" si="14"/>
        <v>-500554.08381423686</v>
      </c>
      <c r="J60" s="817">
        <f t="shared" si="15"/>
        <v>-123423.07809010886</v>
      </c>
      <c r="K60" s="809">
        <f t="shared" si="2"/>
        <v>-623977.16190434573</v>
      </c>
      <c r="L60" s="791">
        <f t="shared" si="11"/>
        <v>104340037.8918376</v>
      </c>
    </row>
    <row r="61" spans="3:12">
      <c r="C61" s="814">
        <f t="shared" si="9"/>
        <v>35</v>
      </c>
      <c r="D61" s="815">
        <f t="shared" si="12"/>
        <v>49278</v>
      </c>
      <c r="E61" s="800">
        <f t="shared" si="5"/>
        <v>3</v>
      </c>
      <c r="F61" s="800">
        <f t="shared" si="10"/>
        <v>4</v>
      </c>
      <c r="G61" s="816">
        <f>IF($E$12="NO",G60+1,
IF(OR(D61&lt;$F$8,D61&gt;$F$9),MAX($G$26:G60)+1,""))</f>
        <v>23</v>
      </c>
      <c r="H61" s="809">
        <f t="shared" si="13"/>
        <v>104340037.8918376</v>
      </c>
      <c r="I61" s="809">
        <f t="shared" si="14"/>
        <v>-499962.68156505516</v>
      </c>
      <c r="J61" s="817">
        <f t="shared" si="15"/>
        <v>-124014.48033929063</v>
      </c>
      <c r="K61" s="809">
        <f t="shared" si="2"/>
        <v>-623977.16190434573</v>
      </c>
      <c r="L61" s="791">
        <f t="shared" si="11"/>
        <v>104216023.41149831</v>
      </c>
    </row>
    <row r="62" spans="3:12">
      <c r="C62" s="814">
        <f t="shared" si="9"/>
        <v>36</v>
      </c>
      <c r="D62" s="815">
        <f t="shared" si="12"/>
        <v>49309</v>
      </c>
      <c r="E62" s="800">
        <f t="shared" si="5"/>
        <v>3</v>
      </c>
      <c r="F62" s="800">
        <f t="shared" si="10"/>
        <v>4</v>
      </c>
      <c r="G62" s="816">
        <f>IF($E$12="NO",G61+1,
IF(OR(D62&lt;$F$8,D62&gt;$F$9),MAX($G$26:G61)+1,""))</f>
        <v>24</v>
      </c>
      <c r="H62" s="809">
        <f t="shared" si="13"/>
        <v>104216023.41149831</v>
      </c>
      <c r="I62" s="809">
        <f t="shared" si="14"/>
        <v>-499368.44551342941</v>
      </c>
      <c r="J62" s="817">
        <f t="shared" si="15"/>
        <v>-124608.71639091639</v>
      </c>
      <c r="K62" s="809">
        <f t="shared" si="2"/>
        <v>-623977.16190434585</v>
      </c>
      <c r="L62" s="791">
        <f t="shared" si="11"/>
        <v>104091414.69510739</v>
      </c>
    </row>
    <row r="63" spans="3:12">
      <c r="C63" s="814">
        <f t="shared" si="9"/>
        <v>37</v>
      </c>
      <c r="D63" s="815">
        <f t="shared" si="12"/>
        <v>49340</v>
      </c>
      <c r="E63" s="800">
        <f t="shared" si="5"/>
        <v>4</v>
      </c>
      <c r="F63" s="800">
        <f t="shared" si="10"/>
        <v>1</v>
      </c>
      <c r="G63" s="816">
        <f>IF($E$12="NO",G62+1,
IF(OR(D63&lt;$F$8,D63&gt;$F$9),MAX($G$26:G62)+1,""))</f>
        <v>25</v>
      </c>
      <c r="H63" s="809">
        <f t="shared" si="13"/>
        <v>104091414.69510739</v>
      </c>
      <c r="I63" s="809">
        <f t="shared" si="14"/>
        <v>-498771.36208072287</v>
      </c>
      <c r="J63" s="817">
        <f t="shared" si="15"/>
        <v>-125205.79982362287</v>
      </c>
      <c r="K63" s="809">
        <f t="shared" si="2"/>
        <v>-623977.16190434573</v>
      </c>
      <c r="L63" s="791">
        <f t="shared" si="11"/>
        <v>103966208.89528376</v>
      </c>
    </row>
    <row r="64" spans="3:12">
      <c r="C64" s="814">
        <f t="shared" si="9"/>
        <v>38</v>
      </c>
      <c r="D64" s="815">
        <f t="shared" si="12"/>
        <v>49368</v>
      </c>
      <c r="E64" s="800">
        <f t="shared" si="5"/>
        <v>4</v>
      </c>
      <c r="F64" s="800">
        <f t="shared" si="10"/>
        <v>1</v>
      </c>
      <c r="G64" s="816">
        <f>IF($E$12="NO",G63+1,
IF(OR(D64&lt;$F$8,D64&gt;$F$9),MAX($G$26:G63)+1,""))</f>
        <v>26</v>
      </c>
      <c r="H64" s="809">
        <f t="shared" si="13"/>
        <v>103966208.89528376</v>
      </c>
      <c r="I64" s="809">
        <f t="shared" si="14"/>
        <v>-498171.41762323468</v>
      </c>
      <c r="J64" s="817">
        <f t="shared" si="15"/>
        <v>-125805.74428111107</v>
      </c>
      <c r="K64" s="809">
        <f t="shared" si="2"/>
        <v>-623977.16190434573</v>
      </c>
      <c r="L64" s="791">
        <f t="shared" si="11"/>
        <v>103840403.15100265</v>
      </c>
    </row>
    <row r="65" spans="3:12">
      <c r="C65" s="814">
        <f t="shared" si="9"/>
        <v>39</v>
      </c>
      <c r="D65" s="815">
        <f t="shared" si="12"/>
        <v>49399</v>
      </c>
      <c r="E65" s="800">
        <f t="shared" si="5"/>
        <v>4</v>
      </c>
      <c r="F65" s="800">
        <f t="shared" si="10"/>
        <v>1</v>
      </c>
      <c r="G65" s="816">
        <f>IF($E$12="NO",G64+1,
IF(OR(D65&lt;$F$8,D65&gt;$F$9),MAX($G$26:G64)+1,""))</f>
        <v>27</v>
      </c>
      <c r="H65" s="809">
        <f t="shared" si="13"/>
        <v>103840403.15100265</v>
      </c>
      <c r="I65" s="809">
        <f t="shared" si="14"/>
        <v>-497568.59843188775</v>
      </c>
      <c r="J65" s="817">
        <f t="shared" si="15"/>
        <v>-126408.56347245804</v>
      </c>
      <c r="K65" s="809">
        <f t="shared" si="2"/>
        <v>-623977.16190434573</v>
      </c>
      <c r="L65" s="791">
        <f t="shared" si="11"/>
        <v>103713994.58753018</v>
      </c>
    </row>
    <row r="66" spans="3:12">
      <c r="C66" s="814">
        <f t="shared" si="9"/>
        <v>40</v>
      </c>
      <c r="D66" s="815">
        <f t="shared" si="12"/>
        <v>49429</v>
      </c>
      <c r="E66" s="800">
        <f t="shared" si="5"/>
        <v>4</v>
      </c>
      <c r="F66" s="800">
        <f t="shared" si="10"/>
        <v>2</v>
      </c>
      <c r="G66" s="816">
        <f>IF($E$12="NO",G65+1,
IF(OR(D66&lt;$F$8,D66&gt;$F$9),MAX($G$26:G65)+1,""))</f>
        <v>28</v>
      </c>
      <c r="H66" s="809">
        <f t="shared" si="13"/>
        <v>103713994.58753018</v>
      </c>
      <c r="I66" s="809">
        <f t="shared" si="14"/>
        <v>-496962.89073191542</v>
      </c>
      <c r="J66" s="817">
        <f t="shared" si="15"/>
        <v>-127014.27117243025</v>
      </c>
      <c r="K66" s="809">
        <f t="shared" si="2"/>
        <v>-623977.16190434573</v>
      </c>
      <c r="L66" s="791">
        <f t="shared" si="11"/>
        <v>103586980.31635775</v>
      </c>
    </row>
    <row r="67" spans="3:12">
      <c r="C67" s="814">
        <f t="shared" si="9"/>
        <v>41</v>
      </c>
      <c r="D67" s="815">
        <f t="shared" si="12"/>
        <v>49460</v>
      </c>
      <c r="E67" s="800">
        <f t="shared" si="5"/>
        <v>4</v>
      </c>
      <c r="F67" s="800">
        <f t="shared" si="10"/>
        <v>2</v>
      </c>
      <c r="G67" s="816">
        <f>IF($E$12="NO",G66+1,
IF(OR(D67&lt;$F$8,D67&gt;$F$9),MAX($G$26:G66)+1,""))</f>
        <v>29</v>
      </c>
      <c r="H67" s="809">
        <f t="shared" si="13"/>
        <v>103586980.31635775</v>
      </c>
      <c r="I67" s="809">
        <f t="shared" si="14"/>
        <v>-496354.28068254754</v>
      </c>
      <c r="J67" s="817">
        <f t="shared" si="15"/>
        <v>-127622.88122179816</v>
      </c>
      <c r="K67" s="809">
        <f t="shared" si="2"/>
        <v>-623977.16190434573</v>
      </c>
      <c r="L67" s="791">
        <f t="shared" si="11"/>
        <v>103459357.43513595</v>
      </c>
    </row>
    <row r="68" spans="3:12">
      <c r="C68" s="814">
        <f t="shared" si="9"/>
        <v>42</v>
      </c>
      <c r="D68" s="815">
        <f t="shared" si="12"/>
        <v>49490</v>
      </c>
      <c r="E68" s="800">
        <f t="shared" si="5"/>
        <v>4</v>
      </c>
      <c r="F68" s="800">
        <f t="shared" si="10"/>
        <v>2</v>
      </c>
      <c r="G68" s="816">
        <f>IF($E$12="NO",G67+1,
IF(OR(D68&lt;$F$8,D68&gt;$F$9),MAX($G$26:G67)+1,""))</f>
        <v>30</v>
      </c>
      <c r="H68" s="809">
        <f t="shared" si="13"/>
        <v>103459357.43513595</v>
      </c>
      <c r="I68" s="809">
        <f t="shared" si="14"/>
        <v>-495742.7543766931</v>
      </c>
      <c r="J68" s="817">
        <f t="shared" si="15"/>
        <v>-128234.40752765258</v>
      </c>
      <c r="K68" s="809">
        <f t="shared" si="2"/>
        <v>-623977.16190434573</v>
      </c>
      <c r="L68" s="791">
        <f t="shared" si="11"/>
        <v>103331123.02760829</v>
      </c>
    </row>
    <row r="69" spans="3:12">
      <c r="C69" s="814">
        <f t="shared" si="9"/>
        <v>43</v>
      </c>
      <c r="D69" s="815">
        <f t="shared" si="12"/>
        <v>49521</v>
      </c>
      <c r="E69" s="800">
        <f t="shared" si="5"/>
        <v>4</v>
      </c>
      <c r="F69" s="800">
        <f t="shared" si="10"/>
        <v>3</v>
      </c>
      <c r="G69" s="816">
        <f>IF($E$12="NO",G68+1,
IF(OR(D69&lt;$F$8,D69&gt;$F$9),MAX($G$26:G68)+1,""))</f>
        <v>31</v>
      </c>
      <c r="H69" s="809">
        <f t="shared" si="13"/>
        <v>103331123.02760829</v>
      </c>
      <c r="I69" s="809">
        <f t="shared" si="14"/>
        <v>-495128.29784062313</v>
      </c>
      <c r="J69" s="817">
        <f t="shared" si="15"/>
        <v>-128848.86406372261</v>
      </c>
      <c r="K69" s="809">
        <f t="shared" si="2"/>
        <v>-623977.16190434573</v>
      </c>
      <c r="L69" s="791">
        <f t="shared" si="11"/>
        <v>103202274.16354457</v>
      </c>
    </row>
    <row r="70" spans="3:12">
      <c r="C70" s="814">
        <f t="shared" si="9"/>
        <v>44</v>
      </c>
      <c r="D70" s="815">
        <f t="shared" si="12"/>
        <v>49552</v>
      </c>
      <c r="E70" s="800">
        <f t="shared" si="5"/>
        <v>4</v>
      </c>
      <c r="F70" s="800">
        <f t="shared" si="10"/>
        <v>3</v>
      </c>
      <c r="G70" s="816">
        <f>IF($E$12="NO",G69+1,
IF(OR(D70&lt;$F$8,D70&gt;$F$9),MAX($G$26:G69)+1,""))</f>
        <v>32</v>
      </c>
      <c r="H70" s="809">
        <f t="shared" si="13"/>
        <v>103202274.16354457</v>
      </c>
      <c r="I70" s="809">
        <f t="shared" si="14"/>
        <v>-494510.89703365107</v>
      </c>
      <c r="J70" s="817">
        <f t="shared" si="15"/>
        <v>-129466.26487069462</v>
      </c>
      <c r="K70" s="809">
        <f t="shared" si="2"/>
        <v>-623977.16190434573</v>
      </c>
      <c r="L70" s="791">
        <f t="shared" si="11"/>
        <v>103072807.89867388</v>
      </c>
    </row>
    <row r="71" spans="3:12">
      <c r="C71" s="814">
        <f t="shared" si="9"/>
        <v>45</v>
      </c>
      <c r="D71" s="815">
        <f t="shared" si="12"/>
        <v>49582</v>
      </c>
      <c r="E71" s="800">
        <f t="shared" si="5"/>
        <v>4</v>
      </c>
      <c r="F71" s="800">
        <f t="shared" si="10"/>
        <v>3</v>
      </c>
      <c r="G71" s="816">
        <f>IF($E$12="NO",G70+1,
IF(OR(D71&lt;$F$8,D71&gt;$F$9),MAX($G$26:G70)+1,""))</f>
        <v>33</v>
      </c>
      <c r="H71" s="809">
        <f t="shared" si="13"/>
        <v>103072807.89867388</v>
      </c>
      <c r="I71" s="809">
        <f t="shared" si="14"/>
        <v>-493890.53784781235</v>
      </c>
      <c r="J71" s="817">
        <f t="shared" si="15"/>
        <v>-130086.62405653333</v>
      </c>
      <c r="K71" s="809">
        <f t="shared" si="2"/>
        <v>-623977.16190434573</v>
      </c>
      <c r="L71" s="791">
        <f t="shared" si="11"/>
        <v>102942721.27461734</v>
      </c>
    </row>
    <row r="72" spans="3:12">
      <c r="C72" s="814">
        <f t="shared" si="9"/>
        <v>46</v>
      </c>
      <c r="D72" s="815">
        <f t="shared" si="12"/>
        <v>49613</v>
      </c>
      <c r="E72" s="800">
        <f t="shared" si="5"/>
        <v>4</v>
      </c>
      <c r="F72" s="800">
        <f t="shared" si="10"/>
        <v>4</v>
      </c>
      <c r="G72" s="816">
        <f>IF($E$12="NO",G71+1,
IF(OR(D72&lt;$F$8,D72&gt;$F$9),MAX($G$26:G71)+1,""))</f>
        <v>34</v>
      </c>
      <c r="H72" s="809">
        <f t="shared" si="13"/>
        <v>102942721.27461734</v>
      </c>
      <c r="I72" s="809">
        <f t="shared" si="14"/>
        <v>-493267.20610754145</v>
      </c>
      <c r="J72" s="817">
        <f t="shared" si="15"/>
        <v>-130709.95579680422</v>
      </c>
      <c r="K72" s="809">
        <f t="shared" si="2"/>
        <v>-623977.16190434573</v>
      </c>
      <c r="L72" s="791">
        <f t="shared" si="11"/>
        <v>102812011.31882054</v>
      </c>
    </row>
    <row r="73" spans="3:12">
      <c r="C73" s="814">
        <f t="shared" si="9"/>
        <v>47</v>
      </c>
      <c r="D73" s="815">
        <f t="shared" si="12"/>
        <v>49643</v>
      </c>
      <c r="E73" s="800">
        <f t="shared" si="5"/>
        <v>4</v>
      </c>
      <c r="F73" s="800">
        <f t="shared" si="10"/>
        <v>4</v>
      </c>
      <c r="G73" s="816">
        <f>IF($E$12="NO",G72+1,
IF(OR(D73&lt;$F$8,D73&gt;$F$9),MAX($G$26:G72)+1,""))</f>
        <v>35</v>
      </c>
      <c r="H73" s="809">
        <f t="shared" si="13"/>
        <v>102812011.31882054</v>
      </c>
      <c r="I73" s="809">
        <f t="shared" si="14"/>
        <v>-492640.88756934839</v>
      </c>
      <c r="J73" s="817">
        <f t="shared" si="15"/>
        <v>-131336.27433499726</v>
      </c>
      <c r="K73" s="809">
        <f t="shared" si="2"/>
        <v>-623977.16190434562</v>
      </c>
      <c r="L73" s="791">
        <f t="shared" si="11"/>
        <v>102680675.04448554</v>
      </c>
    </row>
    <row r="74" spans="3:12">
      <c r="C74" s="814">
        <f t="shared" si="9"/>
        <v>48</v>
      </c>
      <c r="D74" s="815">
        <f t="shared" si="12"/>
        <v>49674</v>
      </c>
      <c r="E74" s="800">
        <f t="shared" si="5"/>
        <v>4</v>
      </c>
      <c r="F74" s="800">
        <f t="shared" si="10"/>
        <v>4</v>
      </c>
      <c r="G74" s="816">
        <f>IF($E$12="NO",G73+1,
IF(OR(D74&lt;$F$8,D74&gt;$F$9),MAX($G$26:G73)+1,""))</f>
        <v>36</v>
      </c>
      <c r="H74" s="809">
        <f t="shared" si="13"/>
        <v>102680675.04448554</v>
      </c>
      <c r="I74" s="809">
        <f t="shared" si="14"/>
        <v>-492011.5679214932</v>
      </c>
      <c r="J74" s="817">
        <f t="shared" si="15"/>
        <v>-131965.59398285244</v>
      </c>
      <c r="K74" s="809">
        <f t="shared" si="2"/>
        <v>-623977.16190434562</v>
      </c>
      <c r="L74" s="791">
        <f t="shared" si="11"/>
        <v>102548709.45050269</v>
      </c>
    </row>
    <row r="75" spans="3:12">
      <c r="C75" s="814">
        <f t="shared" si="9"/>
        <v>49</v>
      </c>
      <c r="D75" s="815">
        <f t="shared" si="12"/>
        <v>49705</v>
      </c>
      <c r="E75" s="800">
        <f t="shared" si="5"/>
        <v>5</v>
      </c>
      <c r="F75" s="800">
        <f t="shared" si="10"/>
        <v>1</v>
      </c>
      <c r="G75" s="816">
        <f>IF($E$12="NO",G74+1,
IF(OR(D75&lt;$F$8,D75&gt;$F$9),MAX($G$26:G74)+1,""))</f>
        <v>37</v>
      </c>
      <c r="H75" s="809">
        <f t="shared" si="13"/>
        <v>102548709.45050269</v>
      </c>
      <c r="I75" s="809">
        <f t="shared" si="14"/>
        <v>-491379.23278365872</v>
      </c>
      <c r="J75" s="817">
        <f t="shared" si="15"/>
        <v>-132597.92912068695</v>
      </c>
      <c r="K75" s="809">
        <f t="shared" si="2"/>
        <v>-623977.16190434573</v>
      </c>
      <c r="L75" s="791">
        <f t="shared" si="11"/>
        <v>102416111.521382</v>
      </c>
    </row>
    <row r="76" spans="3:12">
      <c r="C76" s="814">
        <f t="shared" si="9"/>
        <v>50</v>
      </c>
      <c r="D76" s="815">
        <f t="shared" si="12"/>
        <v>49734</v>
      </c>
      <c r="E76" s="800">
        <f t="shared" si="5"/>
        <v>5</v>
      </c>
      <c r="F76" s="800">
        <f t="shared" si="10"/>
        <v>1</v>
      </c>
      <c r="G76" s="816">
        <f>IF($E$12="NO",G75+1,
IF(OR(D76&lt;$F$8,D76&gt;$F$9),MAX($G$26:G75)+1,""))</f>
        <v>38</v>
      </c>
      <c r="H76" s="809">
        <f t="shared" si="13"/>
        <v>102416111.521382</v>
      </c>
      <c r="I76" s="809">
        <f t="shared" si="14"/>
        <v>-490743.86770662217</v>
      </c>
      <c r="J76" s="817">
        <f t="shared" si="15"/>
        <v>-133233.29419772359</v>
      </c>
      <c r="K76" s="809">
        <f t="shared" si="2"/>
        <v>-623977.16190434573</v>
      </c>
      <c r="L76" s="791">
        <f t="shared" si="11"/>
        <v>102282878.22718428</v>
      </c>
    </row>
    <row r="77" spans="3:12">
      <c r="C77" s="814">
        <f t="shared" si="9"/>
        <v>51</v>
      </c>
      <c r="D77" s="815">
        <f t="shared" si="12"/>
        <v>49765</v>
      </c>
      <c r="E77" s="800">
        <f t="shared" si="5"/>
        <v>5</v>
      </c>
      <c r="F77" s="800">
        <f t="shared" si="10"/>
        <v>1</v>
      </c>
      <c r="G77" s="816">
        <f>IF($E$12="NO",G76+1,
IF(OR(D77&lt;$F$8,D77&gt;$F$9),MAX($G$26:G76)+1,""))</f>
        <v>39</v>
      </c>
      <c r="H77" s="809">
        <f t="shared" si="13"/>
        <v>102282878.22718428</v>
      </c>
      <c r="I77" s="809">
        <f t="shared" si="14"/>
        <v>-490105.45817192475</v>
      </c>
      <c r="J77" s="817">
        <f t="shared" si="15"/>
        <v>-133871.70373242101</v>
      </c>
      <c r="K77" s="809">
        <f t="shared" si="2"/>
        <v>-623977.16190434573</v>
      </c>
      <c r="L77" s="791">
        <f t="shared" si="11"/>
        <v>102149006.52345186</v>
      </c>
    </row>
    <row r="78" spans="3:12">
      <c r="C78" s="814">
        <f t="shared" si="9"/>
        <v>52</v>
      </c>
      <c r="D78" s="815">
        <f t="shared" si="12"/>
        <v>49795</v>
      </c>
      <c r="E78" s="800">
        <f t="shared" si="5"/>
        <v>5</v>
      </c>
      <c r="F78" s="800">
        <f t="shared" si="10"/>
        <v>2</v>
      </c>
      <c r="G78" s="816">
        <f>IF($E$12="NO",G77+1,
IF(OR(D78&lt;$F$8,D78&gt;$F$9),MAX($G$26:G77)+1,""))</f>
        <v>40</v>
      </c>
      <c r="H78" s="809">
        <f t="shared" si="13"/>
        <v>102149006.52345186</v>
      </c>
      <c r="I78" s="809">
        <f t="shared" si="14"/>
        <v>-489463.98959154024</v>
      </c>
      <c r="J78" s="817">
        <f t="shared" si="15"/>
        <v>-134513.17231280552</v>
      </c>
      <c r="K78" s="809">
        <f t="shared" si="2"/>
        <v>-623977.16190434573</v>
      </c>
      <c r="L78" s="791">
        <f t="shared" si="11"/>
        <v>102014493.35113905</v>
      </c>
    </row>
    <row r="79" spans="3:12">
      <c r="C79" s="814">
        <f t="shared" si="9"/>
        <v>53</v>
      </c>
      <c r="D79" s="815">
        <f t="shared" si="12"/>
        <v>49826</v>
      </c>
      <c r="E79" s="800">
        <f t="shared" si="5"/>
        <v>5</v>
      </c>
      <c r="F79" s="800">
        <f t="shared" si="10"/>
        <v>2</v>
      </c>
      <c r="G79" s="816">
        <f>IF($E$12="NO",G78+1,
IF(OR(D79&lt;$F$8,D79&gt;$F$9),MAX($G$26:G78)+1,""))</f>
        <v>41</v>
      </c>
      <c r="H79" s="809">
        <f t="shared" si="13"/>
        <v>102014493.35113905</v>
      </c>
      <c r="I79" s="809">
        <f t="shared" si="14"/>
        <v>-488819.44730754133</v>
      </c>
      <c r="J79" s="817">
        <f t="shared" si="15"/>
        <v>-135157.71459680438</v>
      </c>
      <c r="K79" s="809">
        <f t="shared" si="2"/>
        <v>-623977.16190434573</v>
      </c>
      <c r="L79" s="791">
        <f t="shared" si="11"/>
        <v>101879335.63654225</v>
      </c>
    </row>
    <row r="80" spans="3:12">
      <c r="C80" s="814">
        <f t="shared" si="9"/>
        <v>54</v>
      </c>
      <c r="D80" s="815">
        <f t="shared" si="12"/>
        <v>49856</v>
      </c>
      <c r="E80" s="800">
        <f t="shared" si="5"/>
        <v>5</v>
      </c>
      <c r="F80" s="800">
        <f t="shared" si="10"/>
        <v>2</v>
      </c>
      <c r="G80" s="816">
        <f>IF($E$12="NO",G79+1,
IF(OR(D80&lt;$F$8,D80&gt;$F$9),MAX($G$26:G79)+1,""))</f>
        <v>42</v>
      </c>
      <c r="H80" s="809">
        <f t="shared" si="13"/>
        <v>101879335.63654225</v>
      </c>
      <c r="I80" s="809">
        <f t="shared" si="14"/>
        <v>-488171.81659176497</v>
      </c>
      <c r="J80" s="817">
        <f t="shared" si="15"/>
        <v>-135805.34531258073</v>
      </c>
      <c r="K80" s="809">
        <f t="shared" si="2"/>
        <v>-623977.16190434573</v>
      </c>
      <c r="L80" s="791">
        <f t="shared" si="11"/>
        <v>101743530.29122967</v>
      </c>
    </row>
    <row r="81" spans="3:12">
      <c r="C81" s="814">
        <f t="shared" si="9"/>
        <v>55</v>
      </c>
      <c r="D81" s="815">
        <f t="shared" si="12"/>
        <v>49887</v>
      </c>
      <c r="E81" s="800">
        <f t="shared" si="5"/>
        <v>5</v>
      </c>
      <c r="F81" s="800">
        <f t="shared" si="10"/>
        <v>3</v>
      </c>
      <c r="G81" s="816">
        <f>IF($E$12="NO",G80+1,
IF(OR(D81&lt;$F$8,D81&gt;$F$9),MAX($G$26:G80)+1,""))</f>
        <v>43</v>
      </c>
      <c r="H81" s="809">
        <f t="shared" si="13"/>
        <v>101743530.29122967</v>
      </c>
      <c r="I81" s="809">
        <f t="shared" si="14"/>
        <v>-487521.08264547546</v>
      </c>
      <c r="J81" s="817">
        <f t="shared" si="15"/>
        <v>-136456.07925887019</v>
      </c>
      <c r="K81" s="809">
        <f t="shared" si="2"/>
        <v>-623977.16190434562</v>
      </c>
      <c r="L81" s="791">
        <f t="shared" si="11"/>
        <v>101607074.21197079</v>
      </c>
    </row>
    <row r="82" spans="3:12">
      <c r="C82" s="814">
        <f t="shared" si="9"/>
        <v>56</v>
      </c>
      <c r="D82" s="815">
        <f t="shared" si="12"/>
        <v>49918</v>
      </c>
      <c r="E82" s="800">
        <f t="shared" si="5"/>
        <v>5</v>
      </c>
      <c r="F82" s="800">
        <f t="shared" si="10"/>
        <v>3</v>
      </c>
      <c r="G82" s="816">
        <f>IF($E$12="NO",G81+1,
IF(OR(D82&lt;$F$8,D82&gt;$F$9),MAX($G$26:G81)+1,""))</f>
        <v>44</v>
      </c>
      <c r="H82" s="809">
        <f t="shared" si="13"/>
        <v>101607074.21197079</v>
      </c>
      <c r="I82" s="809">
        <f t="shared" si="14"/>
        <v>-486867.23059902672</v>
      </c>
      <c r="J82" s="817">
        <f t="shared" si="15"/>
        <v>-137109.93130531895</v>
      </c>
      <c r="K82" s="809">
        <f t="shared" si="2"/>
        <v>-623977.16190434573</v>
      </c>
      <c r="L82" s="791">
        <f t="shared" si="11"/>
        <v>101469964.28066547</v>
      </c>
    </row>
    <row r="83" spans="3:12">
      <c r="C83" s="814">
        <f t="shared" si="9"/>
        <v>57</v>
      </c>
      <c r="D83" s="815">
        <f t="shared" si="12"/>
        <v>49948</v>
      </c>
      <c r="E83" s="800">
        <f t="shared" si="5"/>
        <v>5</v>
      </c>
      <c r="F83" s="800">
        <f t="shared" si="10"/>
        <v>3</v>
      </c>
      <c r="G83" s="816">
        <f>IF($E$12="NO",G82+1,
IF(OR(D83&lt;$F$8,D83&gt;$F$9),MAX($G$26:G82)+1,""))</f>
        <v>45</v>
      </c>
      <c r="H83" s="809">
        <f t="shared" si="13"/>
        <v>101469964.28066547</v>
      </c>
      <c r="I83" s="809">
        <f t="shared" si="14"/>
        <v>-486210.24551152205</v>
      </c>
      <c r="J83" s="817">
        <f t="shared" si="15"/>
        <v>-137766.91639282359</v>
      </c>
      <c r="K83" s="809">
        <f t="shared" si="2"/>
        <v>-623977.16190434562</v>
      </c>
      <c r="L83" s="791">
        <f t="shared" si="11"/>
        <v>101332197.36427265</v>
      </c>
    </row>
    <row r="84" spans="3:12">
      <c r="C84" s="814">
        <f t="shared" si="9"/>
        <v>58</v>
      </c>
      <c r="D84" s="815">
        <f t="shared" si="12"/>
        <v>49979</v>
      </c>
      <c r="E84" s="800">
        <f t="shared" si="5"/>
        <v>5</v>
      </c>
      <c r="F84" s="800">
        <f t="shared" si="10"/>
        <v>4</v>
      </c>
      <c r="G84" s="816">
        <f>IF($E$12="NO",G83+1,
IF(OR(D84&lt;$F$8,D84&gt;$F$9),MAX($G$26:G83)+1,""))</f>
        <v>46</v>
      </c>
      <c r="H84" s="809">
        <f t="shared" si="13"/>
        <v>101332197.36427265</v>
      </c>
      <c r="I84" s="809">
        <f t="shared" si="14"/>
        <v>-485550.11237047316</v>
      </c>
      <c r="J84" s="817">
        <f t="shared" si="15"/>
        <v>-138427.04953387252</v>
      </c>
      <c r="K84" s="809">
        <f t="shared" si="2"/>
        <v>-623977.16190434573</v>
      </c>
      <c r="L84" s="791">
        <f t="shared" si="11"/>
        <v>101193770.31473878</v>
      </c>
    </row>
    <row r="85" spans="3:12">
      <c r="C85" s="814">
        <f t="shared" si="9"/>
        <v>59</v>
      </c>
      <c r="D85" s="815">
        <f t="shared" si="12"/>
        <v>50009</v>
      </c>
      <c r="E85" s="800">
        <f t="shared" si="5"/>
        <v>5</v>
      </c>
      <c r="F85" s="800">
        <f t="shared" si="10"/>
        <v>4</v>
      </c>
      <c r="G85" s="816">
        <f>IF($E$12="NO",G84+1,
IF(OR(D85&lt;$F$8,D85&gt;$F$9),MAX($G$26:G84)+1,""))</f>
        <v>47</v>
      </c>
      <c r="H85" s="809">
        <f t="shared" si="13"/>
        <v>101193770.31473878</v>
      </c>
      <c r="I85" s="809">
        <f t="shared" si="14"/>
        <v>-484886.81609145668</v>
      </c>
      <c r="J85" s="817">
        <f t="shared" si="15"/>
        <v>-139090.34581288902</v>
      </c>
      <c r="K85" s="809">
        <f t="shared" si="2"/>
        <v>-623977.16190434573</v>
      </c>
      <c r="L85" s="791">
        <f t="shared" si="11"/>
        <v>101054679.96892589</v>
      </c>
    </row>
    <row r="86" spans="3:12">
      <c r="C86" s="818">
        <f t="shared" si="9"/>
        <v>60</v>
      </c>
      <c r="D86" s="819">
        <f t="shared" si="12"/>
        <v>50040</v>
      </c>
      <c r="E86" s="820">
        <f t="shared" si="5"/>
        <v>5</v>
      </c>
      <c r="F86" s="821">
        <f t="shared" si="10"/>
        <v>4</v>
      </c>
      <c r="G86" s="821">
        <f>IF($E$12="NO",G85+1,
IF(OR(D86&lt;$F$8,D86&gt;$F$9),MAX($G$26:G85)+1,""))</f>
        <v>48</v>
      </c>
      <c r="H86" s="810">
        <f t="shared" si="13"/>
        <v>101054679.96892589</v>
      </c>
      <c r="I86" s="810">
        <f t="shared" si="14"/>
        <v>-484220.34151776996</v>
      </c>
      <c r="J86" s="822">
        <f t="shared" si="15"/>
        <v>-139756.82038657577</v>
      </c>
      <c r="K86" s="810">
        <f t="shared" si="2"/>
        <v>-623977.16190434573</v>
      </c>
      <c r="L86" s="808">
        <f t="shared" si="11"/>
        <v>100914923.14853932</v>
      </c>
    </row>
  </sheetData>
  <conditionalFormatting sqref="F10">
    <cfRule type="expression" dxfId="99" priority="2">
      <formula>#REF!=#REF!</formula>
    </cfRule>
  </conditionalFormatting>
  <conditionalFormatting sqref="E10:E11">
    <cfRule type="expression" dxfId="98" priority="1">
      <formula>#REF!=#REF!</formula>
    </cfRule>
  </conditionalFormatting>
  <dataValidations count="1">
    <dataValidation type="list" allowBlank="1" showInputMessage="1" showErrorMessage="1" sqref="E12:F12" xr:uid="{76D9DD02-9028-48AB-812C-68403E29CF6B}">
      <formula1>"YES, NO"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6DD69-7A0A-49EC-9AEE-EAB6E5C2E18B}">
  <sheetPr>
    <tabColor rgb="FF92D050"/>
    <pageSetUpPr fitToPage="1"/>
  </sheetPr>
  <dimension ref="A1:AC185"/>
  <sheetViews>
    <sheetView showGridLines="0" topLeftCell="B1" zoomScale="56" zoomScaleNormal="56" zoomScaleSheetLayoutView="90" workbookViewId="0">
      <selection activeCell="D8" sqref="D8"/>
    </sheetView>
  </sheetViews>
  <sheetFormatPr defaultColWidth="8.85546875" defaultRowHeight="23.25" customHeight="1"/>
  <cols>
    <col min="1" max="1" width="46.140625" style="5" bestFit="1" customWidth="1"/>
    <col min="2" max="2" width="28.85546875" style="5" bestFit="1" customWidth="1"/>
    <col min="3" max="3" width="35.5703125" style="5" customWidth="1"/>
    <col min="4" max="4" width="19.42578125" style="5" bestFit="1" customWidth="1"/>
    <col min="5" max="5" width="19.85546875" style="5" bestFit="1" customWidth="1"/>
    <col min="6" max="6" width="12.42578125" style="5" bestFit="1" customWidth="1"/>
    <col min="7" max="7" width="32.85546875" style="5" bestFit="1" customWidth="1"/>
    <col min="8" max="8" width="28.85546875" style="5" bestFit="1" customWidth="1"/>
    <col min="9" max="9" width="35.5703125" style="5" customWidth="1"/>
    <col min="10" max="11" width="26.85546875" style="5" customWidth="1"/>
    <col min="12" max="12" width="1.5703125" style="5" customWidth="1"/>
    <col min="13" max="13" width="32.85546875" style="5" bestFit="1" customWidth="1"/>
    <col min="14" max="14" width="28.85546875" style="5" bestFit="1" customWidth="1"/>
    <col min="15" max="15" width="35.5703125" style="5" customWidth="1"/>
    <col min="16" max="17" width="26.85546875" style="5" customWidth="1"/>
    <col min="18" max="18" width="1.5703125" style="5" customWidth="1"/>
    <col min="19" max="19" width="32.85546875" style="5" bestFit="1" customWidth="1"/>
    <col min="20" max="20" width="28.85546875" style="5" bestFit="1" customWidth="1"/>
    <col min="21" max="21" width="35.5703125" style="5" customWidth="1"/>
    <col min="22" max="23" width="26.85546875" style="5" customWidth="1"/>
    <col min="24" max="24" width="21.42578125" style="5" bestFit="1" customWidth="1"/>
    <col min="25" max="26" width="24.42578125" style="5" customWidth="1"/>
    <col min="27" max="27" width="32.42578125" style="5" customWidth="1"/>
    <col min="28" max="28" width="20.140625" style="5" customWidth="1"/>
    <col min="29" max="29" width="13.42578125" style="5" bestFit="1" customWidth="1"/>
    <col min="30" max="16384" width="8.85546875" style="5"/>
  </cols>
  <sheetData>
    <row r="1" spans="1:29" ht="23.25" customHeight="1" thickBot="1">
      <c r="A1" s="2"/>
      <c r="B1" s="75"/>
      <c r="C1" s="3"/>
      <c r="D1" s="4"/>
      <c r="Y1" s="124"/>
    </row>
    <row r="2" spans="1:29" ht="30" customHeight="1" thickBot="1">
      <c r="A2" s="1000" t="s">
        <v>381</v>
      </c>
      <c r="B2" s="142"/>
      <c r="C2" s="142" t="s">
        <v>89</v>
      </c>
      <c r="D2" s="1075" t="s">
        <v>105</v>
      </c>
      <c r="E2" s="1076"/>
      <c r="Y2" s="99"/>
    </row>
    <row r="3" spans="1:29" ht="20.25" customHeight="1">
      <c r="B3" s="55"/>
      <c r="C3" s="55"/>
      <c r="D3" s="55"/>
      <c r="E3" s="55"/>
      <c r="Y3" s="137"/>
    </row>
    <row r="4" spans="1:29" ht="24.95" customHeight="1" thickBot="1">
      <c r="A4" s="181" t="s">
        <v>382</v>
      </c>
      <c r="B4" s="117"/>
      <c r="Y4" s="123"/>
      <c r="Z4" s="135"/>
      <c r="AA4" s="55"/>
      <c r="AB4" s="55"/>
      <c r="AC4" s="55"/>
    </row>
    <row r="5" spans="1:29" ht="15" customHeight="1" thickBot="1">
      <c r="A5" s="750" t="s">
        <v>383</v>
      </c>
      <c r="B5" s="751"/>
      <c r="C5" s="180" t="s">
        <v>384</v>
      </c>
      <c r="D5" s="170">
        <f>SUM(E129,K129,Q129)</f>
        <v>534382.54784000013</v>
      </c>
      <c r="E5" s="568">
        <f>B28-B10-B11+B25</f>
        <v>67417731.32718727</v>
      </c>
      <c r="J5" s="168"/>
      <c r="Y5" s="123"/>
      <c r="Z5" s="135"/>
      <c r="AA5" s="55"/>
      <c r="AB5" s="135"/>
      <c r="AC5" s="55"/>
    </row>
    <row r="6" spans="1:29" ht="15" customHeight="1" thickBot="1">
      <c r="A6" s="752" t="s">
        <v>33</v>
      </c>
      <c r="B6" s="753" t="s">
        <v>385</v>
      </c>
      <c r="C6" s="180" t="s">
        <v>386</v>
      </c>
      <c r="D6" s="170">
        <f>SUM(B171,H171,N171)</f>
        <v>716123.72278646461</v>
      </c>
      <c r="E6" s="274"/>
      <c r="J6" s="168"/>
      <c r="Y6" s="123"/>
      <c r="Z6" s="135"/>
      <c r="AA6" s="55"/>
      <c r="AB6" s="135"/>
      <c r="AC6" s="55"/>
    </row>
    <row r="7" spans="1:29" ht="15" customHeight="1">
      <c r="A7" s="754" t="s">
        <v>387</v>
      </c>
      <c r="B7" s="755">
        <f>SUM(C133,I133,O133)</f>
        <v>63561938.000000015</v>
      </c>
      <c r="C7" s="180" t="s">
        <v>388</v>
      </c>
      <c r="D7" s="364">
        <f>IFERROR((D6/D5)^(1/(D8+1))-1,0)</f>
        <v>5.0000000000000044E-2</v>
      </c>
      <c r="G7" s="278"/>
      <c r="J7" s="168"/>
      <c r="Y7" s="123"/>
      <c r="Z7" s="135"/>
      <c r="AA7" s="55"/>
      <c r="AB7" s="135"/>
      <c r="AC7" s="55"/>
    </row>
    <row r="8" spans="1:29" ht="15" customHeight="1">
      <c r="A8" s="17" t="s">
        <v>77</v>
      </c>
      <c r="B8" s="143">
        <f>SUM(C134,I134,O134)</f>
        <v>3178096.9000000008</v>
      </c>
      <c r="C8" s="180" t="s">
        <v>125</v>
      </c>
      <c r="D8" s="362">
        <f>Assumptions!$L$41</f>
        <v>5</v>
      </c>
      <c r="E8" s="274"/>
      <c r="F8" s="361"/>
      <c r="J8" s="168"/>
      <c r="Y8" s="123"/>
      <c r="Z8" s="135"/>
      <c r="AA8" s="55"/>
      <c r="AB8" s="135"/>
      <c r="AC8" s="55"/>
    </row>
    <row r="9" spans="1:29" ht="15" customHeight="1">
      <c r="A9" s="17" t="s">
        <v>389</v>
      </c>
      <c r="B9" s="143">
        <f>SUM(C135,I135,O135)</f>
        <v>0</v>
      </c>
      <c r="C9" s="272" t="s">
        <v>390</v>
      </c>
      <c r="D9" s="170">
        <f>SUM(B$164,H$164,N$164)</f>
        <v>54790062</v>
      </c>
      <c r="J9" s="168"/>
      <c r="Y9" s="123"/>
      <c r="Z9" s="135"/>
      <c r="AA9" s="55"/>
      <c r="AB9" s="135"/>
      <c r="AC9" s="55"/>
    </row>
    <row r="10" spans="1:29" ht="15" customHeight="1">
      <c r="A10" s="17" t="s">
        <v>391</v>
      </c>
      <c r="B10" s="143">
        <f t="shared" ref="B10:B23" si="0">SUM(C136,I136,O136)</f>
        <v>808909.2</v>
      </c>
      <c r="C10" s="180" t="s">
        <v>392</v>
      </c>
      <c r="D10" s="170">
        <f>SUM(B$175,H$175,N$175)</f>
        <v>15622379.116634971</v>
      </c>
      <c r="E10" s="835"/>
      <c r="J10" s="168"/>
      <c r="Y10" s="123"/>
      <c r="Z10" s="135"/>
      <c r="AA10" s="55"/>
      <c r="AB10" s="135"/>
      <c r="AC10" s="55"/>
    </row>
    <row r="11" spans="1:29" ht="15" customHeight="1" thickBot="1">
      <c r="A11" s="17" t="s">
        <v>393</v>
      </c>
      <c r="B11" s="143">
        <f t="shared" si="0"/>
        <v>2480000</v>
      </c>
      <c r="C11" s="180" t="s">
        <v>394</v>
      </c>
      <c r="D11" s="543" t="str">
        <f>IF(OR(B35="YES",H35="YES",N35="YES"),"YES","NO")</f>
        <v>YES</v>
      </c>
      <c r="J11" s="168"/>
      <c r="Y11" s="123"/>
      <c r="Z11" s="135"/>
      <c r="AA11" s="55"/>
      <c r="AB11" s="135"/>
      <c r="AC11" s="55"/>
    </row>
    <row r="12" spans="1:29" ht="15" customHeight="1">
      <c r="A12" s="17" t="s">
        <v>79</v>
      </c>
      <c r="B12" s="143">
        <f t="shared" si="0"/>
        <v>1271238.7600000002</v>
      </c>
      <c r="C12" s="749" t="s">
        <v>395</v>
      </c>
      <c r="D12" s="757"/>
      <c r="E12" s="758"/>
      <c r="G12" s="124"/>
      <c r="H12" s="124"/>
      <c r="J12" s="117"/>
      <c r="Y12" s="123"/>
      <c r="Z12" s="135"/>
      <c r="AA12" s="55"/>
      <c r="AB12" s="135"/>
      <c r="AC12" s="55"/>
    </row>
    <row r="13" spans="1:29" ht="15" customHeight="1">
      <c r="A13" s="377" t="s">
        <v>83</v>
      </c>
      <c r="B13" s="143">
        <f t="shared" si="0"/>
        <v>953429.07000000018</v>
      </c>
      <c r="C13" s="844"/>
      <c r="D13" s="541" t="s">
        <v>12</v>
      </c>
      <c r="E13" s="542" t="s">
        <v>396</v>
      </c>
      <c r="G13" s="289"/>
      <c r="H13" s="554"/>
      <c r="Y13" s="123"/>
      <c r="Z13" s="135"/>
      <c r="AA13" s="55"/>
      <c r="AB13" s="135"/>
      <c r="AC13" s="55"/>
    </row>
    <row r="14" spans="1:29" ht="15" customHeight="1">
      <c r="A14" s="377" t="s">
        <v>84</v>
      </c>
      <c r="B14" s="143">
        <f t="shared" si="0"/>
        <v>20222.73</v>
      </c>
      <c r="C14" s="845" t="s">
        <v>9</v>
      </c>
      <c r="D14" s="546">
        <f>SUM(B157,H157,N157)</f>
        <v>52056382.747943603</v>
      </c>
      <c r="E14" s="759">
        <f>D14/$D$17</f>
        <v>0.59807442993219018</v>
      </c>
      <c r="G14" s="283"/>
      <c r="H14" s="130"/>
      <c r="Y14" s="123"/>
      <c r="Z14" s="135"/>
      <c r="AA14" s="55"/>
      <c r="AB14" s="135"/>
      <c r="AC14" s="55"/>
    </row>
    <row r="15" spans="1:29" ht="15" customHeight="1">
      <c r="A15" s="377" t="s">
        <v>85</v>
      </c>
      <c r="B15" s="143">
        <f t="shared" si="0"/>
        <v>1271238.7600000002</v>
      </c>
      <c r="C15" s="846" t="s">
        <v>11</v>
      </c>
      <c r="D15" s="546">
        <f>SUM(B158,H158,N158)</f>
        <v>26816924.445910338</v>
      </c>
      <c r="E15" s="759">
        <f>D15/$D$17</f>
        <v>0.30809894875294641</v>
      </c>
      <c r="G15" s="283"/>
      <c r="H15" s="130"/>
      <c r="Y15" s="123"/>
      <c r="Z15" s="135"/>
      <c r="AA15" s="55"/>
      <c r="AB15" s="135"/>
      <c r="AC15" s="55"/>
    </row>
    <row r="16" spans="1:29" ht="15" customHeight="1">
      <c r="A16" s="377" t="s">
        <v>86</v>
      </c>
      <c r="B16" s="143">
        <f t="shared" si="0"/>
        <v>2224667.8300000005</v>
      </c>
      <c r="C16" s="847" t="s">
        <v>10</v>
      </c>
      <c r="D16" s="547">
        <f>-B25</f>
        <v>8166666.666666667</v>
      </c>
      <c r="E16" s="759">
        <f>D16/$D$17</f>
        <v>9.3826621314863287E-2</v>
      </c>
      <c r="Y16" s="123"/>
      <c r="Z16" s="135"/>
      <c r="AA16" s="55"/>
      <c r="AB16" s="135"/>
      <c r="AC16" s="55"/>
    </row>
    <row r="17" spans="1:29" ht="15" customHeight="1" thickBot="1">
      <c r="A17" s="377" t="s">
        <v>88</v>
      </c>
      <c r="B17" s="143">
        <f t="shared" si="0"/>
        <v>1271238.7600000002</v>
      </c>
      <c r="C17" s="848" t="s">
        <v>397</v>
      </c>
      <c r="D17" s="552">
        <f>SUM(D14:D16)</f>
        <v>87039973.860520616</v>
      </c>
      <c r="E17" s="561">
        <f>SUM(E14:E16)</f>
        <v>0.99999999999999989</v>
      </c>
      <c r="Y17" s="123"/>
      <c r="Z17" s="135"/>
      <c r="AA17" s="55"/>
      <c r="AB17" s="135"/>
      <c r="AC17" s="55"/>
    </row>
    <row r="18" spans="1:29" ht="15" customHeight="1" thickTop="1" thickBot="1">
      <c r="A18" s="377" t="s">
        <v>93</v>
      </c>
      <c r="B18" s="143">
        <f t="shared" si="0"/>
        <v>3178096.9000000008</v>
      </c>
      <c r="C18" s="849" t="s">
        <v>398</v>
      </c>
      <c r="D18" s="550" t="str">
        <f>IF(B29=D17,"YES","NO")</f>
        <v>YES</v>
      </c>
      <c r="E18" s="551"/>
      <c r="G18" s="356"/>
      <c r="H18" s="555"/>
      <c r="Y18" s="123"/>
      <c r="Z18" s="135"/>
      <c r="AA18" s="55"/>
      <c r="AB18" s="135"/>
      <c r="AC18" s="55"/>
    </row>
    <row r="19" spans="1:29" ht="15" customHeight="1">
      <c r="A19" s="377" t="s">
        <v>97</v>
      </c>
      <c r="B19" s="143">
        <f t="shared" si="0"/>
        <v>953429.07000000018</v>
      </c>
      <c r="C19" s="854" t="s">
        <v>399</v>
      </c>
      <c r="D19" s="853"/>
      <c r="G19" s="124"/>
      <c r="H19" s="124"/>
      <c r="Y19" s="123"/>
      <c r="Z19" s="135"/>
      <c r="AA19" s="55"/>
      <c r="AB19" s="135"/>
      <c r="AC19" s="55"/>
    </row>
    <row r="20" spans="1:29" ht="15" customHeight="1">
      <c r="A20" s="377" t="s">
        <v>100</v>
      </c>
      <c r="B20" s="143">
        <f t="shared" si="0"/>
        <v>200000</v>
      </c>
      <c r="C20" s="377" t="s">
        <v>400</v>
      </c>
      <c r="D20" s="413">
        <f ca="1">'2-D DRAW'!B50</f>
        <v>19474295.944161508</v>
      </c>
      <c r="F20" s="363"/>
      <c r="G20" s="12"/>
      <c r="H20" s="556"/>
      <c r="Y20" s="123"/>
      <c r="Z20" s="135"/>
      <c r="AA20" s="55"/>
      <c r="AB20" s="135"/>
      <c r="AC20" s="55"/>
    </row>
    <row r="21" spans="1:29" ht="15" customHeight="1">
      <c r="A21" s="377" t="s">
        <v>103</v>
      </c>
      <c r="B21" s="143">
        <f t="shared" si="0"/>
        <v>235757.00640000001</v>
      </c>
      <c r="C21" s="377" t="s">
        <v>401</v>
      </c>
      <c r="D21" s="549">
        <f ca="1">(D20+D15)/D15</f>
        <v>1.7261942354143223</v>
      </c>
      <c r="G21" s="12"/>
      <c r="H21" s="556"/>
      <c r="Y21" s="123"/>
      <c r="Z21" s="135"/>
      <c r="AA21" s="55"/>
      <c r="AB21" s="135"/>
      <c r="AC21" s="55"/>
    </row>
    <row r="22" spans="1:29" ht="15" customHeight="1">
      <c r="A22" s="377" t="s">
        <v>106</v>
      </c>
      <c r="B22" s="143">
        <f t="shared" si="0"/>
        <v>736740.64500000002</v>
      </c>
      <c r="C22" s="860" t="s">
        <v>402</v>
      </c>
      <c r="D22" s="861">
        <f ca="1">'2-D DRAW'!B59</f>
        <v>0</v>
      </c>
      <c r="G22" s="12"/>
      <c r="H22" s="556"/>
      <c r="Y22" s="123"/>
      <c r="Z22" s="135"/>
      <c r="AA22" s="55"/>
      <c r="AB22" s="135"/>
      <c r="AC22" s="55"/>
    </row>
    <row r="23" spans="1:29" ht="15" customHeight="1">
      <c r="A23" s="377" t="s">
        <v>403</v>
      </c>
      <c r="B23" s="143">
        <f t="shared" si="0"/>
        <v>23575.700640000003</v>
      </c>
      <c r="C23" s="860" t="s">
        <v>404</v>
      </c>
      <c r="D23" s="861">
        <f ca="1">'2-D DRAW'!B55</f>
        <v>0</v>
      </c>
      <c r="G23" s="12"/>
      <c r="H23" s="556"/>
      <c r="Y23" s="123"/>
      <c r="Z23" s="135"/>
      <c r="AA23" s="55"/>
      <c r="AB23" s="135"/>
      <c r="AC23" s="55"/>
    </row>
    <row r="24" spans="1:29" ht="15" customHeight="1">
      <c r="A24" s="377" t="s">
        <v>112</v>
      </c>
      <c r="B24" s="143">
        <f>SUM(C150,I150,O150)</f>
        <v>251394.52848060004</v>
      </c>
      <c r="C24" s="860" t="s">
        <v>405</v>
      </c>
      <c r="D24" s="865" t="str">
        <f>IF(OR(B$35="YES",H35="YES",N35="YES"),"-",D5/B28)</f>
        <v>-</v>
      </c>
      <c r="E24" s="18"/>
      <c r="G24" s="328"/>
      <c r="H24" s="130"/>
      <c r="Y24" s="123"/>
      <c r="Z24" s="135"/>
      <c r="AA24" s="55"/>
      <c r="AB24" s="135"/>
      <c r="AC24" s="55"/>
    </row>
    <row r="25" spans="1:29" ht="15" customHeight="1">
      <c r="A25" s="17" t="s">
        <v>165</v>
      </c>
      <c r="B25" s="143">
        <f>SUM(C151,I151,O151)</f>
        <v>-8166666.666666667</v>
      </c>
      <c r="C25" s="860" t="s">
        <v>158</v>
      </c>
      <c r="D25" s="865">
        <f>SUM(D9,D10)/B28</f>
        <v>0.89272839724567454</v>
      </c>
      <c r="F25" s="348"/>
      <c r="G25" s="124"/>
      <c r="H25" s="124"/>
      <c r="Y25" s="123"/>
      <c r="Z25" s="135"/>
      <c r="AA25" s="55"/>
      <c r="AB25" s="135"/>
      <c r="AC25" s="55"/>
    </row>
    <row r="26" spans="1:29" ht="15" customHeight="1" thickBot="1">
      <c r="A26" s="408" t="s">
        <v>38</v>
      </c>
      <c r="B26" s="756">
        <f>SUM(C152,I152,O152)</f>
        <v>260000</v>
      </c>
      <c r="C26" s="863" t="s">
        <v>406</v>
      </c>
      <c r="D26" s="864">
        <f>IF((D5/D14)=0,"-",D5/D14)</f>
        <v>1.0265456791868813E-2</v>
      </c>
      <c r="G26" s="12"/>
      <c r="H26" s="557"/>
      <c r="Y26" s="123"/>
      <c r="Z26" s="135"/>
      <c r="AA26" s="55"/>
      <c r="AB26" s="135"/>
      <c r="AC26" s="55"/>
    </row>
    <row r="27" spans="1:29" ht="15" customHeight="1" thickBot="1">
      <c r="A27" s="762" t="s">
        <v>407</v>
      </c>
      <c r="B27" s="763">
        <f>SUM(C153,I153,O153)</f>
        <v>4160000</v>
      </c>
      <c r="G27" s="328"/>
      <c r="H27" s="558"/>
      <c r="Y27" s="123"/>
      <c r="Z27" s="135"/>
      <c r="AA27" s="55"/>
      <c r="AB27" s="135"/>
      <c r="AC27" s="55"/>
    </row>
    <row r="28" spans="1:29" ht="15" customHeight="1" thickTop="1">
      <c r="A28" s="760" t="s">
        <v>408</v>
      </c>
      <c r="B28" s="761">
        <f>SUM(B7:B27)</f>
        <v>78873307.193853945</v>
      </c>
      <c r="C28" s="328"/>
      <c r="D28" s="851"/>
      <c r="G28" s="328"/>
      <c r="H28" s="558"/>
      <c r="Y28" s="123"/>
      <c r="Z28" s="135"/>
      <c r="AA28" s="55"/>
      <c r="AB28" s="135"/>
      <c r="AC28" s="55"/>
    </row>
    <row r="29" spans="1:29" ht="15" customHeight="1" thickBot="1">
      <c r="A29" s="850" t="s">
        <v>409</v>
      </c>
      <c r="B29" s="862">
        <f>B28-B25</f>
        <v>87039973.860520616</v>
      </c>
      <c r="C29" s="12"/>
      <c r="D29" s="852"/>
      <c r="E29" s="12"/>
      <c r="G29" s="12"/>
      <c r="H29" s="132"/>
      <c r="Y29" s="123"/>
      <c r="Z29" s="135"/>
      <c r="AA29" s="55"/>
      <c r="AB29" s="135"/>
      <c r="AC29" s="55"/>
    </row>
    <row r="30" spans="1:29" ht="15" customHeight="1">
      <c r="A30" s="328"/>
      <c r="B30" s="843"/>
      <c r="G30" s="12"/>
      <c r="H30" s="548"/>
      <c r="Y30" s="123"/>
      <c r="Z30" s="135"/>
      <c r="AA30" s="55"/>
      <c r="AB30" s="135"/>
      <c r="AC30" s="55"/>
    </row>
    <row r="31" spans="1:29" ht="15" customHeight="1">
      <c r="A31" s="328"/>
      <c r="B31" s="843"/>
      <c r="E31" s="131"/>
      <c r="Y31" s="123"/>
      <c r="Z31" s="135"/>
      <c r="AA31" s="55"/>
      <c r="AB31" s="135"/>
      <c r="AC31" s="55"/>
    </row>
    <row r="32" spans="1:29" ht="15" customHeight="1">
      <c r="E32" s="132"/>
      <c r="Y32" s="123"/>
      <c r="Z32" s="135"/>
      <c r="AA32" s="55"/>
      <c r="AB32" s="135"/>
      <c r="AC32" s="55"/>
    </row>
    <row r="33" spans="1:29" ht="24.95" customHeight="1" thickBot="1">
      <c r="A33" s="169" t="s">
        <v>410</v>
      </c>
      <c r="M33" s="293"/>
      <c r="AB33" s="55"/>
      <c r="AC33" s="136"/>
    </row>
    <row r="34" spans="1:29" ht="20.25" customHeight="1">
      <c r="A34" s="1001" t="s">
        <v>219</v>
      </c>
      <c r="B34" s="1002" t="s">
        <v>53</v>
      </c>
      <c r="C34" s="1003" t="s">
        <v>411</v>
      </c>
      <c r="D34" s="1004">
        <f>IFERROR(INDEX('Building Configuration'!$B$2:$AA$34,MATCH(B$34,'Building Configuration'!$D$2:$D$34,0),MATCH("Total",'Building Configuration'!$B$2:$AA$2,0)),0)</f>
        <v>288917.90000000008</v>
      </c>
      <c r="E34" s="1005"/>
      <c r="G34" s="1001" t="s">
        <v>219</v>
      </c>
      <c r="H34" s="1002"/>
      <c r="I34" s="1003" t="s">
        <v>411</v>
      </c>
      <c r="J34" s="1004">
        <f>IFERROR(INDEX('Building Configuration'!$B$2:$AA$34,MATCH(H$34,'Building Configuration'!$D$2:$D$34,0),MATCH("Total",'Building Configuration'!$B$2:$AA$2,0)),0)</f>
        <v>0</v>
      </c>
      <c r="K34" s="1005"/>
      <c r="L34" s="123"/>
      <c r="M34" s="1001" t="s">
        <v>219</v>
      </c>
      <c r="N34" s="1002"/>
      <c r="O34" s="1003" t="s">
        <v>411</v>
      </c>
      <c r="P34" s="1004">
        <f>IFERROR(INDEX('Building Configuration'!$B$2:$AA$34,MATCH(N$34,'Building Configuration'!$D$2:$D$34,0),MATCH("Total",'Building Configuration'!$B$2:$AA$2,0)),0)</f>
        <v>0</v>
      </c>
      <c r="Q34" s="1005"/>
      <c r="R34" s="123"/>
      <c r="S34" s="304"/>
      <c r="T34" s="285"/>
      <c r="V34" s="168"/>
      <c r="W34" s="123"/>
      <c r="X34" s="124"/>
    </row>
    <row r="35" spans="1:29" ht="15" customHeight="1">
      <c r="A35" s="6" t="s">
        <v>412</v>
      </c>
      <c r="B35" s="137" t="str">
        <f>IF(OR(D$37&gt;0,D$39&gt;0,D$43&gt;0),"YES","NO")</f>
        <v>YES</v>
      </c>
      <c r="D35" s="119"/>
      <c r="E35" s="103"/>
      <c r="G35" s="6" t="s">
        <v>412</v>
      </c>
      <c r="H35" s="137" t="str">
        <f>IF(OR(J$37&gt;0,J$39&gt;0,J$43&gt;0),"YES","NO")</f>
        <v>NO</v>
      </c>
      <c r="J35" s="119"/>
      <c r="K35" s="103"/>
      <c r="L35" s="123"/>
      <c r="M35" s="6" t="s">
        <v>412</v>
      </c>
      <c r="N35" s="137" t="str">
        <f>IF(OR(P$37&gt;0,P$39&gt;0,P$43&gt;0),"YES","NO")</f>
        <v>NO</v>
      </c>
      <c r="P35" s="119"/>
      <c r="Q35" s="103"/>
      <c r="R35" s="123"/>
      <c r="S35" s="123"/>
      <c r="T35" s="137"/>
      <c r="V35" s="168"/>
      <c r="W35" s="123"/>
      <c r="X35" s="124"/>
    </row>
    <row r="36" spans="1:29" ht="15" customHeight="1">
      <c r="A36" s="6" t="s">
        <v>222</v>
      </c>
      <c r="B36" s="118" t="str">
        <f>IFERROR(INDEX('Building Configuration'!$B$2:$AA$34,MATCH(B$34,'Building Configuration'!$D$2:$D$34,0),MATCH(A36,'Building Configuration'!$B$2:$AA$2,0)),"-")</f>
        <v>-</v>
      </c>
      <c r="C36" s="5" t="s">
        <v>231</v>
      </c>
      <c r="D36" s="119">
        <f>IFERROR(INDEX('Building Configuration'!$B$2:$AA$34,MATCH(B$34,'Building Configuration'!$D$2:$D$34,0),MATCH(B36,'Building Configuration'!$B$2:$AA$2,0)),0)</f>
        <v>0</v>
      </c>
      <c r="E36" s="103"/>
      <c r="G36" s="6" t="s">
        <v>222</v>
      </c>
      <c r="H36" s="118" t="str">
        <f>IFERROR(INDEX('Building Configuration'!$B$2:$AA$34,MATCH(H$34,'Building Configuration'!$D$2:$D$34,0),MATCH(G36,'Building Configuration'!$B$2:$AA$2,0)),"-")</f>
        <v>-</v>
      </c>
      <c r="I36" s="5" t="s">
        <v>231</v>
      </c>
      <c r="J36" s="119">
        <f>IFERROR(INDEX('Building Configuration'!$B$2:$AA$34,MATCH(H$34,'Building Configuration'!$D$2:$D$34,0),MATCH(H36,'Building Configuration'!$B$2:$AA$2,0)),0)</f>
        <v>0</v>
      </c>
      <c r="K36" s="103"/>
      <c r="L36" s="123"/>
      <c r="M36" s="6" t="s">
        <v>222</v>
      </c>
      <c r="N36" s="118" t="str">
        <f>IFERROR(INDEX('Building Configuration'!$B$2:$AA$34,MATCH(N$34,'Building Configuration'!$D$2:$D$34,0),MATCH(M36,'Building Configuration'!$B$2:$AA$2,0)),"-")</f>
        <v>-</v>
      </c>
      <c r="O36" s="5" t="s">
        <v>231</v>
      </c>
      <c r="P36" s="119">
        <f>IFERROR(INDEX('Building Configuration'!$B$2:$AA$34,MATCH(N$34,'Building Configuration'!$D$2:$D$34,0),MATCH(N36,'Building Configuration'!$B$2:$AA$2,0)),0)</f>
        <v>0</v>
      </c>
      <c r="Q36" s="103"/>
      <c r="R36" s="123"/>
      <c r="S36" s="123"/>
      <c r="T36" s="118"/>
      <c r="V36" s="168"/>
      <c r="W36" s="123"/>
      <c r="X36" s="124"/>
    </row>
    <row r="37" spans="1:29" ht="15" customHeight="1">
      <c r="A37" s="6" t="s">
        <v>223</v>
      </c>
      <c r="B37" s="118" t="str">
        <f>IFERROR(INDEX('Building Configuration'!$B$2:$AA$34,MATCH(B$34,'Building Configuration'!$D$2:$D$34,0),MATCH(A37,'Building Configuration'!$B$2:$AA$2,0)),"-")</f>
        <v>Multifamily-Market-Sale</v>
      </c>
      <c r="C37" s="5" t="s">
        <v>413</v>
      </c>
      <c r="D37" s="119">
        <f>IFERROR(INDEX('Building Configuration'!$B$2:$AA$34,MATCH(B$34,'Building Configuration'!$D$2:$D$34,0),MATCH(B37,'Building Configuration'!$B$2:$AA$2,0)),0)</f>
        <v>176695.92000000004</v>
      </c>
      <c r="E37" s="103"/>
      <c r="G37" s="6" t="s">
        <v>223</v>
      </c>
      <c r="H37" s="118" t="str">
        <f>IFERROR(INDEX('Building Configuration'!$B$2:$AA$34,MATCH(H$34,'Building Configuration'!$D$2:$D$34,0),MATCH(G37,'Building Configuration'!$B$2:$AA$2,0)),"-")</f>
        <v>-</v>
      </c>
      <c r="I37" s="5" t="s">
        <v>413</v>
      </c>
      <c r="J37" s="119">
        <f>IFERROR(INDEX('Building Configuration'!$B$2:$AA$34,MATCH(H$34,'Building Configuration'!$D$2:$D$34,0),MATCH(H37,'Building Configuration'!$B$2:$AA$2,0)),0)</f>
        <v>0</v>
      </c>
      <c r="K37" s="103"/>
      <c r="L37" s="123"/>
      <c r="M37" s="6" t="s">
        <v>223</v>
      </c>
      <c r="N37" s="118" t="str">
        <f>IFERROR(INDEX('Building Configuration'!$B$2:$AA$34,MATCH(N$34,'Building Configuration'!$D$2:$D$34,0),MATCH(M37,'Building Configuration'!$B$2:$AA$2,0)),"-")</f>
        <v>-</v>
      </c>
      <c r="O37" s="5" t="s">
        <v>413</v>
      </c>
      <c r="P37" s="119">
        <f>IFERROR(INDEX('Building Configuration'!$B$2:$AA$34,MATCH(N$34,'Building Configuration'!$D$2:$D$34,0),MATCH(N37,'Building Configuration'!$B$2:$AA$2,0)),0)</f>
        <v>0</v>
      </c>
      <c r="Q37" s="103"/>
      <c r="R37" s="123"/>
      <c r="S37" s="123"/>
      <c r="T37" s="118"/>
      <c r="V37" s="168"/>
      <c r="W37" s="123"/>
      <c r="X37" s="124"/>
    </row>
    <row r="38" spans="1:29" ht="15" customHeight="1">
      <c r="A38" s="6" t="s">
        <v>224</v>
      </c>
      <c r="B38" s="118" t="str">
        <f>IFERROR(INDEX('Building Configuration'!$B$2:$AA$34,MATCH(B$34,'Building Configuration'!$D$2:$D$34,0),MATCH(A38,'Building Configuration'!$B$2:$AA$2,0)),"-")</f>
        <v>-</v>
      </c>
      <c r="C38" s="5" t="s">
        <v>233</v>
      </c>
      <c r="D38" s="119">
        <f>IFERROR(INDEX('Building Configuration'!$B$2:$AA$34,MATCH(B$34,'Building Configuration'!$D$2:$D$34,0),MATCH(B38,'Building Configuration'!$B$2:$AA$2,0)),0)</f>
        <v>0</v>
      </c>
      <c r="E38" s="103"/>
      <c r="G38" s="6" t="s">
        <v>224</v>
      </c>
      <c r="H38" s="118" t="str">
        <f>IFERROR(INDEX('Building Configuration'!$B$2:$AA$34,MATCH(H$34,'Building Configuration'!$D$2:$D$34,0),MATCH(G38,'Building Configuration'!$B$2:$AA$2,0)),"-")</f>
        <v>-</v>
      </c>
      <c r="I38" s="5" t="s">
        <v>233</v>
      </c>
      <c r="J38" s="119">
        <f>IFERROR(INDEX('Building Configuration'!$B$2:$AA$34,MATCH(H$34,'Building Configuration'!$D$2:$D$34,0),MATCH(H38,'Building Configuration'!$B$2:$AA$2,0)),0)</f>
        <v>0</v>
      </c>
      <c r="K38" s="103"/>
      <c r="L38" s="123"/>
      <c r="M38" s="6" t="s">
        <v>224</v>
      </c>
      <c r="N38" s="118" t="str">
        <f>IFERROR(INDEX('Building Configuration'!$B$2:$AA$34,MATCH(N$34,'Building Configuration'!$D$2:$D$34,0),MATCH(M38,'Building Configuration'!$B$2:$AA$2,0)),"-")</f>
        <v>-</v>
      </c>
      <c r="O38" s="5" t="s">
        <v>233</v>
      </c>
      <c r="P38" s="119">
        <f>IFERROR(INDEX('Building Configuration'!$B$2:$AA$34,MATCH(N$34,'Building Configuration'!$D$2:$D$34,0),MATCH(N38,'Building Configuration'!$B$2:$AA$2,0)),0)</f>
        <v>0</v>
      </c>
      <c r="Q38" s="103"/>
      <c r="R38" s="123"/>
      <c r="S38" s="123"/>
      <c r="T38" s="118"/>
      <c r="V38" s="168"/>
      <c r="W38" s="123"/>
      <c r="X38" s="124"/>
      <c r="Z38" s="168"/>
    </row>
    <row r="39" spans="1:29" ht="15" customHeight="1">
      <c r="A39" s="6" t="s">
        <v>225</v>
      </c>
      <c r="B39" s="118" t="str">
        <f>IFERROR(INDEX('Building Configuration'!$B$2:$AA$34,MATCH(B$34,'Building Configuration'!$D$2:$D$34,0),MATCH(A39,'Building Configuration'!$B$2:$AA$2,0)),"-")</f>
        <v>Multifamily-Affordable-Sale</v>
      </c>
      <c r="C39" s="5" t="s">
        <v>414</v>
      </c>
      <c r="D39" s="119">
        <f>IFERROR(INDEX('Building Configuration'!$B$2:$AA$34,MATCH(B$34,'Building Configuration'!$D$2:$D$34,0),MATCH(B39,'Building Configuration'!$B$2:$AA$2,0)),0)</f>
        <v>44173.98000000001</v>
      </c>
      <c r="E39" s="103"/>
      <c r="G39" s="6" t="s">
        <v>225</v>
      </c>
      <c r="H39" s="118" t="str">
        <f>IFERROR(INDEX('Building Configuration'!$B$2:$AA$34,MATCH(H$34,'Building Configuration'!$D$2:$D$34,0),MATCH(G39,'Building Configuration'!$B$2:$AA$2,0)),"-")</f>
        <v>-</v>
      </c>
      <c r="I39" s="5" t="s">
        <v>414</v>
      </c>
      <c r="J39" s="119">
        <f>IFERROR(INDEX('Building Configuration'!$B$2:$AA$34,MATCH(H$34,'Building Configuration'!$D$2:$D$34,0),MATCH(H39,'Building Configuration'!$B$2:$AA$2,0)),0)</f>
        <v>0</v>
      </c>
      <c r="K39" s="103"/>
      <c r="L39" s="123"/>
      <c r="M39" s="6" t="s">
        <v>225</v>
      </c>
      <c r="N39" s="118" t="str">
        <f>IFERROR(INDEX('Building Configuration'!$B$2:$AA$34,MATCH(N$34,'Building Configuration'!$D$2:$D$34,0),MATCH(M39,'Building Configuration'!$B$2:$AA$2,0)),"-")</f>
        <v>-</v>
      </c>
      <c r="O39" s="5" t="s">
        <v>414</v>
      </c>
      <c r="P39" s="119">
        <f>IFERROR(INDEX('Building Configuration'!$B$2:$AA$34,MATCH(N$34,'Building Configuration'!$D$2:$D$34,0),MATCH(N39,'Building Configuration'!$B$2:$AA$2,0)),0)</f>
        <v>0</v>
      </c>
      <c r="Q39" s="103"/>
      <c r="R39" s="123"/>
      <c r="S39" s="123"/>
      <c r="T39" s="118"/>
      <c r="V39" s="168"/>
      <c r="W39" s="123"/>
      <c r="X39" s="124"/>
      <c r="Z39" s="168"/>
    </row>
    <row r="40" spans="1:29" ht="15" customHeight="1">
      <c r="A40" s="6" t="s">
        <v>226</v>
      </c>
      <c r="B40" s="118" t="str">
        <f>IFERROR(INDEX('Building Configuration'!$B$2:$AA$34,MATCH(B$34,'Building Configuration'!$D$2:$D$34,0),MATCH(A40,'Building Configuration'!$B$2:$AA$2,0)),"-")</f>
        <v>-</v>
      </c>
      <c r="C40" s="5" t="s">
        <v>59</v>
      </c>
      <c r="D40" s="119">
        <f>IFERROR(INDEX('Building Configuration'!$B$2:$AA$34,MATCH(B$34,'Building Configuration'!$D$2:$D$34,0),MATCH(B40,'Building Configuration'!$B$2:$AA$2,0)),0)</f>
        <v>0</v>
      </c>
      <c r="E40" s="103"/>
      <c r="G40" s="6" t="s">
        <v>226</v>
      </c>
      <c r="H40" s="118" t="str">
        <f>IFERROR(INDEX('Building Configuration'!$B$2:$AA$34,MATCH(H$34,'Building Configuration'!$D$2:$D$34,0),MATCH(G40,'Building Configuration'!$B$2:$AA$2,0)),"-")</f>
        <v>-</v>
      </c>
      <c r="I40" s="5" t="s">
        <v>59</v>
      </c>
      <c r="J40" s="119">
        <f>IFERROR(INDEX('Building Configuration'!$B$2:$AA$34,MATCH(H$34,'Building Configuration'!$D$2:$D$34,0),MATCH(H40,'Building Configuration'!$B$2:$AA$2,0)),0)</f>
        <v>0</v>
      </c>
      <c r="K40" s="103"/>
      <c r="L40" s="123"/>
      <c r="M40" s="6" t="s">
        <v>226</v>
      </c>
      <c r="N40" s="118" t="str">
        <f>IFERROR(INDEX('Building Configuration'!$B$2:$AA$34,MATCH(N$34,'Building Configuration'!$D$2:$D$34,0),MATCH(M40,'Building Configuration'!$B$2:$AA$2,0)),"-")</f>
        <v>-</v>
      </c>
      <c r="O40" s="5" t="s">
        <v>59</v>
      </c>
      <c r="P40" s="119">
        <f>IFERROR(INDEX('Building Configuration'!$B$2:$AA$34,MATCH(N$34,'Building Configuration'!$D$2:$D$34,0),MATCH(N40,'Building Configuration'!$B$2:$AA$2,0)),0)</f>
        <v>0</v>
      </c>
      <c r="Q40" s="103"/>
      <c r="R40" s="123"/>
      <c r="S40" s="123"/>
      <c r="T40" s="118"/>
      <c r="V40" s="168"/>
      <c r="W40" s="123"/>
      <c r="X40" s="124"/>
      <c r="Z40" s="168"/>
    </row>
    <row r="41" spans="1:29" ht="15" customHeight="1">
      <c r="A41" s="6" t="s">
        <v>227</v>
      </c>
      <c r="B41" s="118" t="str">
        <f>IFERROR(INDEX('Building Configuration'!$B$2:$AA$34,MATCH(B$34,'Building Configuration'!$D$2:$D$34,0),MATCH(A41,'Building Configuration'!$B$2:$AA$2,0)),"-")</f>
        <v>Retail</v>
      </c>
      <c r="C41" s="5" t="s">
        <v>415</v>
      </c>
      <c r="D41" s="119">
        <f>IFERROR(INDEX('Building Configuration'!$B$2:$AA$34,MATCH(B$34,'Building Configuration'!$D$2:$D$34,0),MATCH(B41,'Building Configuration'!$B$2:$AA$2,0)),0)</f>
        <v>28891.790000000005</v>
      </c>
      <c r="E41" s="103"/>
      <c r="G41" s="6" t="s">
        <v>227</v>
      </c>
      <c r="H41" s="118" t="str">
        <f>IFERROR(INDEX('Building Configuration'!$B$2:$AA$34,MATCH(H$34,'Building Configuration'!$D$2:$D$34,0),MATCH(G41,'Building Configuration'!$B$2:$AA$2,0)),"-")</f>
        <v>-</v>
      </c>
      <c r="I41" s="5" t="s">
        <v>415</v>
      </c>
      <c r="J41" s="119">
        <f>IFERROR(INDEX('Building Configuration'!$B$2:$AA$34,MATCH(H$34,'Building Configuration'!$D$2:$D$34,0),MATCH(H41,'Building Configuration'!$B$2:$AA$2,0)),0)</f>
        <v>0</v>
      </c>
      <c r="K41" s="103"/>
      <c r="L41" s="123"/>
      <c r="M41" s="6" t="s">
        <v>227</v>
      </c>
      <c r="N41" s="118" t="str">
        <f>IFERROR(INDEX('Building Configuration'!$B$2:$AA$34,MATCH(N$34,'Building Configuration'!$D$2:$D$34,0),MATCH(M41,'Building Configuration'!$B$2:$AA$2,0)),"-")</f>
        <v>-</v>
      </c>
      <c r="O41" s="5" t="s">
        <v>415</v>
      </c>
      <c r="P41" s="119">
        <f>IFERROR(INDEX('Building Configuration'!$B$2:$AA$34,MATCH(N$34,'Building Configuration'!$D$2:$D$34,0),MATCH(N41,'Building Configuration'!$B$2:$AA$2,0)),0)</f>
        <v>0</v>
      </c>
      <c r="Q41" s="103"/>
      <c r="R41" s="123"/>
      <c r="S41" s="123"/>
      <c r="T41" s="118"/>
      <c r="V41" s="168"/>
      <c r="W41" s="123"/>
      <c r="X41" s="124"/>
      <c r="Z41" s="168"/>
    </row>
    <row r="42" spans="1:29" ht="15" customHeight="1">
      <c r="A42" s="6" t="s">
        <v>228</v>
      </c>
      <c r="B42" s="118" t="str">
        <f>IFERROR(INDEX('Building Configuration'!$B$2:$AA$34,MATCH(B$34,'Building Configuration'!$D$2:$D$34,0),MATCH(A42,'Building Configuration'!$B$2:$AA$2,0)),"-")</f>
        <v>-</v>
      </c>
      <c r="C42" s="5" t="s">
        <v>416</v>
      </c>
      <c r="D42" s="119">
        <f>IFERROR(INDEX('Building Configuration'!$B$2:$AA$34,MATCH(B$34,'Building Configuration'!$D$2:$D$34,0),MATCH(B42,'Building Configuration'!$B$2:$AA$2,0)),0)</f>
        <v>0</v>
      </c>
      <c r="E42" s="103"/>
      <c r="G42" s="6" t="s">
        <v>228</v>
      </c>
      <c r="H42" s="118" t="str">
        <f>IFERROR(INDEX('Building Configuration'!$B$2:$AA$34,MATCH(H$34,'Building Configuration'!$D$2:$D$34,0),MATCH(G42,'Building Configuration'!$B$2:$AA$2,0)),"-")</f>
        <v>-</v>
      </c>
      <c r="I42" s="5" t="s">
        <v>416</v>
      </c>
      <c r="J42" s="119">
        <f>IFERROR(INDEX('Building Configuration'!$B$2:$AA$34,MATCH(H$34,'Building Configuration'!$D$2:$D$34,0),MATCH(H42,'Building Configuration'!$B$2:$AA$2,0)),0)</f>
        <v>0</v>
      </c>
      <c r="K42" s="103"/>
      <c r="L42" s="123"/>
      <c r="M42" s="6" t="s">
        <v>228</v>
      </c>
      <c r="N42" s="118" t="str">
        <f>IFERROR(INDEX('Building Configuration'!$B$2:$AA$34,MATCH(N$34,'Building Configuration'!$D$2:$D$34,0),MATCH(M42,'Building Configuration'!$B$2:$AA$2,0)),"-")</f>
        <v>-</v>
      </c>
      <c r="O42" s="5" t="s">
        <v>416</v>
      </c>
      <c r="P42" s="119">
        <f>IFERROR(INDEX('Building Configuration'!$B$2:$AA$34,MATCH(N$34,'Building Configuration'!$D$2:$D$34,0),MATCH(N42,'Building Configuration'!$B$2:$AA$2,0)),0)</f>
        <v>0</v>
      </c>
      <c r="Q42" s="103"/>
      <c r="R42" s="123"/>
      <c r="S42" s="123"/>
      <c r="T42" s="118"/>
      <c r="V42" s="168"/>
      <c r="W42" s="123"/>
      <c r="X42" s="124"/>
      <c r="Z42" s="168"/>
    </row>
    <row r="43" spans="1:29" ht="15" customHeight="1">
      <c r="A43" s="6" t="s">
        <v>229</v>
      </c>
      <c r="B43" s="118" t="str">
        <f>IFERROR(INDEX('Building Configuration'!$B$2:$AA$34,MATCH(B$34,'Building Configuration'!$D$2:$D$34,0),MATCH(A43,'Building Configuration'!$B$2:$AA$2,0)),"-")</f>
        <v>-</v>
      </c>
      <c r="C43" s="5" t="s">
        <v>229</v>
      </c>
      <c r="D43" s="119">
        <f>IFERROR(INDEX('Building Configuration'!$B$2:$AA$34,MATCH(B$34,'Building Configuration'!$D$2:$D$34,0),MATCH(B43,'Building Configuration'!$B$2:$AA$2,0)),0)</f>
        <v>0</v>
      </c>
      <c r="E43" s="103"/>
      <c r="G43" s="6" t="s">
        <v>229</v>
      </c>
      <c r="H43" s="118" t="str">
        <f>IFERROR(INDEX('Building Configuration'!$B$2:$AA$34,MATCH(H$34,'Building Configuration'!$D$2:$D$34,0),MATCH(G43,'Building Configuration'!$B$2:$AA$2,0)),"-")</f>
        <v>-</v>
      </c>
      <c r="I43" s="5" t="s">
        <v>229</v>
      </c>
      <c r="J43" s="119">
        <f>IFERROR(INDEX('Building Configuration'!$B$2:$AA$34,MATCH(H$34,'Building Configuration'!$D$2:$D$34,0),MATCH(H43,'Building Configuration'!$B$2:$AA$2,0)),0)</f>
        <v>0</v>
      </c>
      <c r="K43" s="103"/>
      <c r="L43" s="123"/>
      <c r="M43" s="6" t="s">
        <v>229</v>
      </c>
      <c r="N43" s="118" t="str">
        <f>IFERROR(INDEX('Building Configuration'!$B$2:$AA$34,MATCH(N$34,'Building Configuration'!$D$2:$D$34,0),MATCH(M43,'Building Configuration'!$B$2:$AA$2,0)),"-")</f>
        <v>-</v>
      </c>
      <c r="O43" s="5" t="s">
        <v>229</v>
      </c>
      <c r="P43" s="119">
        <f>IFERROR(INDEX('Building Configuration'!$B$2:$AA$34,MATCH(N$34,'Building Configuration'!$D$2:$D$34,0),MATCH(N43,'Building Configuration'!$B$2:$AA$2,0)),0)</f>
        <v>0</v>
      </c>
      <c r="Q43" s="103"/>
      <c r="R43" s="123"/>
      <c r="S43" s="123"/>
      <c r="T43" s="118"/>
      <c r="V43" s="168"/>
      <c r="W43" s="123"/>
      <c r="X43" s="124"/>
      <c r="Z43" s="168"/>
    </row>
    <row r="44" spans="1:29" ht="15" customHeight="1">
      <c r="A44" s="6" t="s">
        <v>230</v>
      </c>
      <c r="B44" s="118" t="str">
        <f>IFERROR(INDEX('Building Configuration'!$B$2:$AA$34,MATCH(B$34,'Building Configuration'!$D$2:$D$34,0),MATCH(A44,'Building Configuration'!$B$2:$AA$2,0)),"-")</f>
        <v>-</v>
      </c>
      <c r="C44" s="5" t="s">
        <v>230</v>
      </c>
      <c r="D44" s="119">
        <f>IFERROR(INDEX('Building Configuration'!$B$2:$AA$34,MATCH(B$34,'Building Configuration'!$D$2:$D$34,0),MATCH(B44,'Building Configuration'!$B$2:$AA$2,0)),0)</f>
        <v>0</v>
      </c>
      <c r="E44" s="103"/>
      <c r="G44" s="6" t="s">
        <v>230</v>
      </c>
      <c r="H44" s="118" t="str">
        <f>IFERROR(INDEX('Building Configuration'!$B$2:$AA$34,MATCH(H$34,'Building Configuration'!$D$2:$D$34,0),MATCH(G44,'Building Configuration'!$B$2:$AA$2,0)),"-")</f>
        <v>-</v>
      </c>
      <c r="I44" s="5" t="s">
        <v>230</v>
      </c>
      <c r="J44" s="119">
        <f>IFERROR(INDEX('Building Configuration'!$B$2:$AA$34,MATCH(H$34,'Building Configuration'!$D$2:$D$34,0),MATCH(H44,'Building Configuration'!$B$2:$AA$2,0)),0)</f>
        <v>0</v>
      </c>
      <c r="K44" s="103"/>
      <c r="L44" s="123"/>
      <c r="M44" s="6" t="s">
        <v>230</v>
      </c>
      <c r="N44" s="118" t="str">
        <f>IFERROR(INDEX('Building Configuration'!$B$2:$AA$34,MATCH(N$34,'Building Configuration'!$D$2:$D$34,0),MATCH(M44,'Building Configuration'!$B$2:$AA$2,0)),"-")</f>
        <v>-</v>
      </c>
      <c r="O44" s="5" t="s">
        <v>230</v>
      </c>
      <c r="P44" s="119">
        <f>IFERROR(INDEX('Building Configuration'!$B$2:$AA$34,MATCH(N$34,'Building Configuration'!$D$2:$D$34,0),MATCH(N44,'Building Configuration'!$B$2:$AA$2,0)),0)</f>
        <v>0</v>
      </c>
      <c r="Q44" s="103"/>
      <c r="R44" s="123"/>
      <c r="S44" s="123"/>
      <c r="T44" s="118"/>
      <c r="V44" s="168"/>
      <c r="W44" s="123"/>
      <c r="X44" s="124"/>
      <c r="Z44" s="168"/>
    </row>
    <row r="45" spans="1:29" ht="15" customHeight="1">
      <c r="A45" s="6" t="s">
        <v>417</v>
      </c>
      <c r="B45" s="118" t="str">
        <f>IFERROR(IF(INDEX('Building Configuration'!$B$2:$AA$34,MATCH(B$34,'Building Configuration'!$D$2:$D$34,0),MATCH(C45,'Building Configuration'!$B$2:$AA$2,0))&gt;0,"YES","NO"),"-")</f>
        <v>YES</v>
      </c>
      <c r="C45" s="5" t="s">
        <v>116</v>
      </c>
      <c r="D45" s="119">
        <f>IFERROR(INDEX('Building Configuration'!$B$2:$AA$34,MATCH(B$34,'Building Configuration'!$D$2:$D$34,0),MATCH(C45,'Building Configuration'!$B$2:$AA$2,0)),0)</f>
        <v>39156.21</v>
      </c>
      <c r="E45" s="65"/>
      <c r="G45" s="6" t="s">
        <v>417</v>
      </c>
      <c r="H45" s="118" t="str">
        <f>IFERROR(IF(INDEX('Building Configuration'!$B$2:$AA$34,MATCH(H$34,'Building Configuration'!$D$2:$D$34,0),MATCH(I45,'Building Configuration'!$B$2:$AA$2,0))&gt;0,"YES","NO"),"-")</f>
        <v>-</v>
      </c>
      <c r="I45" s="5" t="s">
        <v>116</v>
      </c>
      <c r="J45" s="119">
        <f>IFERROR(INDEX('Building Configuration'!$B$2:$AA$34,MATCH(H$34,'Building Configuration'!$D$2:$D$34,0),MATCH(I45,'Building Configuration'!$B$2:$AA$2,0)),0)</f>
        <v>0</v>
      </c>
      <c r="K45" s="65"/>
      <c r="L45" s="55"/>
      <c r="M45" s="6" t="s">
        <v>417</v>
      </c>
      <c r="N45" s="118" t="str">
        <f>IFERROR(IF(INDEX('Building Configuration'!$B$2:$AA$34,MATCH(N$34,'Building Configuration'!$D$2:$D$34,0),MATCH(O45,'Building Configuration'!$B$2:$AA$2,0))&gt;0,"YES","NO"),"-")</f>
        <v>-</v>
      </c>
      <c r="O45" s="5" t="s">
        <v>116</v>
      </c>
      <c r="P45" s="119">
        <f>IFERROR(INDEX('Building Configuration'!$B$2:$AA$34,MATCH(N$34,'Building Configuration'!$D$2:$D$34,0),MATCH(O45,'Building Configuration'!$B$2:$AA$2,0)),0)</f>
        <v>0</v>
      </c>
      <c r="Q45" s="65"/>
      <c r="R45" s="55"/>
      <c r="S45" s="123"/>
      <c r="T45" s="118"/>
      <c r="V45" s="168"/>
      <c r="W45" s="55"/>
      <c r="X45" s="99"/>
      <c r="Z45" s="117"/>
    </row>
    <row r="46" spans="1:29" ht="15" customHeight="1">
      <c r="A46" s="6" t="s">
        <v>418</v>
      </c>
      <c r="B46" s="161">
        <v>0.9</v>
      </c>
      <c r="C46" s="162">
        <f>100%-B46</f>
        <v>9.9999999999999978E-2</v>
      </c>
      <c r="D46" s="119"/>
      <c r="E46" s="65"/>
      <c r="G46" s="6" t="s">
        <v>418</v>
      </c>
      <c r="H46" s="161">
        <v>1</v>
      </c>
      <c r="I46" s="162">
        <f>100%-H46</f>
        <v>0</v>
      </c>
      <c r="J46" s="119"/>
      <c r="K46" s="65"/>
      <c r="L46" s="55"/>
      <c r="M46" s="6" t="s">
        <v>418</v>
      </c>
      <c r="N46" s="161">
        <v>1</v>
      </c>
      <c r="O46" s="162">
        <f>100%-N46</f>
        <v>0</v>
      </c>
      <c r="P46" s="119"/>
      <c r="Q46" s="65"/>
      <c r="R46" s="55"/>
      <c r="S46" s="123"/>
      <c r="T46" s="294"/>
      <c r="U46" s="305"/>
      <c r="V46" s="168"/>
      <c r="W46" s="55"/>
      <c r="X46" s="99"/>
    </row>
    <row r="47" spans="1:29" ht="15" customHeight="1">
      <c r="A47" s="6"/>
      <c r="B47" s="118"/>
      <c r="D47" s="119"/>
      <c r="E47" s="65"/>
      <c r="G47" s="6"/>
      <c r="H47" s="118"/>
      <c r="J47" s="119"/>
      <c r="K47" s="65"/>
      <c r="L47" s="55"/>
      <c r="M47" s="6"/>
      <c r="N47" s="118"/>
      <c r="P47" s="119"/>
      <c r="Q47" s="65"/>
      <c r="R47" s="55"/>
      <c r="S47" s="123"/>
      <c r="T47" s="118"/>
      <c r="V47" s="168"/>
      <c r="W47" s="55"/>
      <c r="X47" s="99"/>
    </row>
    <row r="48" spans="1:29" ht="15" customHeight="1">
      <c r="A48" s="104" t="s">
        <v>222</v>
      </c>
      <c r="B48" s="105" t="str">
        <f>B$36</f>
        <v>-</v>
      </c>
      <c r="C48" s="166" t="s">
        <v>419</v>
      </c>
      <c r="D48" s="111">
        <f>D$36*E$48</f>
        <v>0</v>
      </c>
      <c r="E48" s="106">
        <f>Assumptions!$Y$28</f>
        <v>0.77</v>
      </c>
      <c r="F48" s="99"/>
      <c r="G48" s="104" t="s">
        <v>222</v>
      </c>
      <c r="H48" s="105" t="str">
        <f>H$36</f>
        <v>-</v>
      </c>
      <c r="I48" s="166" t="s">
        <v>419</v>
      </c>
      <c r="J48" s="111">
        <f>J$36*K$48</f>
        <v>0</v>
      </c>
      <c r="K48" s="106">
        <f>Assumptions!$Y$28</f>
        <v>0.77</v>
      </c>
      <c r="L48" s="55"/>
      <c r="M48" s="104" t="s">
        <v>222</v>
      </c>
      <c r="N48" s="105" t="str">
        <f>N$36</f>
        <v>-</v>
      </c>
      <c r="O48" s="166" t="s">
        <v>419</v>
      </c>
      <c r="P48" s="111">
        <f>P$36*Q$48</f>
        <v>0</v>
      </c>
      <c r="Q48" s="106">
        <f>Assumptions!$Y$28</f>
        <v>0.77</v>
      </c>
      <c r="R48" s="55"/>
      <c r="S48" s="123"/>
      <c r="T48" s="99"/>
      <c r="U48" s="135"/>
      <c r="V48" s="295"/>
      <c r="W48" s="55"/>
      <c r="X48" s="99"/>
    </row>
    <row r="49" spans="1:24" ht="15" customHeight="1">
      <c r="A49" s="104" t="s">
        <v>420</v>
      </c>
      <c r="B49" s="160">
        <v>0</v>
      </c>
      <c r="C49" s="113" t="str">
        <f>IF(C55&gt;D48,"# of Units Over Available Area","# of Units Within Available Area")</f>
        <v># of Units Within Available Area</v>
      </c>
      <c r="D49" s="112" t="s">
        <v>421</v>
      </c>
      <c r="E49" s="120">
        <v>0</v>
      </c>
      <c r="F49" s="101"/>
      <c r="G49" s="104" t="s">
        <v>420</v>
      </c>
      <c r="H49" s="160">
        <v>0</v>
      </c>
      <c r="I49" s="113" t="str">
        <f>IF(I55&gt;J48,"# of Units Over Available Area","# of Units Within Available Area")</f>
        <v># of Units Within Available Area</v>
      </c>
      <c r="J49" s="112" t="s">
        <v>421</v>
      </c>
      <c r="K49" s="120">
        <v>0</v>
      </c>
      <c r="L49" s="102"/>
      <c r="M49" s="104" t="s">
        <v>420</v>
      </c>
      <c r="N49" s="160">
        <v>0</v>
      </c>
      <c r="O49" s="113" t="str">
        <f>IF(O55&gt;P48,"# of Units Over Available Area","# of Units Within Available Area")</f>
        <v># of Units Within Available Area</v>
      </c>
      <c r="P49" s="112" t="s">
        <v>421</v>
      </c>
      <c r="Q49" s="120">
        <v>0</v>
      </c>
      <c r="R49" s="102"/>
      <c r="S49" s="123"/>
      <c r="T49" s="296"/>
      <c r="U49" s="297"/>
      <c r="V49" s="112"/>
      <c r="W49" s="102"/>
      <c r="X49" s="99"/>
    </row>
    <row r="50" spans="1:24" ht="15" customHeight="1">
      <c r="A50" s="107" t="s">
        <v>308</v>
      </c>
      <c r="B50" s="200" t="s">
        <v>422</v>
      </c>
      <c r="C50" s="109" t="s">
        <v>419</v>
      </c>
      <c r="D50" s="108" t="s">
        <v>423</v>
      </c>
      <c r="E50" s="110" t="s">
        <v>424</v>
      </c>
      <c r="F50" s="99"/>
      <c r="G50" s="107" t="s">
        <v>308</v>
      </c>
      <c r="H50" s="200" t="s">
        <v>422</v>
      </c>
      <c r="I50" s="109" t="s">
        <v>419</v>
      </c>
      <c r="J50" s="108" t="s">
        <v>423</v>
      </c>
      <c r="K50" s="110" t="s">
        <v>424</v>
      </c>
      <c r="L50" s="124"/>
      <c r="M50" s="107" t="s">
        <v>308</v>
      </c>
      <c r="N50" s="200" t="s">
        <v>422</v>
      </c>
      <c r="O50" s="109" t="s">
        <v>419</v>
      </c>
      <c r="P50" s="108" t="s">
        <v>423</v>
      </c>
      <c r="Q50" s="110" t="s">
        <v>424</v>
      </c>
      <c r="R50" s="124"/>
      <c r="S50" s="123"/>
      <c r="T50" s="306"/>
      <c r="U50" s="276"/>
      <c r="V50" s="124"/>
      <c r="W50" s="124"/>
      <c r="X50" s="99"/>
    </row>
    <row r="51" spans="1:24" ht="15" customHeight="1">
      <c r="A51" s="31" t="str">
        <f>Assumptions!$W$5</f>
        <v>Studio</v>
      </c>
      <c r="B51" s="76">
        <f>B$49*INDEX(Assumptions!$Y$5:$Y$8,MATCH(A51,Assumptions!$W$5:$W$8,0))</f>
        <v>0</v>
      </c>
      <c r="C51" s="32">
        <f>Assumptions!$R$15</f>
        <v>550</v>
      </c>
      <c r="D51" s="42">
        <f>Assumptions!$R$16*(1+E$49)</f>
        <v>3</v>
      </c>
      <c r="E51" s="43">
        <f>12*B51*C51*D51</f>
        <v>0</v>
      </c>
      <c r="F51" s="99"/>
      <c r="G51" s="31" t="str">
        <f>Assumptions!$W$5</f>
        <v>Studio</v>
      </c>
      <c r="H51" s="76">
        <f>H$49*INDEX(Assumptions!$Y$5:$Y$8,MATCH(G51,Assumptions!$W$5:$W$8,0))</f>
        <v>0</v>
      </c>
      <c r="I51" s="32">
        <f>Assumptions!$R$15</f>
        <v>550</v>
      </c>
      <c r="J51" s="42">
        <f>Assumptions!$R$16*(1+K$49)</f>
        <v>3</v>
      </c>
      <c r="K51" s="43">
        <f>12*H51*I51*J51</f>
        <v>0</v>
      </c>
      <c r="L51" s="125"/>
      <c r="M51" s="31" t="str">
        <f>Assumptions!$W$5</f>
        <v>Studio</v>
      </c>
      <c r="N51" s="76">
        <f>N$49*INDEX(Assumptions!$Y$5:$Y$8,MATCH(M51,Assumptions!$W$5:$W$8,0))</f>
        <v>0</v>
      </c>
      <c r="O51" s="32">
        <f>Assumptions!$R$15</f>
        <v>550</v>
      </c>
      <c r="P51" s="42">
        <f>Assumptions!$R$16*(1+Q$49)</f>
        <v>3</v>
      </c>
      <c r="Q51" s="43">
        <f>12*N51*O51*P51</f>
        <v>0</v>
      </c>
      <c r="R51" s="125"/>
      <c r="S51" s="307"/>
      <c r="T51" s="100"/>
      <c r="U51" s="308"/>
      <c r="V51" s="309"/>
      <c r="W51" s="125"/>
      <c r="X51" s="99"/>
    </row>
    <row r="52" spans="1:24" ht="15" customHeight="1">
      <c r="A52" s="31" t="str">
        <f>Assumptions!$W$6</f>
        <v>1BR</v>
      </c>
      <c r="B52" s="76">
        <f>B$49*INDEX(Assumptions!$Y$5:$Y$8,MATCH(A52,Assumptions!$W$5:$W$8,0))</f>
        <v>0</v>
      </c>
      <c r="C52" s="378">
        <f>Assumptions!$R$18</f>
        <v>800</v>
      </c>
      <c r="D52" s="379">
        <f>Assumptions!$R$19*(1+E$49)</f>
        <v>2.4</v>
      </c>
      <c r="E52" s="380">
        <f>12*B52*C52*D52</f>
        <v>0</v>
      </c>
      <c r="F52" s="99"/>
      <c r="G52" s="31" t="str">
        <f>Assumptions!$W$6</f>
        <v>1BR</v>
      </c>
      <c r="H52" s="76">
        <f>H$49*INDEX(Assumptions!$Y$5:$Y$8,MATCH(G52,Assumptions!$W$5:$W$8,0))</f>
        <v>0</v>
      </c>
      <c r="I52" s="378">
        <f>Assumptions!$R$18</f>
        <v>800</v>
      </c>
      <c r="J52" s="379">
        <f>Assumptions!$R$19*(1+K$49)</f>
        <v>2.4</v>
      </c>
      <c r="K52" s="380">
        <f>12*H52*I52*J52</f>
        <v>0</v>
      </c>
      <c r="L52" s="125"/>
      <c r="M52" s="31" t="str">
        <f>Assumptions!$W$6</f>
        <v>1BR</v>
      </c>
      <c r="N52" s="76">
        <f>N$49*INDEX(Assumptions!$Y$5:$Y$8,MATCH(M52,Assumptions!$W$5:$W$8,0))</f>
        <v>0</v>
      </c>
      <c r="O52" s="378">
        <f>Assumptions!$R$18</f>
        <v>800</v>
      </c>
      <c r="P52" s="379">
        <f>Assumptions!$R$19*(1+Q$49)</f>
        <v>2.4</v>
      </c>
      <c r="Q52" s="380">
        <f>12*N52*O52*P52</f>
        <v>0</v>
      </c>
      <c r="R52" s="125"/>
      <c r="S52" s="307"/>
      <c r="T52" s="100"/>
      <c r="U52" s="308"/>
      <c r="V52" s="309"/>
      <c r="W52" s="125"/>
      <c r="X52" s="99"/>
    </row>
    <row r="53" spans="1:24" ht="15" customHeight="1">
      <c r="A53" s="31" t="str">
        <f>Assumptions!$W$7</f>
        <v>2BR</v>
      </c>
      <c r="B53" s="76">
        <f>B$49*INDEX(Assumptions!$Y$5:$Y$8,MATCH(A53,Assumptions!$W$5:$W$8,0))</f>
        <v>0</v>
      </c>
      <c r="C53" s="32">
        <f>Assumptions!$R$21</f>
        <v>1200</v>
      </c>
      <c r="D53" s="379">
        <f>Assumptions!$R$22*(1+E$49)</f>
        <v>2.2000000000000002</v>
      </c>
      <c r="E53" s="380">
        <f>12*B53*C53*D53</f>
        <v>0</v>
      </c>
      <c r="F53" s="100"/>
      <c r="G53" s="31" t="str">
        <f>Assumptions!$W$7</f>
        <v>2BR</v>
      </c>
      <c r="H53" s="76">
        <f>H$49*INDEX(Assumptions!$Y$5:$Y$8,MATCH(G53,Assumptions!$W$5:$W$8,0))</f>
        <v>0</v>
      </c>
      <c r="I53" s="32">
        <f>Assumptions!$R$21</f>
        <v>1200</v>
      </c>
      <c r="J53" s="379">
        <f>Assumptions!$R$22*(1+K$49)</f>
        <v>2.2000000000000002</v>
      </c>
      <c r="K53" s="380">
        <f>12*H53*I53*J53</f>
        <v>0</v>
      </c>
      <c r="L53" s="125"/>
      <c r="M53" s="31" t="str">
        <f>Assumptions!$W$7</f>
        <v>2BR</v>
      </c>
      <c r="N53" s="76">
        <f>N$49*INDEX(Assumptions!$Y$5:$Y$8,MATCH(M53,Assumptions!$W$5:$W$8,0))</f>
        <v>0</v>
      </c>
      <c r="O53" s="32">
        <f>Assumptions!$R$21</f>
        <v>1200</v>
      </c>
      <c r="P53" s="379">
        <f>Assumptions!$R$22*(1+Q$49)</f>
        <v>2.2000000000000002</v>
      </c>
      <c r="Q53" s="380">
        <f>12*N53*O53*P53</f>
        <v>0</v>
      </c>
      <c r="R53" s="125"/>
      <c r="S53" s="307"/>
      <c r="T53" s="100"/>
      <c r="U53" s="308"/>
      <c r="V53" s="309"/>
      <c r="W53" s="125"/>
    </row>
    <row r="54" spans="1:24" ht="15" customHeight="1" thickBot="1">
      <c r="A54" s="31" t="str">
        <f>Assumptions!$W$8</f>
        <v>3BR</v>
      </c>
      <c r="B54" s="76">
        <f>B$49*INDEX(Assumptions!$Y$5:$Y$8,MATCH(A54,Assumptions!$W$5:$W$8,0))</f>
        <v>0</v>
      </c>
      <c r="C54" s="378">
        <f>Assumptions!$R$24</f>
        <v>2000</v>
      </c>
      <c r="D54" s="379">
        <f>Assumptions!$R$25*(1+E$49)</f>
        <v>2.5</v>
      </c>
      <c r="E54" s="380">
        <f>12*B54*C54*D54</f>
        <v>0</v>
      </c>
      <c r="G54" s="31" t="str">
        <f>Assumptions!$W$8</f>
        <v>3BR</v>
      </c>
      <c r="H54" s="76">
        <f>H$49*INDEX(Assumptions!$Y$5:$Y$8,MATCH(G54,Assumptions!$W$5:$W$8,0))</f>
        <v>0</v>
      </c>
      <c r="I54" s="378">
        <f>Assumptions!$R$24</f>
        <v>2000</v>
      </c>
      <c r="J54" s="379">
        <f>Assumptions!$R$25*(1+K$49)</f>
        <v>2.5</v>
      </c>
      <c r="K54" s="380">
        <f>12*H54*I54*J54</f>
        <v>0</v>
      </c>
      <c r="L54" s="125"/>
      <c r="M54" s="31" t="str">
        <f>Assumptions!$W$8</f>
        <v>3BR</v>
      </c>
      <c r="N54" s="76">
        <f>N$49*INDEX(Assumptions!$Y$5:$Y$8,MATCH(M54,Assumptions!$W$5:$W$8,0))</f>
        <v>0</v>
      </c>
      <c r="O54" s="378">
        <f>Assumptions!$R$24</f>
        <v>2000</v>
      </c>
      <c r="P54" s="379">
        <f>Assumptions!$R$25*(1+Q$49)</f>
        <v>2.5</v>
      </c>
      <c r="Q54" s="380">
        <f>12*N54*O54*P54</f>
        <v>0</v>
      </c>
      <c r="R54" s="125"/>
      <c r="S54" s="307"/>
      <c r="T54" s="100"/>
      <c r="U54" s="308"/>
      <c r="V54" s="309"/>
      <c r="W54" s="125"/>
    </row>
    <row r="55" spans="1:24" ht="15" customHeight="1" thickTop="1" thickBot="1">
      <c r="A55" s="7" t="s">
        <v>425</v>
      </c>
      <c r="B55" s="8">
        <f>SUM(B51:B54)</f>
        <v>0</v>
      </c>
      <c r="C55" s="9">
        <f>SUMPRODUCT(B51:B54,C51:C54)</f>
        <v>0</v>
      </c>
      <c r="D55" s="61"/>
      <c r="E55" s="62">
        <f>SUM(E51:E54)</f>
        <v>0</v>
      </c>
      <c r="F55" s="100"/>
      <c r="G55" s="7" t="s">
        <v>425</v>
      </c>
      <c r="H55" s="8">
        <f>SUM(H51:H54)</f>
        <v>0</v>
      </c>
      <c r="I55" s="9">
        <f>SUMPRODUCT(H51:H54,I51:I54)</f>
        <v>0</v>
      </c>
      <c r="J55" s="61"/>
      <c r="K55" s="62">
        <f>SUM(K51:K54)</f>
        <v>0</v>
      </c>
      <c r="L55" s="122"/>
      <c r="M55" s="7" t="s">
        <v>425</v>
      </c>
      <c r="N55" s="8">
        <f>SUM(N51:N54)</f>
        <v>0</v>
      </c>
      <c r="O55" s="9">
        <f>SUMPRODUCT(N51:N54,O51:O54)</f>
        <v>0</v>
      </c>
      <c r="P55" s="61"/>
      <c r="Q55" s="62">
        <f>SUM(Q51:Q54)</f>
        <v>0</v>
      </c>
      <c r="R55" s="122"/>
      <c r="S55" s="12"/>
      <c r="T55" s="310"/>
      <c r="U55" s="311"/>
      <c r="V55" s="312"/>
      <c r="W55" s="122"/>
    </row>
    <row r="56" spans="1:24" ht="15" customHeight="1" thickTop="1" thickBot="1">
      <c r="A56" s="10" t="s">
        <v>426</v>
      </c>
      <c r="B56" s="60"/>
      <c r="C56" s="11">
        <f>IFERROR(C55/B55,0)</f>
        <v>0</v>
      </c>
      <c r="D56" s="63">
        <f>IFERROR((E55/12)/C55,0)</f>
        <v>0</v>
      </c>
      <c r="E56" s="64"/>
      <c r="G56" s="10" t="s">
        <v>426</v>
      </c>
      <c r="H56" s="60"/>
      <c r="I56" s="11">
        <f>IFERROR(I55/H55,0)</f>
        <v>0</v>
      </c>
      <c r="J56" s="63">
        <f>IFERROR((K55/12)/I55,0)</f>
        <v>0</v>
      </c>
      <c r="K56" s="64"/>
      <c r="L56" s="12"/>
      <c r="M56" s="10" t="s">
        <v>426</v>
      </c>
      <c r="N56" s="60"/>
      <c r="O56" s="11">
        <f>IFERROR(O55/N55,0)</f>
        <v>0</v>
      </c>
      <c r="P56" s="63">
        <f>IFERROR((Q55/12)/O55,0)</f>
        <v>0</v>
      </c>
      <c r="Q56" s="64"/>
      <c r="R56" s="12"/>
      <c r="S56" s="12"/>
      <c r="T56" s="313"/>
      <c r="U56" s="314"/>
      <c r="V56" s="315"/>
      <c r="W56" s="12"/>
      <c r="X56" s="100"/>
    </row>
    <row r="57" spans="1:24" ht="15" customHeight="1">
      <c r="A57" s="104" t="s">
        <v>223</v>
      </c>
      <c r="B57" s="105" t="str">
        <f>B$37</f>
        <v>Multifamily-Market-Sale</v>
      </c>
      <c r="C57" s="166" t="s">
        <v>419</v>
      </c>
      <c r="D57" s="165">
        <f>D$37*E$57</f>
        <v>136055.85840000003</v>
      </c>
      <c r="E57" s="106">
        <f>Assumptions!$Y$28</f>
        <v>0.77</v>
      </c>
      <c r="G57" s="104" t="s">
        <v>223</v>
      </c>
      <c r="H57" s="105" t="str">
        <f>H$37</f>
        <v>-</v>
      </c>
      <c r="I57" s="166" t="s">
        <v>419</v>
      </c>
      <c r="J57" s="165">
        <f>J$37*K$57</f>
        <v>0</v>
      </c>
      <c r="K57" s="106">
        <f>Assumptions!$Y$28</f>
        <v>0.77</v>
      </c>
      <c r="L57" s="55"/>
      <c r="M57" s="104" t="s">
        <v>223</v>
      </c>
      <c r="N57" s="105" t="str">
        <f>N$37</f>
        <v>-</v>
      </c>
      <c r="O57" s="166" t="s">
        <v>419</v>
      </c>
      <c r="P57" s="165">
        <f>P$37*Q$57</f>
        <v>0</v>
      </c>
      <c r="Q57" s="106">
        <f>Assumptions!$Y$28</f>
        <v>0.77</v>
      </c>
      <c r="R57" s="55"/>
      <c r="S57" s="123"/>
      <c r="T57" s="99"/>
      <c r="U57" s="135"/>
      <c r="V57" s="298"/>
      <c r="W57" s="55"/>
      <c r="X57" s="100"/>
    </row>
    <row r="58" spans="1:24" ht="15" customHeight="1">
      <c r="A58" s="104" t="s">
        <v>420</v>
      </c>
      <c r="B58" s="160">
        <v>85</v>
      </c>
      <c r="C58" s="113" t="str">
        <f>IF(C63&gt;D57,"# of Units Over Available Area","# of Units Within Available Area")</f>
        <v># of Units Within Available Area</v>
      </c>
      <c r="D58" s="158"/>
      <c r="E58" s="159"/>
      <c r="G58" s="104" t="s">
        <v>420</v>
      </c>
      <c r="H58" s="160">
        <v>0</v>
      </c>
      <c r="I58" s="113" t="str">
        <f>IF(I63&gt;J57,"# of Units Over Available Area","# of Units Within Available Area")</f>
        <v># of Units Within Available Area</v>
      </c>
      <c r="J58" s="158"/>
      <c r="K58" s="159"/>
      <c r="L58" s="102"/>
      <c r="M58" s="104" t="s">
        <v>420</v>
      </c>
      <c r="N58" s="160">
        <v>0</v>
      </c>
      <c r="O58" s="113" t="str">
        <f>IF(O63&gt;P57,"# of Units Over Available Area","# of Units Within Available Area")</f>
        <v># of Units Within Available Area</v>
      </c>
      <c r="P58" s="158"/>
      <c r="Q58" s="159"/>
      <c r="R58" s="102"/>
      <c r="S58" s="123"/>
      <c r="T58" s="296"/>
      <c r="U58" s="297"/>
      <c r="V58" s="112"/>
      <c r="W58" s="102"/>
      <c r="X58" s="100"/>
    </row>
    <row r="59" spans="1:24" ht="15" customHeight="1">
      <c r="A59" s="107" t="s">
        <v>308</v>
      </c>
      <c r="B59" s="108" t="s">
        <v>427</v>
      </c>
      <c r="C59" s="109" t="s">
        <v>428</v>
      </c>
      <c r="D59" s="108" t="s">
        <v>74</v>
      </c>
      <c r="E59" s="110" t="s">
        <v>429</v>
      </c>
      <c r="G59" s="107" t="s">
        <v>308</v>
      </c>
      <c r="H59" s="108" t="s">
        <v>427</v>
      </c>
      <c r="I59" s="109" t="s">
        <v>428</v>
      </c>
      <c r="J59" s="108" t="s">
        <v>74</v>
      </c>
      <c r="K59" s="110" t="s">
        <v>429</v>
      </c>
      <c r="L59" s="124"/>
      <c r="M59" s="107" t="s">
        <v>308</v>
      </c>
      <c r="N59" s="108" t="s">
        <v>427</v>
      </c>
      <c r="O59" s="109" t="s">
        <v>428</v>
      </c>
      <c r="P59" s="108" t="s">
        <v>74</v>
      </c>
      <c r="Q59" s="110" t="s">
        <v>429</v>
      </c>
      <c r="R59" s="124"/>
      <c r="S59" s="123"/>
      <c r="T59" s="124"/>
      <c r="U59" s="276"/>
      <c r="V59" s="124"/>
      <c r="W59" s="124"/>
      <c r="X59" s="100"/>
    </row>
    <row r="60" spans="1:24" ht="15" customHeight="1">
      <c r="A60" s="31" t="str">
        <f>Assumptions!$W$15</f>
        <v>1BR</v>
      </c>
      <c r="B60" s="76">
        <f>B$58*INDEX(Assumptions!$Y$10:$Y$12,MATCH(A60,Assumptions!$W$10:$W$12,0))</f>
        <v>25.5</v>
      </c>
      <c r="C60" s="32">
        <f>Assumptions!$S$18</f>
        <v>1000</v>
      </c>
      <c r="D60" s="379">
        <f>Assumptions!$S$19</f>
        <v>400</v>
      </c>
      <c r="E60" s="380">
        <f>B60*C60*D60</f>
        <v>10200000</v>
      </c>
      <c r="G60" s="31" t="str">
        <f>Assumptions!$W$15</f>
        <v>1BR</v>
      </c>
      <c r="H60" s="76">
        <f>H$58*INDEX(Assumptions!$Y$10:$Y$12,MATCH(G60,Assumptions!$W$10:$W$12,0))</f>
        <v>0</v>
      </c>
      <c r="I60" s="32">
        <f>Assumptions!$S$18</f>
        <v>1000</v>
      </c>
      <c r="J60" s="379">
        <f>Assumptions!$S$19</f>
        <v>400</v>
      </c>
      <c r="K60" s="380">
        <f>H60*I60*J60</f>
        <v>0</v>
      </c>
      <c r="L60" s="124"/>
      <c r="M60" s="31" t="str">
        <f>Assumptions!$W$15</f>
        <v>1BR</v>
      </c>
      <c r="N60" s="76">
        <f>N$58*INDEX(Assumptions!$Y$10:$Y$12,MATCH(M60,Assumptions!$W$10:$W$12,0))</f>
        <v>0</v>
      </c>
      <c r="O60" s="32">
        <f>Assumptions!$S$18</f>
        <v>1000</v>
      </c>
      <c r="P60" s="379">
        <f>Assumptions!$S$19</f>
        <v>400</v>
      </c>
      <c r="Q60" s="380">
        <f>N60*O60*P60</f>
        <v>0</v>
      </c>
      <c r="R60" s="124"/>
      <c r="S60" s="307"/>
      <c r="T60" s="100"/>
      <c r="U60" s="308"/>
      <c r="V60" s="309"/>
      <c r="W60" s="125"/>
      <c r="X60" s="100"/>
    </row>
    <row r="61" spans="1:24" ht="15" customHeight="1">
      <c r="A61" s="31" t="str">
        <f>Assumptions!$W$16</f>
        <v>2BR</v>
      </c>
      <c r="B61" s="76">
        <f>B$58*INDEX(Assumptions!$Y$10:$Y$12,MATCH(A61,Assumptions!$W$10:$W$12,0))</f>
        <v>34</v>
      </c>
      <c r="C61" s="32">
        <f>Assumptions!$S$21</f>
        <v>1500</v>
      </c>
      <c r="D61" s="379">
        <f>Assumptions!$S$22</f>
        <v>370</v>
      </c>
      <c r="E61" s="380">
        <f>B61*C61*D61</f>
        <v>18870000</v>
      </c>
      <c r="G61" s="31" t="str">
        <f>Assumptions!$W$16</f>
        <v>2BR</v>
      </c>
      <c r="H61" s="76">
        <f>H$58*INDEX(Assumptions!$Y$10:$Y$12,MATCH(G61,Assumptions!$W$10:$W$12,0))</f>
        <v>0</v>
      </c>
      <c r="I61" s="32">
        <f>Assumptions!$S$21</f>
        <v>1500</v>
      </c>
      <c r="J61" s="379">
        <f>Assumptions!$S$22</f>
        <v>370</v>
      </c>
      <c r="K61" s="380">
        <f>H61*I61*J61</f>
        <v>0</v>
      </c>
      <c r="L61" s="125"/>
      <c r="M61" s="31" t="str">
        <f>Assumptions!$W$16</f>
        <v>2BR</v>
      </c>
      <c r="N61" s="76">
        <f>N$58*INDEX(Assumptions!$Y$10:$Y$12,MATCH(M61,Assumptions!$W$10:$W$12,0))</f>
        <v>0</v>
      </c>
      <c r="O61" s="32">
        <f>Assumptions!$S$21</f>
        <v>1500</v>
      </c>
      <c r="P61" s="379">
        <f>Assumptions!$S$22</f>
        <v>370</v>
      </c>
      <c r="Q61" s="380">
        <f>N61*O61*P61</f>
        <v>0</v>
      </c>
      <c r="R61" s="125"/>
      <c r="S61" s="307"/>
      <c r="T61" s="100"/>
      <c r="U61" s="308"/>
      <c r="V61" s="309"/>
      <c r="W61" s="125"/>
      <c r="X61" s="100"/>
    </row>
    <row r="62" spans="1:24" ht="15" customHeight="1" thickBot="1">
      <c r="A62" s="31" t="str">
        <f>Assumptions!$W$17</f>
        <v>3BR</v>
      </c>
      <c r="B62" s="76">
        <f>B$58*INDEX(Assumptions!$Y$10:$Y$12,MATCH(A62,Assumptions!$W$10:$W$12,0))</f>
        <v>25.5</v>
      </c>
      <c r="C62" s="378">
        <f>Assumptions!$S$24</f>
        <v>2300</v>
      </c>
      <c r="D62" s="379">
        <f>Assumptions!$S$25</f>
        <v>340</v>
      </c>
      <c r="E62" s="380">
        <f>B62*C62*D62</f>
        <v>19941000</v>
      </c>
      <c r="G62" s="31" t="str">
        <f>Assumptions!$W$17</f>
        <v>3BR</v>
      </c>
      <c r="H62" s="76">
        <f>H$58*INDEX(Assumptions!$Y$10:$Y$12,MATCH(G62,Assumptions!$W$10:$W$12,0))</f>
        <v>0</v>
      </c>
      <c r="I62" s="378">
        <f>Assumptions!$S$24</f>
        <v>2300</v>
      </c>
      <c r="J62" s="379">
        <f>Assumptions!$S$25</f>
        <v>340</v>
      </c>
      <c r="K62" s="380">
        <f>H62*I62*J62</f>
        <v>0</v>
      </c>
      <c r="L62" s="125"/>
      <c r="M62" s="31" t="str">
        <f>Assumptions!$W$17</f>
        <v>3BR</v>
      </c>
      <c r="N62" s="76">
        <f>N$58*INDEX(Assumptions!$Y$10:$Y$12,MATCH(M62,Assumptions!$W$10:$W$12,0))</f>
        <v>0</v>
      </c>
      <c r="O62" s="378">
        <f>Assumptions!$S$24</f>
        <v>2300</v>
      </c>
      <c r="P62" s="379">
        <f>Assumptions!$S$25</f>
        <v>340</v>
      </c>
      <c r="Q62" s="380">
        <f>N62*O62*P62</f>
        <v>0</v>
      </c>
      <c r="R62" s="125"/>
      <c r="S62" s="307"/>
      <c r="T62" s="100"/>
      <c r="U62" s="308"/>
      <c r="V62" s="309"/>
      <c r="W62" s="125"/>
      <c r="X62" s="100"/>
    </row>
    <row r="63" spans="1:24" ht="15" customHeight="1" thickTop="1" thickBot="1">
      <c r="A63" s="7" t="s">
        <v>425</v>
      </c>
      <c r="B63" s="8">
        <f>SUM(B61:B62)</f>
        <v>59.5</v>
      </c>
      <c r="C63" s="9">
        <f>SUMPRODUCT(B60:B62,C60:C62)</f>
        <v>135150</v>
      </c>
      <c r="D63" s="61"/>
      <c r="E63" s="62">
        <f>SUM(E60:E62)</f>
        <v>49011000</v>
      </c>
      <c r="G63" s="7" t="s">
        <v>425</v>
      </c>
      <c r="H63" s="8">
        <f>SUM(H61:H62)</f>
        <v>0</v>
      </c>
      <c r="I63" s="9">
        <f>SUMPRODUCT(H60:H62,I60:I62)</f>
        <v>0</v>
      </c>
      <c r="J63" s="61"/>
      <c r="K63" s="62">
        <f>SUM(K60:K62)</f>
        <v>0</v>
      </c>
      <c r="L63" s="122"/>
      <c r="M63" s="7" t="s">
        <v>425</v>
      </c>
      <c r="N63" s="8">
        <f>SUM(N61:N62)</f>
        <v>0</v>
      </c>
      <c r="O63" s="9">
        <f>SUMPRODUCT(N60:N62,O60:O62)</f>
        <v>0</v>
      </c>
      <c r="P63" s="61"/>
      <c r="Q63" s="62">
        <f>SUM(Q60:Q62)</f>
        <v>0</v>
      </c>
      <c r="R63" s="122"/>
      <c r="S63" s="12"/>
      <c r="T63" s="310"/>
      <c r="U63" s="311"/>
      <c r="V63" s="312"/>
      <c r="W63" s="122"/>
      <c r="X63" s="100"/>
    </row>
    <row r="64" spans="1:24" ht="15" customHeight="1" thickTop="1" thickBot="1">
      <c r="A64" s="10" t="s">
        <v>426</v>
      </c>
      <c r="B64" s="60"/>
      <c r="C64" s="11">
        <f>IFERROR(C63/B63,0)</f>
        <v>2271.4285714285716</v>
      </c>
      <c r="D64" s="63">
        <f>IFERROR((E63/12)/C63,0)</f>
        <v>30.220125786163521</v>
      </c>
      <c r="E64" s="64"/>
      <c r="G64" s="10" t="s">
        <v>426</v>
      </c>
      <c r="H64" s="60"/>
      <c r="I64" s="11">
        <f>IFERROR(I63/H63,0)</f>
        <v>0</v>
      </c>
      <c r="J64" s="63">
        <f>IFERROR((K63/12)/I63,0)</f>
        <v>0</v>
      </c>
      <c r="K64" s="64"/>
      <c r="L64" s="12"/>
      <c r="M64" s="10" t="s">
        <v>426</v>
      </c>
      <c r="N64" s="60"/>
      <c r="O64" s="11">
        <f>IFERROR(O63/N63,0)</f>
        <v>0</v>
      </c>
      <c r="P64" s="63">
        <f>IFERROR((Q63/12)/O63,0)</f>
        <v>0</v>
      </c>
      <c r="Q64" s="64"/>
      <c r="R64" s="12"/>
      <c r="S64" s="12"/>
      <c r="T64" s="313"/>
      <c r="U64" s="314"/>
      <c r="V64" s="315"/>
      <c r="W64" s="12"/>
      <c r="X64" s="100"/>
    </row>
    <row r="65" spans="1:24" ht="15" customHeight="1">
      <c r="A65" s="104" t="s">
        <v>224</v>
      </c>
      <c r="B65" s="105" t="str">
        <f>B$38</f>
        <v>-</v>
      </c>
      <c r="C65" s="166" t="s">
        <v>419</v>
      </c>
      <c r="D65" s="111">
        <f>D$38*E$65</f>
        <v>0</v>
      </c>
      <c r="E65" s="106">
        <f>Assumptions!$Y$28</f>
        <v>0.77</v>
      </c>
      <c r="G65" s="104" t="s">
        <v>224</v>
      </c>
      <c r="H65" s="105" t="str">
        <f>H$38</f>
        <v>-</v>
      </c>
      <c r="I65" s="166" t="s">
        <v>419</v>
      </c>
      <c r="J65" s="111">
        <f>J$38*K$65</f>
        <v>0</v>
      </c>
      <c r="K65" s="106">
        <f>Assumptions!$Y$28</f>
        <v>0.77</v>
      </c>
      <c r="L65" s="12"/>
      <c r="M65" s="104" t="s">
        <v>224</v>
      </c>
      <c r="N65" s="105" t="str">
        <f>N$38</f>
        <v>-</v>
      </c>
      <c r="O65" s="166" t="s">
        <v>419</v>
      </c>
      <c r="P65" s="111">
        <f>P$38*Q$65</f>
        <v>0</v>
      </c>
      <c r="Q65" s="106">
        <f>Assumptions!$Y$28</f>
        <v>0.77</v>
      </c>
      <c r="R65" s="12"/>
      <c r="S65" s="123"/>
      <c r="T65" s="99"/>
      <c r="U65" s="135"/>
      <c r="V65" s="295"/>
      <c r="W65" s="55"/>
      <c r="X65" s="100"/>
    </row>
    <row r="66" spans="1:24" ht="15" customHeight="1">
      <c r="A66" s="104" t="s">
        <v>420</v>
      </c>
      <c r="B66" s="160">
        <v>0</v>
      </c>
      <c r="C66" s="113" t="str">
        <f>IF(C72&gt;D65,"# of Units Over Available Area","# of Units Within Available Area")</f>
        <v># of Units Within Available Area</v>
      </c>
      <c r="D66" s="112" t="s">
        <v>421</v>
      </c>
      <c r="E66" s="120">
        <v>0</v>
      </c>
      <c r="G66" s="104" t="s">
        <v>420</v>
      </c>
      <c r="H66" s="160">
        <v>0</v>
      </c>
      <c r="I66" s="113" t="str">
        <f>IF(I72&gt;J65,"# of Units Over Available Area","# of Units Within Available Area")</f>
        <v># of Units Within Available Area</v>
      </c>
      <c r="J66" s="112" t="s">
        <v>421</v>
      </c>
      <c r="K66" s="120">
        <v>0</v>
      </c>
      <c r="L66" s="12"/>
      <c r="M66" s="104" t="s">
        <v>420</v>
      </c>
      <c r="N66" s="160">
        <v>0</v>
      </c>
      <c r="O66" s="113" t="str">
        <f>IF(O72&gt;P65,"# of Units Over Available Area","# of Units Within Available Area")</f>
        <v># of Units Within Available Area</v>
      </c>
      <c r="P66" s="112" t="s">
        <v>421</v>
      </c>
      <c r="Q66" s="120">
        <v>0</v>
      </c>
      <c r="R66" s="12"/>
      <c r="S66" s="123"/>
      <c r="T66" s="296"/>
      <c r="U66" s="297"/>
      <c r="V66" s="112"/>
      <c r="W66" s="102"/>
      <c r="X66" s="100"/>
    </row>
    <row r="67" spans="1:24" ht="15" customHeight="1">
      <c r="A67" s="107" t="s">
        <v>308</v>
      </c>
      <c r="B67" s="108" t="s">
        <v>427</v>
      </c>
      <c r="C67" s="109" t="s">
        <v>428</v>
      </c>
      <c r="D67" s="108" t="s">
        <v>423</v>
      </c>
      <c r="E67" s="110" t="s">
        <v>424</v>
      </c>
      <c r="G67" s="107" t="s">
        <v>308</v>
      </c>
      <c r="H67" s="108" t="s">
        <v>427</v>
      </c>
      <c r="I67" s="109" t="s">
        <v>428</v>
      </c>
      <c r="J67" s="108" t="s">
        <v>423</v>
      </c>
      <c r="K67" s="110" t="s">
        <v>424</v>
      </c>
      <c r="L67" s="12"/>
      <c r="M67" s="107" t="s">
        <v>308</v>
      </c>
      <c r="N67" s="108" t="s">
        <v>427</v>
      </c>
      <c r="O67" s="109" t="s">
        <v>428</v>
      </c>
      <c r="P67" s="108" t="s">
        <v>423</v>
      </c>
      <c r="Q67" s="110" t="s">
        <v>424</v>
      </c>
      <c r="R67" s="12"/>
      <c r="S67" s="123"/>
      <c r="T67" s="124"/>
      <c r="U67" s="276"/>
      <c r="V67" s="124"/>
      <c r="W67" s="124"/>
      <c r="X67" s="100"/>
    </row>
    <row r="68" spans="1:24" ht="15" customHeight="1">
      <c r="A68" s="31" t="str">
        <f>Assumptions!$W$14</f>
        <v>Studio</v>
      </c>
      <c r="B68" s="76">
        <f>B$66*INDEX(Assumptions!$Y$14:$Y$17,MATCH(A68,Assumptions!$W$14:$W$17,0))</f>
        <v>0</v>
      </c>
      <c r="C68" s="32">
        <f>Assumptions!$R$28</f>
        <v>550</v>
      </c>
      <c r="D68" s="42">
        <f>Assumptions!$R29*(1+E$66)</f>
        <v>2.4</v>
      </c>
      <c r="E68" s="43">
        <f>12*B68*C68*D68</f>
        <v>0</v>
      </c>
      <c r="G68" s="31" t="str">
        <f>Assumptions!$W$14</f>
        <v>Studio</v>
      </c>
      <c r="H68" s="76">
        <f>H$66*INDEX(Assumptions!$Y$14:$Y$17,MATCH(G68,Assumptions!$W$14:$W$17,0))</f>
        <v>0</v>
      </c>
      <c r="I68" s="32">
        <f>Assumptions!$R$28</f>
        <v>550</v>
      </c>
      <c r="J68" s="42">
        <f>Assumptions!$R29*(1+K$66)</f>
        <v>2.4</v>
      </c>
      <c r="K68" s="43">
        <f>12*H68*I68*J68</f>
        <v>0</v>
      </c>
      <c r="L68" s="12"/>
      <c r="M68" s="31" t="str">
        <f>Assumptions!$W$14</f>
        <v>Studio</v>
      </c>
      <c r="N68" s="76">
        <f>N$66*INDEX(Assumptions!$Y$14:$Y$17,MATCH(M68,Assumptions!$W$14:$W$17,0))</f>
        <v>0</v>
      </c>
      <c r="O68" s="32">
        <f>Assumptions!$R$28</f>
        <v>550</v>
      </c>
      <c r="P68" s="42">
        <f>Assumptions!$R29*(1+Q$66)</f>
        <v>2.4</v>
      </c>
      <c r="Q68" s="43">
        <f>12*N68*O68*P68</f>
        <v>0</v>
      </c>
      <c r="R68" s="12"/>
      <c r="S68" s="307"/>
      <c r="T68" s="100"/>
      <c r="U68" s="308"/>
      <c r="V68" s="309"/>
      <c r="W68" s="125"/>
      <c r="X68" s="100"/>
    </row>
    <row r="69" spans="1:24" ht="15" customHeight="1">
      <c r="A69" s="31" t="str">
        <f>Assumptions!$W$15</f>
        <v>1BR</v>
      </c>
      <c r="B69" s="76">
        <f>B$66*INDEX(Assumptions!$Y$14:$Y$17,MATCH(A69,Assumptions!$W$14:$W$17,0))</f>
        <v>0</v>
      </c>
      <c r="C69" s="32">
        <f>Assumptions!$R$31</f>
        <v>800</v>
      </c>
      <c r="D69" s="42">
        <f>Assumptions!$R32*(1+E$66)</f>
        <v>2.0487500000000001</v>
      </c>
      <c r="E69" s="43">
        <f>12*B69*C69*D69</f>
        <v>0</v>
      </c>
      <c r="G69" s="31" t="str">
        <f>Assumptions!$W$15</f>
        <v>1BR</v>
      </c>
      <c r="H69" s="76">
        <f>H$66*INDEX(Assumptions!$Y$14:$Y$17,MATCH(G69,Assumptions!$W$14:$W$17,0))</f>
        <v>0</v>
      </c>
      <c r="I69" s="32">
        <f>Assumptions!$R$31</f>
        <v>800</v>
      </c>
      <c r="J69" s="42">
        <f>Assumptions!$R32*(1+K$66)</f>
        <v>2.0487500000000001</v>
      </c>
      <c r="K69" s="43">
        <f>12*H69*I69*J69</f>
        <v>0</v>
      </c>
      <c r="L69" s="12"/>
      <c r="M69" s="31" t="str">
        <f>Assumptions!$W$15</f>
        <v>1BR</v>
      </c>
      <c r="N69" s="76">
        <f>N$66*INDEX(Assumptions!$Y$14:$Y$17,MATCH(M69,Assumptions!$W$14:$W$17,0))</f>
        <v>0</v>
      </c>
      <c r="O69" s="32">
        <f>Assumptions!$R$31</f>
        <v>800</v>
      </c>
      <c r="P69" s="42">
        <f>Assumptions!$R32*(1+Q$66)</f>
        <v>2.0487500000000001</v>
      </c>
      <c r="Q69" s="43">
        <f>12*N69*O69*P69</f>
        <v>0</v>
      </c>
      <c r="R69" s="12"/>
      <c r="S69" s="307"/>
      <c r="T69" s="100"/>
      <c r="U69" s="308"/>
      <c r="V69" s="309"/>
      <c r="W69" s="125"/>
      <c r="X69" s="100"/>
    </row>
    <row r="70" spans="1:24" ht="15" customHeight="1">
      <c r="A70" s="31" t="str">
        <f>Assumptions!$W$16</f>
        <v>2BR</v>
      </c>
      <c r="B70" s="76">
        <f>B$66*INDEX(Assumptions!$Y$14:$Y$17,MATCH(A70,Assumptions!$W$14:$W$17,0))</f>
        <v>0</v>
      </c>
      <c r="C70" s="378">
        <f>Assumptions!$R$34</f>
        <v>1200</v>
      </c>
      <c r="D70" s="379">
        <f>Assumptions!$R$36*(1+E$66)</f>
        <v>1.5083333333333333</v>
      </c>
      <c r="E70" s="380">
        <f>12*B70*C70*D70</f>
        <v>0</v>
      </c>
      <c r="G70" s="31" t="str">
        <f>Assumptions!$W$16</f>
        <v>2BR</v>
      </c>
      <c r="H70" s="76">
        <f>H$66*INDEX(Assumptions!$Y$14:$Y$17,MATCH(G70,Assumptions!$W$14:$W$17,0))</f>
        <v>0</v>
      </c>
      <c r="I70" s="378">
        <f>Assumptions!$R$34</f>
        <v>1200</v>
      </c>
      <c r="J70" s="379">
        <f>Assumptions!$R$36*(1+K$66)</f>
        <v>1.5083333333333333</v>
      </c>
      <c r="K70" s="380">
        <f>12*H70*I70*J70</f>
        <v>0</v>
      </c>
      <c r="L70" s="12"/>
      <c r="M70" s="31" t="str">
        <f>Assumptions!$W$16</f>
        <v>2BR</v>
      </c>
      <c r="N70" s="76">
        <f>N$66*INDEX(Assumptions!$Y$14:$Y$17,MATCH(M70,Assumptions!$W$14:$W$17,0))</f>
        <v>0</v>
      </c>
      <c r="O70" s="378">
        <f>Assumptions!$R$34</f>
        <v>1200</v>
      </c>
      <c r="P70" s="379">
        <f>Assumptions!$R$36*(1+Q$66)</f>
        <v>1.5083333333333333</v>
      </c>
      <c r="Q70" s="380">
        <f>12*N70*O70*P70</f>
        <v>0</v>
      </c>
      <c r="R70" s="12"/>
      <c r="S70" s="307"/>
      <c r="T70" s="100"/>
      <c r="U70" s="308"/>
      <c r="V70" s="309"/>
      <c r="W70" s="125"/>
      <c r="X70" s="100"/>
    </row>
    <row r="71" spans="1:24" ht="15" customHeight="1" thickBot="1">
      <c r="A71" s="31" t="str">
        <f>Assumptions!$W$17</f>
        <v>3BR</v>
      </c>
      <c r="B71" s="76">
        <f>B$66*INDEX(Assumptions!$Y$14:$Y$17,MATCH(A71,Assumptions!$W$14:$W$17,0))</f>
        <v>0</v>
      </c>
      <c r="C71" s="32">
        <f>Assumptions!$R$38</f>
        <v>2000</v>
      </c>
      <c r="D71" s="379">
        <f>Assumptions!$R$39*(1+E$66)</f>
        <v>1.5145</v>
      </c>
      <c r="E71" s="380">
        <f>12*B71*C71*D71</f>
        <v>0</v>
      </c>
      <c r="G71" s="31" t="str">
        <f>Assumptions!$W$17</f>
        <v>3BR</v>
      </c>
      <c r="H71" s="76">
        <f>H$66*INDEX(Assumptions!$Y$14:$Y$17,MATCH(G71,Assumptions!$W$14:$W$17,0))</f>
        <v>0</v>
      </c>
      <c r="I71" s="32">
        <f>Assumptions!$R$38</f>
        <v>2000</v>
      </c>
      <c r="J71" s="379">
        <f>Assumptions!$R$39*(1+K$66)</f>
        <v>1.5145</v>
      </c>
      <c r="K71" s="380">
        <f>12*H71*I71*J71</f>
        <v>0</v>
      </c>
      <c r="L71" s="12"/>
      <c r="M71" s="31" t="str">
        <f>Assumptions!$W$17</f>
        <v>3BR</v>
      </c>
      <c r="N71" s="76">
        <f>N$66*INDEX(Assumptions!$Y$14:$Y$17,MATCH(M71,Assumptions!$W$14:$W$17,0))</f>
        <v>0</v>
      </c>
      <c r="O71" s="32">
        <f>Assumptions!$R$38</f>
        <v>2000</v>
      </c>
      <c r="P71" s="379">
        <f>Assumptions!$R$39*(1+Q$66)</f>
        <v>1.5145</v>
      </c>
      <c r="Q71" s="380">
        <f>12*N71*O71*P71</f>
        <v>0</v>
      </c>
      <c r="R71" s="12"/>
      <c r="S71" s="307"/>
      <c r="T71" s="100"/>
      <c r="U71" s="308"/>
      <c r="V71" s="309"/>
      <c r="W71" s="125"/>
      <c r="X71" s="100"/>
    </row>
    <row r="72" spans="1:24" ht="15" customHeight="1" thickTop="1" thickBot="1">
      <c r="A72" s="7" t="s">
        <v>425</v>
      </c>
      <c r="B72" s="8">
        <f>SUM(B68:B71)</f>
        <v>0</v>
      </c>
      <c r="C72" s="9">
        <f>SUMPRODUCT(B68:B71,C68:C71)</f>
        <v>0</v>
      </c>
      <c r="D72" s="61"/>
      <c r="E72" s="62">
        <f>SUM(E68:E71)</f>
        <v>0</v>
      </c>
      <c r="G72" s="7" t="s">
        <v>425</v>
      </c>
      <c r="H72" s="8">
        <f>SUM(H68:H71)</f>
        <v>0</v>
      </c>
      <c r="I72" s="9">
        <f>SUMPRODUCT(H68:H71,I68:I71)</f>
        <v>0</v>
      </c>
      <c r="J72" s="61"/>
      <c r="K72" s="62">
        <f>SUM(K68:K71)</f>
        <v>0</v>
      </c>
      <c r="L72" s="12"/>
      <c r="M72" s="7" t="s">
        <v>425</v>
      </c>
      <c r="N72" s="8">
        <f>SUM(N68:N71)</f>
        <v>0</v>
      </c>
      <c r="O72" s="9">
        <f>SUMPRODUCT(N68:N71,O68:O71)</f>
        <v>0</v>
      </c>
      <c r="P72" s="61"/>
      <c r="Q72" s="62">
        <f>SUM(Q68:Q71)</f>
        <v>0</v>
      </c>
      <c r="R72" s="12"/>
      <c r="S72" s="12"/>
      <c r="T72" s="310"/>
      <c r="U72" s="311"/>
      <c r="V72" s="312"/>
      <c r="W72" s="122"/>
      <c r="X72" s="100"/>
    </row>
    <row r="73" spans="1:24" ht="15" customHeight="1" thickTop="1" thickBot="1">
      <c r="A73" s="10" t="s">
        <v>426</v>
      </c>
      <c r="B73" s="60"/>
      <c r="C73" s="11">
        <f>IFERROR(C72/B72,0)</f>
        <v>0</v>
      </c>
      <c r="D73" s="63">
        <f>IFERROR((E72/12)/C72,0)</f>
        <v>0</v>
      </c>
      <c r="E73" s="64"/>
      <c r="G73" s="10" t="s">
        <v>426</v>
      </c>
      <c r="H73" s="60"/>
      <c r="I73" s="11">
        <f>IFERROR(I72/H72,0)</f>
        <v>0</v>
      </c>
      <c r="J73" s="63">
        <f>IFERROR((K72/12)/I72,0)</f>
        <v>0</v>
      </c>
      <c r="K73" s="64"/>
      <c r="L73" s="12"/>
      <c r="M73" s="10" t="s">
        <v>426</v>
      </c>
      <c r="N73" s="60"/>
      <c r="O73" s="11">
        <f>IFERROR(O72/N72,0)</f>
        <v>0</v>
      </c>
      <c r="P73" s="63">
        <f>IFERROR((Q72/12)/O72,0)</f>
        <v>0</v>
      </c>
      <c r="Q73" s="64"/>
      <c r="R73" s="12"/>
      <c r="S73" s="12"/>
      <c r="T73" s="313"/>
      <c r="U73" s="314"/>
      <c r="V73" s="315"/>
      <c r="W73" s="12"/>
      <c r="X73" s="100"/>
    </row>
    <row r="74" spans="1:24" ht="15" customHeight="1">
      <c r="A74" s="104" t="s">
        <v>225</v>
      </c>
      <c r="B74" s="105" t="str">
        <f>B$39</f>
        <v>Multifamily-Affordable-Sale</v>
      </c>
      <c r="C74" s="166" t="s">
        <v>419</v>
      </c>
      <c r="D74" s="111">
        <f>D$39*E$74</f>
        <v>34013.964600000007</v>
      </c>
      <c r="E74" s="106">
        <f>Assumptions!$Y$28</f>
        <v>0.77</v>
      </c>
      <c r="G74" s="104" t="s">
        <v>225</v>
      </c>
      <c r="H74" s="105" t="str">
        <f>H$39</f>
        <v>-</v>
      </c>
      <c r="I74" s="166" t="s">
        <v>419</v>
      </c>
      <c r="J74" s="111">
        <f>J$39*K$74</f>
        <v>0</v>
      </c>
      <c r="K74" s="106">
        <f>Assumptions!$Y$28</f>
        <v>0.77</v>
      </c>
      <c r="L74" s="12"/>
      <c r="M74" s="104" t="s">
        <v>225</v>
      </c>
      <c r="N74" s="105" t="str">
        <f>N$39</f>
        <v>-</v>
      </c>
      <c r="O74" s="166" t="s">
        <v>419</v>
      </c>
      <c r="P74" s="111">
        <f>P$39*Q$74</f>
        <v>0</v>
      </c>
      <c r="Q74" s="106">
        <f>Assumptions!$Y$28</f>
        <v>0.77</v>
      </c>
      <c r="R74" s="12"/>
      <c r="S74" s="123"/>
      <c r="T74" s="99"/>
      <c r="U74" s="135"/>
      <c r="V74" s="295"/>
      <c r="W74" s="55"/>
      <c r="X74" s="100"/>
    </row>
    <row r="75" spans="1:24" ht="15" customHeight="1">
      <c r="A75" s="104" t="s">
        <v>420</v>
      </c>
      <c r="B75" s="160">
        <v>24</v>
      </c>
      <c r="C75" s="113" t="str">
        <f>IF(C80&gt;D74,"# of Units Over Available Area","# of Units Within Available Area")</f>
        <v># of Units Within Available Area</v>
      </c>
      <c r="D75" s="158"/>
      <c r="E75" s="159"/>
      <c r="G75" s="104" t="s">
        <v>420</v>
      </c>
      <c r="H75" s="160">
        <v>0</v>
      </c>
      <c r="I75" s="113" t="str">
        <f>IF(I80&gt;J74,"# of Units Over Available Area","# of Units Within Available Area")</f>
        <v># of Units Within Available Area</v>
      </c>
      <c r="J75" s="158"/>
      <c r="K75" s="159"/>
      <c r="L75" s="12"/>
      <c r="M75" s="104" t="s">
        <v>420</v>
      </c>
      <c r="N75" s="160">
        <v>0</v>
      </c>
      <c r="O75" s="113" t="str">
        <f>IF(O80&gt;P74,"# of Units Over Available Area","# of Units Within Available Area")</f>
        <v># of Units Within Available Area</v>
      </c>
      <c r="P75" s="158"/>
      <c r="Q75" s="159"/>
      <c r="R75" s="12"/>
      <c r="S75" s="123"/>
      <c r="T75" s="296"/>
      <c r="U75" s="297"/>
      <c r="V75" s="112"/>
      <c r="W75" s="102"/>
      <c r="X75" s="100"/>
    </row>
    <row r="76" spans="1:24" ht="15" customHeight="1">
      <c r="A76" s="107" t="s">
        <v>308</v>
      </c>
      <c r="B76" s="108" t="s">
        <v>427</v>
      </c>
      <c r="C76" s="109" t="s">
        <v>428</v>
      </c>
      <c r="D76" s="108" t="s">
        <v>74</v>
      </c>
      <c r="E76" s="110" t="s">
        <v>429</v>
      </c>
      <c r="G76" s="107" t="s">
        <v>308</v>
      </c>
      <c r="H76" s="108" t="s">
        <v>427</v>
      </c>
      <c r="I76" s="109" t="s">
        <v>428</v>
      </c>
      <c r="J76" s="108" t="s">
        <v>74</v>
      </c>
      <c r="K76" s="110" t="s">
        <v>429</v>
      </c>
      <c r="L76" s="12"/>
      <c r="M76" s="107" t="s">
        <v>308</v>
      </c>
      <c r="N76" s="108" t="s">
        <v>427</v>
      </c>
      <c r="O76" s="109" t="s">
        <v>428</v>
      </c>
      <c r="P76" s="108" t="s">
        <v>74</v>
      </c>
      <c r="Q76" s="110" t="s">
        <v>429</v>
      </c>
      <c r="R76" s="12"/>
      <c r="S76" s="123"/>
      <c r="T76" s="124"/>
      <c r="U76" s="276"/>
      <c r="V76" s="124"/>
      <c r="W76" s="124"/>
      <c r="X76" s="100"/>
    </row>
    <row r="77" spans="1:24" ht="15" customHeight="1">
      <c r="A77" s="31" t="str">
        <f>Assumptions!$W$19</f>
        <v>1BR</v>
      </c>
      <c r="B77" s="76">
        <f>B$75*INDEX(Assumptions!$Y$19:$Y$21,MATCH(A77,Assumptions!$W$19:$W$21,0))</f>
        <v>12</v>
      </c>
      <c r="C77" s="32">
        <f>Assumptions!$S$18</f>
        <v>1000</v>
      </c>
      <c r="D77" s="379">
        <f>Assumptions!$S$32</f>
        <v>268</v>
      </c>
      <c r="E77" s="380">
        <f>B77*C77*D77</f>
        <v>3216000</v>
      </c>
      <c r="G77" s="31" t="str">
        <f>Assumptions!$W$19</f>
        <v>1BR</v>
      </c>
      <c r="H77" s="76">
        <f>H$75*INDEX(Assumptions!$Y$19:$Y$21,MATCH(G77,Assumptions!$W$19:$W$21,0))</f>
        <v>0</v>
      </c>
      <c r="I77" s="32">
        <f>Assumptions!$S$18</f>
        <v>1000</v>
      </c>
      <c r="J77" s="379">
        <f>Assumptions!$S$32</f>
        <v>268</v>
      </c>
      <c r="K77" s="380">
        <f>H77*I77*J77</f>
        <v>0</v>
      </c>
      <c r="L77" s="12"/>
      <c r="M77" s="31" t="str">
        <f>Assumptions!$W$19</f>
        <v>1BR</v>
      </c>
      <c r="N77" s="76">
        <f>N$75*INDEX(Assumptions!$Y$19:$Y$21,MATCH(M77,Assumptions!$W$19:$W$21,0))</f>
        <v>0</v>
      </c>
      <c r="O77" s="32">
        <f>Assumptions!$S$18</f>
        <v>1000</v>
      </c>
      <c r="P77" s="379">
        <f>Assumptions!$S$32</f>
        <v>268</v>
      </c>
      <c r="Q77" s="380">
        <f>N77*O77*P77</f>
        <v>0</v>
      </c>
      <c r="R77" s="12"/>
      <c r="S77" s="307"/>
      <c r="T77" s="100"/>
      <c r="U77" s="308"/>
      <c r="V77" s="309"/>
      <c r="W77" s="125"/>
      <c r="X77" s="100"/>
    </row>
    <row r="78" spans="1:24" ht="15" customHeight="1">
      <c r="A78" s="31" t="str">
        <f>Assumptions!$W$20</f>
        <v>2BR</v>
      </c>
      <c r="B78" s="76">
        <f>B$75*INDEX(Assumptions!$Y$19:$Y$21,MATCH(A78,Assumptions!$W$19:$W$21,0))</f>
        <v>7.1999999999999993</v>
      </c>
      <c r="C78" s="32">
        <f>Assumptions!$S$21</f>
        <v>1500</v>
      </c>
      <c r="D78" s="379">
        <f>Assumptions!$S$36</f>
        <v>216</v>
      </c>
      <c r="E78" s="380">
        <f>B78*C78*D78</f>
        <v>2332799.9999999995</v>
      </c>
      <c r="G78" s="31" t="str">
        <f>Assumptions!$W$20</f>
        <v>2BR</v>
      </c>
      <c r="H78" s="76">
        <f>H$75*INDEX(Assumptions!$Y$19:$Y$21,MATCH(G78,Assumptions!$W$19:$W$21,0))</f>
        <v>0</v>
      </c>
      <c r="I78" s="32">
        <f>Assumptions!$S$21</f>
        <v>1500</v>
      </c>
      <c r="J78" s="379">
        <f>Assumptions!$S$36</f>
        <v>216</v>
      </c>
      <c r="K78" s="380">
        <f>H78*I78*J78</f>
        <v>0</v>
      </c>
      <c r="L78" s="12"/>
      <c r="M78" s="31" t="str">
        <f>Assumptions!$W$20</f>
        <v>2BR</v>
      </c>
      <c r="N78" s="76">
        <f>N$75*INDEX(Assumptions!$Y$19:$Y$21,MATCH(M78,Assumptions!$W$19:$W$21,0))</f>
        <v>0</v>
      </c>
      <c r="O78" s="32">
        <f>Assumptions!$S$21</f>
        <v>1500</v>
      </c>
      <c r="P78" s="379">
        <f>Assumptions!$S$36</f>
        <v>216</v>
      </c>
      <c r="Q78" s="380">
        <f>N78*O78*P78</f>
        <v>0</v>
      </c>
      <c r="R78" s="12"/>
      <c r="S78" s="307"/>
      <c r="T78" s="100"/>
      <c r="U78" s="308"/>
      <c r="V78" s="309"/>
      <c r="W78" s="125"/>
      <c r="X78" s="100"/>
    </row>
    <row r="79" spans="1:24" ht="15" customHeight="1" thickBot="1">
      <c r="A79" s="31" t="str">
        <f>Assumptions!$W$21</f>
        <v>3BR</v>
      </c>
      <c r="B79" s="76">
        <f>B$75*INDEX(Assumptions!$Y$19:$Y$21,MATCH(A79,Assumptions!$W$19:$W$21,0))</f>
        <v>4.8000000000000007</v>
      </c>
      <c r="C79" s="378">
        <f>Assumptions!$S$24</f>
        <v>2300</v>
      </c>
      <c r="D79" s="379">
        <f>Assumptions!$S$39</f>
        <v>174.34782608695653</v>
      </c>
      <c r="E79" s="380">
        <f>B79*C79*D79</f>
        <v>1924800.0000000005</v>
      </c>
      <c r="G79" s="31" t="str">
        <f>Assumptions!$W$21</f>
        <v>3BR</v>
      </c>
      <c r="H79" s="76">
        <f>H$75*INDEX(Assumptions!$Y$19:$Y$21,MATCH(G79,Assumptions!$W$19:$W$21,0))</f>
        <v>0</v>
      </c>
      <c r="I79" s="378">
        <f>Assumptions!$S$24</f>
        <v>2300</v>
      </c>
      <c r="J79" s="379">
        <f>Assumptions!$S$39</f>
        <v>174.34782608695653</v>
      </c>
      <c r="K79" s="380">
        <f>H79*I79*J79</f>
        <v>0</v>
      </c>
      <c r="L79" s="12"/>
      <c r="M79" s="31" t="str">
        <f>Assumptions!$W$21</f>
        <v>3BR</v>
      </c>
      <c r="N79" s="76">
        <f>N$75*INDEX(Assumptions!$Y$19:$Y$21,MATCH(M79,Assumptions!$W$19:$W$21,0))</f>
        <v>0</v>
      </c>
      <c r="O79" s="378">
        <f>Assumptions!$S$24</f>
        <v>2300</v>
      </c>
      <c r="P79" s="379">
        <f>Assumptions!$S$39</f>
        <v>174.34782608695653</v>
      </c>
      <c r="Q79" s="380">
        <f>N79*O79*P79</f>
        <v>0</v>
      </c>
      <c r="R79" s="12"/>
      <c r="S79" s="307"/>
      <c r="T79" s="100"/>
      <c r="U79" s="308"/>
      <c r="V79" s="309"/>
      <c r="W79" s="125"/>
      <c r="X79" s="100"/>
    </row>
    <row r="80" spans="1:24" ht="15" customHeight="1" thickTop="1" thickBot="1">
      <c r="A80" s="7" t="s">
        <v>425</v>
      </c>
      <c r="B80" s="8">
        <f>SUM(B77:B79)</f>
        <v>24</v>
      </c>
      <c r="C80" s="9">
        <f>SUMPRODUCT(B77:B79,C77:C79)</f>
        <v>33840</v>
      </c>
      <c r="D80" s="61"/>
      <c r="E80" s="62">
        <f>SUM(E77:E79)</f>
        <v>7473600</v>
      </c>
      <c r="G80" s="7" t="s">
        <v>425</v>
      </c>
      <c r="H80" s="8">
        <f>SUM(H77:H79)</f>
        <v>0</v>
      </c>
      <c r="I80" s="9">
        <f>SUMPRODUCT(H77:H79,I77:I79)</f>
        <v>0</v>
      </c>
      <c r="J80" s="61"/>
      <c r="K80" s="62">
        <f>SUM(K77:K79)</f>
        <v>0</v>
      </c>
      <c r="L80" s="12"/>
      <c r="M80" s="7" t="s">
        <v>425</v>
      </c>
      <c r="N80" s="8">
        <f>SUM(N77:N79)</f>
        <v>0</v>
      </c>
      <c r="O80" s="9">
        <f>SUMPRODUCT(N77:N79,O77:O79)</f>
        <v>0</v>
      </c>
      <c r="P80" s="61"/>
      <c r="Q80" s="62">
        <f>SUM(Q77:Q79)</f>
        <v>0</v>
      </c>
      <c r="R80" s="12"/>
      <c r="S80" s="12"/>
      <c r="T80" s="310"/>
      <c r="U80" s="311"/>
      <c r="V80" s="312"/>
      <c r="W80" s="122"/>
      <c r="X80" s="100"/>
    </row>
    <row r="81" spans="1:24" ht="15" customHeight="1" thickTop="1" thickBot="1">
      <c r="A81" s="10" t="s">
        <v>426</v>
      </c>
      <c r="B81" s="60"/>
      <c r="C81" s="11">
        <f>IFERROR(C80/B80,0)</f>
        <v>1410</v>
      </c>
      <c r="D81" s="63">
        <f>IFERROR((E80/12)/C80,0)</f>
        <v>18.404255319148938</v>
      </c>
      <c r="E81" s="64"/>
      <c r="G81" s="10" t="s">
        <v>426</v>
      </c>
      <c r="H81" s="60"/>
      <c r="I81" s="11">
        <f>IFERROR(I80/H80,0)</f>
        <v>0</v>
      </c>
      <c r="J81" s="63">
        <f>IFERROR((K80/12)/I80,0)</f>
        <v>0</v>
      </c>
      <c r="K81" s="64"/>
      <c r="L81" s="12"/>
      <c r="M81" s="10" t="s">
        <v>426</v>
      </c>
      <c r="N81" s="60"/>
      <c r="O81" s="11">
        <f>IFERROR(O80/N80,0)</f>
        <v>0</v>
      </c>
      <c r="P81" s="63">
        <f>IFERROR((Q80/12)/O80,0)</f>
        <v>0</v>
      </c>
      <c r="Q81" s="64"/>
      <c r="R81" s="12"/>
      <c r="S81" s="12"/>
      <c r="T81" s="313"/>
      <c r="U81" s="314"/>
      <c r="V81" s="315"/>
      <c r="W81" s="12"/>
      <c r="X81" s="100"/>
    </row>
    <row r="82" spans="1:24" ht="15" customHeight="1">
      <c r="A82" s="104" t="s">
        <v>226</v>
      </c>
      <c r="B82" s="105" t="str">
        <f>B$38</f>
        <v>-</v>
      </c>
      <c r="C82" s="166" t="s">
        <v>419</v>
      </c>
      <c r="D82" s="111">
        <f>D$40*E$82</f>
        <v>0</v>
      </c>
      <c r="E82" s="106">
        <f>Assumptions!$Y$29</f>
        <v>0.8</v>
      </c>
      <c r="G82" s="104" t="s">
        <v>226</v>
      </c>
      <c r="H82" s="105" t="str">
        <f>H$38</f>
        <v>-</v>
      </c>
      <c r="I82" s="166" t="s">
        <v>419</v>
      </c>
      <c r="J82" s="111">
        <f>J$40*K$82</f>
        <v>0</v>
      </c>
      <c r="K82" s="106">
        <f>Assumptions!$Y$29</f>
        <v>0.8</v>
      </c>
      <c r="M82" s="104" t="s">
        <v>226</v>
      </c>
      <c r="N82" s="105" t="str">
        <f>N$38</f>
        <v>-</v>
      </c>
      <c r="O82" s="166" t="s">
        <v>419</v>
      </c>
      <c r="P82" s="111">
        <f>P$40*Q$82</f>
        <v>0</v>
      </c>
      <c r="Q82" s="106">
        <f>Assumptions!$Y$29</f>
        <v>0.8</v>
      </c>
      <c r="S82" s="123"/>
      <c r="T82" s="99"/>
      <c r="U82" s="135"/>
      <c r="V82" s="295"/>
      <c r="W82" s="55"/>
    </row>
    <row r="83" spans="1:24" ht="15" customHeight="1">
      <c r="A83" s="104" t="s">
        <v>430</v>
      </c>
      <c r="B83" s="160">
        <v>0</v>
      </c>
      <c r="C83" s="113" t="str">
        <f>IF(C88&gt;D82,"# of Units Over Available Area","# of Units Within Available Area")</f>
        <v># of Units Within Available Area</v>
      </c>
      <c r="D83" s="112" t="s">
        <v>421</v>
      </c>
      <c r="E83" s="120">
        <v>0.3</v>
      </c>
      <c r="G83" s="104" t="s">
        <v>430</v>
      </c>
      <c r="H83" s="160">
        <v>0</v>
      </c>
      <c r="I83" s="113" t="str">
        <f>IF(I88&gt;J82,"# of Units Over Available Area","# of Units Within Available Area")</f>
        <v># of Units Within Available Area</v>
      </c>
      <c r="J83" s="112" t="s">
        <v>421</v>
      </c>
      <c r="K83" s="120">
        <v>0.3</v>
      </c>
      <c r="M83" s="104" t="s">
        <v>430</v>
      </c>
      <c r="N83" s="160">
        <v>0</v>
      </c>
      <c r="O83" s="113" t="str">
        <f>IF(O88&gt;P82,"# of Units Over Available Area","# of Units Within Available Area")</f>
        <v># of Units Within Available Area</v>
      </c>
      <c r="P83" s="112" t="s">
        <v>421</v>
      </c>
      <c r="Q83" s="120">
        <v>0.3</v>
      </c>
      <c r="S83" s="123"/>
      <c r="T83" s="296"/>
      <c r="U83" s="297"/>
      <c r="V83" s="112"/>
      <c r="W83" s="102"/>
    </row>
    <row r="84" spans="1:24" ht="15" customHeight="1">
      <c r="A84" s="107" t="s">
        <v>431</v>
      </c>
      <c r="B84" s="108" t="s">
        <v>427</v>
      </c>
      <c r="C84" s="109" t="s">
        <v>428</v>
      </c>
      <c r="D84" s="108" t="s">
        <v>432</v>
      </c>
      <c r="E84" s="110" t="s">
        <v>433</v>
      </c>
      <c r="G84" s="107" t="s">
        <v>431</v>
      </c>
      <c r="H84" s="108" t="s">
        <v>427</v>
      </c>
      <c r="I84" s="109" t="s">
        <v>428</v>
      </c>
      <c r="J84" s="108" t="s">
        <v>432</v>
      </c>
      <c r="K84" s="110" t="s">
        <v>433</v>
      </c>
      <c r="M84" s="107" t="s">
        <v>431</v>
      </c>
      <c r="N84" s="108" t="s">
        <v>427</v>
      </c>
      <c r="O84" s="109" t="s">
        <v>428</v>
      </c>
      <c r="P84" s="108" t="s">
        <v>432</v>
      </c>
      <c r="Q84" s="110" t="s">
        <v>433</v>
      </c>
      <c r="S84" s="123"/>
      <c r="T84" s="124"/>
      <c r="U84" s="276"/>
      <c r="V84" s="124"/>
      <c r="W84" s="124"/>
    </row>
    <row r="85" spans="1:24" ht="15" customHeight="1">
      <c r="A85" s="31" t="str">
        <f>Assumptions!$W$23</f>
        <v>Studio</v>
      </c>
      <c r="B85" s="76">
        <f>B$83*INDEX(Assumptions!$Y$23:$Y$25,MATCH(A85,Assumptions!$W$23:$W$25,0))</f>
        <v>0</v>
      </c>
      <c r="C85" s="32">
        <f>Assumptions!$R$42</f>
        <v>500</v>
      </c>
      <c r="D85" s="42">
        <f>Assumptions!$R$43*(1+$E$83)</f>
        <v>3.9000000000000004</v>
      </c>
      <c r="E85" s="43">
        <f>12*B85*C85*D85</f>
        <v>0</v>
      </c>
      <c r="G85" s="31" t="str">
        <f>Assumptions!$W$23</f>
        <v>Studio</v>
      </c>
      <c r="H85" s="76">
        <f>H$83*INDEX(Assumptions!$Y$23:$Y$25,MATCH(G85,Assumptions!$W$23:$W$25,0))</f>
        <v>0</v>
      </c>
      <c r="I85" s="32">
        <f>Assumptions!$R$42</f>
        <v>500</v>
      </c>
      <c r="J85" s="42">
        <f>Assumptions!$R$43*(1+$E$83)</f>
        <v>3.9000000000000004</v>
      </c>
      <c r="K85" s="43">
        <f>12*H85*I85*J85</f>
        <v>0</v>
      </c>
      <c r="M85" s="31" t="str">
        <f>Assumptions!$W$23</f>
        <v>Studio</v>
      </c>
      <c r="N85" s="76">
        <f>N$83*INDEX(Assumptions!$Y$23:$Y$25,MATCH(M85,Assumptions!$W$23:$W$25,0))</f>
        <v>0</v>
      </c>
      <c r="O85" s="32">
        <f>Assumptions!$R$42</f>
        <v>500</v>
      </c>
      <c r="P85" s="42">
        <f>Assumptions!$R$43*(1+$E$83)</f>
        <v>3.9000000000000004</v>
      </c>
      <c r="Q85" s="43">
        <f>12*N85*O85*P85</f>
        <v>0</v>
      </c>
      <c r="S85" s="307"/>
      <c r="T85" s="100"/>
      <c r="U85" s="308"/>
      <c r="V85" s="309"/>
      <c r="W85" s="125"/>
    </row>
    <row r="86" spans="1:24" ht="15" customHeight="1">
      <c r="A86" s="31" t="str">
        <f>Assumptions!$W$24</f>
        <v>1BR</v>
      </c>
      <c r="B86" s="76">
        <f>B$83*INDEX(Assumptions!$Y$23:$Y$25,MATCH(A86,Assumptions!$W$23:$W$25,0))</f>
        <v>0</v>
      </c>
      <c r="C86" s="378">
        <f>Assumptions!$R$45</f>
        <v>700</v>
      </c>
      <c r="D86" s="42">
        <f>Assumptions!$R$46*(1+$E$83)</f>
        <v>3.25</v>
      </c>
      <c r="E86" s="380">
        <f>12*B86*C86*D86</f>
        <v>0</v>
      </c>
      <c r="G86" s="31" t="str">
        <f>Assumptions!$W$24</f>
        <v>1BR</v>
      </c>
      <c r="H86" s="76">
        <f>H$83*INDEX(Assumptions!$Y$23:$Y$25,MATCH(G86,Assumptions!$W$23:$W$25,0))</f>
        <v>0</v>
      </c>
      <c r="I86" s="378">
        <f>Assumptions!$R$45</f>
        <v>700</v>
      </c>
      <c r="J86" s="42">
        <f>Assumptions!$R$46*(1+$E$83)</f>
        <v>3.25</v>
      </c>
      <c r="K86" s="380">
        <f>12*H86*I86*J86</f>
        <v>0</v>
      </c>
      <c r="M86" s="31" t="str">
        <f>Assumptions!$W$24</f>
        <v>1BR</v>
      </c>
      <c r="N86" s="76">
        <f>N$83*INDEX(Assumptions!$Y$23:$Y$25,MATCH(M86,Assumptions!$W$23:$W$25,0))</f>
        <v>0</v>
      </c>
      <c r="O86" s="378">
        <f>Assumptions!$R$45</f>
        <v>700</v>
      </c>
      <c r="P86" s="42">
        <f>Assumptions!$R$46*(1+$E$83)</f>
        <v>3.25</v>
      </c>
      <c r="Q86" s="380">
        <f>12*N86*O86*P86</f>
        <v>0</v>
      </c>
      <c r="S86" s="307"/>
      <c r="T86" s="100"/>
      <c r="U86" s="308"/>
      <c r="V86" s="309"/>
      <c r="W86" s="125"/>
    </row>
    <row r="87" spans="1:24" ht="15" customHeight="1" thickBot="1">
      <c r="A87" s="31" t="str">
        <f>Assumptions!$W$25</f>
        <v>2BR</v>
      </c>
      <c r="B87" s="76">
        <f>B$83*INDEX(Assumptions!$Y$23:$Y$25,MATCH(A87,Assumptions!$W$23:$W$25,0))</f>
        <v>0</v>
      </c>
      <c r="C87" s="32">
        <f>Assumptions!$R$48</f>
        <v>1100</v>
      </c>
      <c r="D87" s="42">
        <f>Assumptions!$R$49*(1+$E$83)</f>
        <v>2.9899999999999998</v>
      </c>
      <c r="E87" s="380">
        <f>12*B87*C87*D87</f>
        <v>0</v>
      </c>
      <c r="G87" s="31" t="str">
        <f>Assumptions!$W$25</f>
        <v>2BR</v>
      </c>
      <c r="H87" s="76">
        <f>H$83*INDEX(Assumptions!$Y$23:$Y$25,MATCH(G87,Assumptions!$W$23:$W$25,0))</f>
        <v>0</v>
      </c>
      <c r="I87" s="32">
        <f>Assumptions!$R$48</f>
        <v>1100</v>
      </c>
      <c r="J87" s="42">
        <f>Assumptions!$R$49*(1+$E$83)</f>
        <v>2.9899999999999998</v>
      </c>
      <c r="K87" s="380">
        <f>12*H87*I87*J87</f>
        <v>0</v>
      </c>
      <c r="M87" s="31" t="str">
        <f>Assumptions!$W$25</f>
        <v>2BR</v>
      </c>
      <c r="N87" s="76">
        <f>N$83*INDEX(Assumptions!$Y$23:$Y$25,MATCH(M87,Assumptions!$W$23:$W$25,0))</f>
        <v>0</v>
      </c>
      <c r="O87" s="32">
        <f>Assumptions!$R$48</f>
        <v>1100</v>
      </c>
      <c r="P87" s="42">
        <f>Assumptions!$R$49*(1+$E$83)</f>
        <v>2.9899999999999998</v>
      </c>
      <c r="Q87" s="380">
        <f>12*N87*O87*P87</f>
        <v>0</v>
      </c>
      <c r="S87" s="307"/>
      <c r="T87" s="100"/>
      <c r="U87" s="308"/>
      <c r="V87" s="309"/>
      <c r="W87" s="125"/>
    </row>
    <row r="88" spans="1:24" ht="15" customHeight="1" thickTop="1" thickBot="1">
      <c r="A88" s="7" t="s">
        <v>425</v>
      </c>
      <c r="B88" s="8">
        <f>SUM(B85:B87)</f>
        <v>0</v>
      </c>
      <c r="C88" s="9">
        <f>SUMPRODUCT(B85:B87,C85:C87)</f>
        <v>0</v>
      </c>
      <c r="D88" s="61"/>
      <c r="E88" s="62">
        <f>SUM(E85:E87)</f>
        <v>0</v>
      </c>
      <c r="G88" s="7" t="s">
        <v>425</v>
      </c>
      <c r="H88" s="8">
        <f>SUM(H85:H87)</f>
        <v>0</v>
      </c>
      <c r="I88" s="9">
        <f>SUMPRODUCT(H85:H87,I85:I87)</f>
        <v>0</v>
      </c>
      <c r="J88" s="61"/>
      <c r="K88" s="62">
        <f>SUM(K85:K87)</f>
        <v>0</v>
      </c>
      <c r="M88" s="7" t="s">
        <v>425</v>
      </c>
      <c r="N88" s="8">
        <f>SUM(N85:N87)</f>
        <v>0</v>
      </c>
      <c r="O88" s="9">
        <f>SUMPRODUCT(N85:N87,O85:O87)</f>
        <v>0</v>
      </c>
      <c r="P88" s="61"/>
      <c r="Q88" s="62">
        <f>SUM(Q85:Q87)</f>
        <v>0</v>
      </c>
      <c r="S88" s="12"/>
      <c r="T88" s="310"/>
      <c r="U88" s="311"/>
      <c r="V88" s="312"/>
      <c r="W88" s="122"/>
    </row>
    <row r="89" spans="1:24" ht="15" customHeight="1" thickTop="1" thickBot="1">
      <c r="A89" s="10" t="s">
        <v>426</v>
      </c>
      <c r="B89" s="60"/>
      <c r="C89" s="11">
        <f>IFERROR(C88/B88,0)</f>
        <v>0</v>
      </c>
      <c r="D89" s="63">
        <f>IFERROR((E88/12)/C88,0)</f>
        <v>0</v>
      </c>
      <c r="E89" s="64"/>
      <c r="G89" s="10" t="s">
        <v>426</v>
      </c>
      <c r="H89" s="60"/>
      <c r="I89" s="11">
        <f>IFERROR(I88/H88,0)</f>
        <v>0</v>
      </c>
      <c r="J89" s="63">
        <f>IFERROR((K88/12)/I88,0)</f>
        <v>0</v>
      </c>
      <c r="K89" s="64"/>
      <c r="M89" s="10" t="s">
        <v>426</v>
      </c>
      <c r="N89" s="60"/>
      <c r="O89" s="11">
        <f>IFERROR(O88/N88,0)</f>
        <v>0</v>
      </c>
      <c r="P89" s="63">
        <f>IFERROR((Q88/12)/O88,0)</f>
        <v>0</v>
      </c>
      <c r="Q89" s="64"/>
      <c r="S89" s="12"/>
      <c r="T89" s="313"/>
      <c r="U89" s="314"/>
      <c r="V89" s="315"/>
      <c r="W89" s="12"/>
    </row>
    <row r="90" spans="1:24" ht="15" customHeight="1">
      <c r="A90" s="104" t="s">
        <v>434</v>
      </c>
      <c r="B90" s="116" t="str">
        <f>B$41</f>
        <v>Retail</v>
      </c>
      <c r="C90" s="114"/>
      <c r="D90" s="115"/>
      <c r="E90" s="121"/>
      <c r="G90" s="104" t="s">
        <v>434</v>
      </c>
      <c r="H90" s="116" t="str">
        <f>H$41</f>
        <v>-</v>
      </c>
      <c r="I90" s="114"/>
      <c r="J90" s="115"/>
      <c r="K90" s="121"/>
      <c r="L90" s="126"/>
      <c r="M90" s="104" t="s">
        <v>434</v>
      </c>
      <c r="N90" s="116" t="str">
        <f>N$41</f>
        <v>-</v>
      </c>
      <c r="O90" s="114"/>
      <c r="P90" s="115"/>
      <c r="Q90" s="121"/>
      <c r="R90" s="126"/>
      <c r="S90" s="123"/>
      <c r="T90" s="299"/>
      <c r="U90" s="300"/>
      <c r="V90" s="316"/>
      <c r="W90" s="126"/>
    </row>
    <row r="91" spans="1:24" ht="15" customHeight="1">
      <c r="A91" s="107" t="s">
        <v>33</v>
      </c>
      <c r="B91" s="108" t="s">
        <v>435</v>
      </c>
      <c r="C91" s="109" t="s">
        <v>436</v>
      </c>
      <c r="D91" s="108" t="s">
        <v>437</v>
      </c>
      <c r="E91" s="110" t="s">
        <v>433</v>
      </c>
      <c r="G91" s="107" t="s">
        <v>33</v>
      </c>
      <c r="H91" s="108" t="s">
        <v>435</v>
      </c>
      <c r="I91" s="109" t="s">
        <v>436</v>
      </c>
      <c r="J91" s="108" t="s">
        <v>437</v>
      </c>
      <c r="K91" s="110" t="s">
        <v>433</v>
      </c>
      <c r="L91" s="124"/>
      <c r="M91" s="107" t="s">
        <v>33</v>
      </c>
      <c r="N91" s="108" t="s">
        <v>435</v>
      </c>
      <c r="O91" s="109" t="s">
        <v>436</v>
      </c>
      <c r="P91" s="108" t="s">
        <v>437</v>
      </c>
      <c r="Q91" s="110" t="s">
        <v>433</v>
      </c>
      <c r="R91" s="124"/>
      <c r="S91" s="123"/>
      <c r="T91" s="124"/>
      <c r="U91" s="276"/>
      <c r="V91" s="124"/>
      <c r="W91" s="124"/>
    </row>
    <row r="92" spans="1:24" ht="15" customHeight="1">
      <c r="A92" s="56" t="s">
        <v>40</v>
      </c>
      <c r="B92" s="41">
        <f>IFERROR(IF(B$90=A92,D$41,0),0)</f>
        <v>28891.790000000005</v>
      </c>
      <c r="C92" s="57">
        <f>IFERROR(B92*INDEX(Assumptions!$Y$30:$Y$31,MATCH(A92,Assumptions!$W$30:$W$31,0)),0)</f>
        <v>24558.021500000003</v>
      </c>
      <c r="D92" s="58">
        <f>IF(C92&gt;0,INDEX(Assumptions!$R$5:$R$6,MATCH(A92,Assumptions!$Q$5:$Q$6,0)),0)</f>
        <v>32</v>
      </c>
      <c r="E92" s="59">
        <f>C92*D92</f>
        <v>785856.68800000008</v>
      </c>
      <c r="G92" s="56" t="s">
        <v>40</v>
      </c>
      <c r="H92" s="41">
        <f>IFERROR(IF(H$90=G92,J$41,0),0)</f>
        <v>0</v>
      </c>
      <c r="I92" s="57">
        <f>IFERROR(H92*INDEX(Assumptions!$Y$30:$Y$31,MATCH(G92,Assumptions!$W$30:$W$31,0)),0)</f>
        <v>0</v>
      </c>
      <c r="J92" s="58">
        <f>IF(I92&gt;0,INDEX(Assumptions!$R$5:$R$6,MATCH(G92,Assumptions!$Q$5:$Q$6,0)),0)</f>
        <v>0</v>
      </c>
      <c r="K92" s="59">
        <f>I92*J92</f>
        <v>0</v>
      </c>
      <c r="L92" s="127"/>
      <c r="M92" s="56" t="s">
        <v>40</v>
      </c>
      <c r="N92" s="41">
        <f>IFERROR(IF(N$90=M92,P$41,0),0)</f>
        <v>0</v>
      </c>
      <c r="O92" s="57">
        <f>IFERROR(N92*INDEX(Assumptions!$Y$30:$Y$31,MATCH(M92,Assumptions!$W$30:$W$31,0)),0)</f>
        <v>0</v>
      </c>
      <c r="P92" s="58">
        <f>IF(O92&gt;0,INDEX(Assumptions!$R$5:$R$6,MATCH(M92,Assumptions!$Q$5:$Q$6,0)),0)</f>
        <v>0</v>
      </c>
      <c r="Q92" s="59">
        <f>O92*P92</f>
        <v>0</v>
      </c>
      <c r="R92" s="127"/>
      <c r="S92" s="317"/>
      <c r="T92" s="100"/>
      <c r="U92" s="318"/>
      <c r="V92" s="319"/>
      <c r="W92" s="127"/>
    </row>
    <row r="93" spans="1:24" ht="15" customHeight="1" thickBot="1">
      <c r="A93" s="1006" t="s">
        <v>425</v>
      </c>
      <c r="B93" s="40">
        <f>SUM(B92:B92)</f>
        <v>28891.790000000005</v>
      </c>
      <c r="C93" s="40">
        <f>SUM(C92:C92)</f>
        <v>24558.021500000003</v>
      </c>
      <c r="D93" s="38">
        <f>IF(B93=0,0,E93/B93)</f>
        <v>27.2</v>
      </c>
      <c r="E93" s="39">
        <f>SUM(E92:E92)</f>
        <v>785856.68800000008</v>
      </c>
      <c r="G93" s="1006" t="s">
        <v>425</v>
      </c>
      <c r="H93" s="40">
        <f>SUM(H92:H92)</f>
        <v>0</v>
      </c>
      <c r="I93" s="40">
        <f>SUM(I92:I92)</f>
        <v>0</v>
      </c>
      <c r="J93" s="38">
        <f>IF(H93=0,0,K93/H93)</f>
        <v>0</v>
      </c>
      <c r="K93" s="39">
        <f>SUM(K92:K92)</f>
        <v>0</v>
      </c>
      <c r="L93" s="127"/>
      <c r="M93" s="1006" t="s">
        <v>425</v>
      </c>
      <c r="N93" s="40">
        <f>SUM(N92:N92)</f>
        <v>0</v>
      </c>
      <c r="O93" s="40">
        <f>SUM(O92:O92)</f>
        <v>0</v>
      </c>
      <c r="P93" s="38">
        <f>IF(N93=0,0,Q93/N93)</f>
        <v>0</v>
      </c>
      <c r="Q93" s="39">
        <f>SUM(Q92:Q92)</f>
        <v>0</v>
      </c>
      <c r="R93" s="127"/>
      <c r="S93" s="12"/>
      <c r="T93" s="320"/>
      <c r="U93" s="320"/>
      <c r="V93" s="319"/>
      <c r="W93" s="127"/>
    </row>
    <row r="94" spans="1:24" ht="15" customHeight="1">
      <c r="A94" s="104" t="s">
        <v>438</v>
      </c>
      <c r="B94" s="116" t="str">
        <f>B$42</f>
        <v>-</v>
      </c>
      <c r="C94" s="114"/>
      <c r="D94" s="115"/>
      <c r="E94" s="121"/>
      <c r="G94" s="104" t="s">
        <v>438</v>
      </c>
      <c r="H94" s="116" t="str">
        <f>H$42</f>
        <v>-</v>
      </c>
      <c r="I94" s="114"/>
      <c r="J94" s="115"/>
      <c r="K94" s="121"/>
      <c r="L94" s="126"/>
      <c r="M94" s="104" t="s">
        <v>438</v>
      </c>
      <c r="N94" s="116" t="str">
        <f>N$42</f>
        <v>-</v>
      </c>
      <c r="O94" s="114"/>
      <c r="P94" s="115"/>
      <c r="Q94" s="121"/>
      <c r="R94" s="126"/>
      <c r="S94" s="123"/>
      <c r="T94" s="299"/>
      <c r="U94" s="300"/>
      <c r="V94" s="316"/>
      <c r="W94" s="126"/>
    </row>
    <row r="95" spans="1:24" ht="15" customHeight="1">
      <c r="A95" s="107" t="s">
        <v>33</v>
      </c>
      <c r="B95" s="108" t="s">
        <v>435</v>
      </c>
      <c r="C95" s="109" t="s">
        <v>436</v>
      </c>
      <c r="D95" s="108" t="s">
        <v>437</v>
      </c>
      <c r="E95" s="110" t="s">
        <v>433</v>
      </c>
      <c r="G95" s="107" t="s">
        <v>33</v>
      </c>
      <c r="H95" s="108" t="s">
        <v>435</v>
      </c>
      <c r="I95" s="109" t="s">
        <v>436</v>
      </c>
      <c r="J95" s="108" t="s">
        <v>437</v>
      </c>
      <c r="K95" s="110" t="s">
        <v>433</v>
      </c>
      <c r="L95" s="124"/>
      <c r="M95" s="107" t="s">
        <v>33</v>
      </c>
      <c r="N95" s="108" t="s">
        <v>435</v>
      </c>
      <c r="O95" s="109" t="s">
        <v>436</v>
      </c>
      <c r="P95" s="108" t="s">
        <v>437</v>
      </c>
      <c r="Q95" s="110" t="s">
        <v>433</v>
      </c>
      <c r="R95" s="124"/>
      <c r="S95" s="123"/>
      <c r="T95" s="124"/>
      <c r="U95" s="276"/>
      <c r="V95" s="124"/>
      <c r="W95" s="124"/>
    </row>
    <row r="96" spans="1:24" ht="15" customHeight="1" thickBot="1">
      <c r="A96" s="381" t="s">
        <v>44</v>
      </c>
      <c r="B96" s="382">
        <f>IFERROR(IF(B$94=A96,D$42,0),0)</f>
        <v>0</v>
      </c>
      <c r="C96" s="383">
        <f>IFERROR(B96*INDEX(Assumptions!$Y$30:$Y$31,MATCH(A96,Assumptions!$W$30:$W$31,0)),0)</f>
        <v>0</v>
      </c>
      <c r="D96" s="384">
        <f>IF(C96&gt;0,INDEX(Assumptions!$R$5:$R$6,MATCH(A96,Assumptions!$Q$5:$Q$6,0)),0)</f>
        <v>0</v>
      </c>
      <c r="E96" s="59">
        <f>C96*D96</f>
        <v>0</v>
      </c>
      <c r="G96" s="381" t="s">
        <v>44</v>
      </c>
      <c r="H96" s="382">
        <f>IFERROR(IF(H$94=G96,J$42,0),0)</f>
        <v>0</v>
      </c>
      <c r="I96" s="383">
        <f>IFERROR(H96*INDEX(Assumptions!$Y$30:$Y$31,MATCH(G96,Assumptions!$W$30:$W$31,0)),0)</f>
        <v>0</v>
      </c>
      <c r="J96" s="384">
        <f>IF(I96&gt;0,INDEX(Assumptions!$R$5:$R$6,MATCH(G96,Assumptions!$Q$5:$Q$6,0)),0)</f>
        <v>0</v>
      </c>
      <c r="K96" s="59">
        <f>I96*J96</f>
        <v>0</v>
      </c>
      <c r="L96" s="127"/>
      <c r="M96" s="381" t="s">
        <v>44</v>
      </c>
      <c r="N96" s="382">
        <f>IFERROR(IF(N$94=M96,P$42,0),0)</f>
        <v>0</v>
      </c>
      <c r="O96" s="383">
        <f>IFERROR(N96*INDEX(Assumptions!$Y$30:$Y$31,MATCH(M96,Assumptions!$W$30:$W$31,0)),0)</f>
        <v>0</v>
      </c>
      <c r="P96" s="384">
        <f>IF(O96&gt;0,INDEX(Assumptions!$R$5:$R$6,MATCH(M96,Assumptions!$Q$5:$Q$6,0)),0)</f>
        <v>0</v>
      </c>
      <c r="Q96" s="59">
        <f>O96*P96</f>
        <v>0</v>
      </c>
      <c r="R96" s="127"/>
      <c r="S96" s="317"/>
      <c r="T96" s="100"/>
      <c r="U96" s="318"/>
      <c r="V96" s="319"/>
      <c r="W96" s="127"/>
    </row>
    <row r="97" spans="1:23" ht="15" customHeight="1" thickTop="1" thickBot="1">
      <c r="A97" s="1006" t="s">
        <v>425</v>
      </c>
      <c r="B97" s="40">
        <f>SUM(B96:B96)</f>
        <v>0</v>
      </c>
      <c r="C97" s="40">
        <f>SUM(C96:C96)</f>
        <v>0</v>
      </c>
      <c r="D97" s="38">
        <f>IF(B97=0,0,E97/B97)</f>
        <v>0</v>
      </c>
      <c r="E97" s="39">
        <f>SUM(E96:E96)</f>
        <v>0</v>
      </c>
      <c r="G97" s="1006" t="s">
        <v>425</v>
      </c>
      <c r="H97" s="40">
        <f>SUM(H96:H96)</f>
        <v>0</v>
      </c>
      <c r="I97" s="40">
        <f>SUM(I96:I96)</f>
        <v>0</v>
      </c>
      <c r="J97" s="38">
        <f>IF(H97=0,0,K97/H97)</f>
        <v>0</v>
      </c>
      <c r="K97" s="39">
        <f>SUM(K96:K96)</f>
        <v>0</v>
      </c>
      <c r="L97" s="127"/>
      <c r="M97" s="1006" t="s">
        <v>425</v>
      </c>
      <c r="N97" s="40">
        <f>SUM(N96:N96)</f>
        <v>0</v>
      </c>
      <c r="O97" s="40">
        <f>SUM(O96:O96)</f>
        <v>0</v>
      </c>
      <c r="P97" s="38">
        <f>IF(N97=0,0,Q97/N97)</f>
        <v>0</v>
      </c>
      <c r="Q97" s="39">
        <f>SUM(Q96:Q96)</f>
        <v>0</v>
      </c>
      <c r="R97" s="127"/>
      <c r="S97" s="12"/>
      <c r="T97" s="320"/>
      <c r="U97" s="320"/>
      <c r="V97" s="319"/>
      <c r="W97" s="127"/>
    </row>
    <row r="98" spans="1:23" ht="15" customHeight="1">
      <c r="A98" s="104" t="s">
        <v>439</v>
      </c>
      <c r="B98" s="116" t="str">
        <f>B$43</f>
        <v>-</v>
      </c>
      <c r="C98" s="114"/>
      <c r="D98" s="115"/>
      <c r="E98" s="121"/>
      <c r="G98" s="104" t="s">
        <v>439</v>
      </c>
      <c r="H98" s="116" t="str">
        <f>H$43</f>
        <v>-</v>
      </c>
      <c r="I98" s="114"/>
      <c r="J98" s="115"/>
      <c r="K98" s="121"/>
      <c r="L98" s="126"/>
      <c r="M98" s="104" t="s">
        <v>439</v>
      </c>
      <c r="N98" s="116" t="str">
        <f>N$43</f>
        <v>-</v>
      </c>
      <c r="O98" s="114"/>
      <c r="P98" s="115"/>
      <c r="Q98" s="121"/>
      <c r="R98" s="126"/>
      <c r="S98" s="123"/>
      <c r="T98" s="299"/>
      <c r="U98" s="300"/>
      <c r="V98" s="316"/>
      <c r="W98" s="126"/>
    </row>
    <row r="99" spans="1:23" ht="15" customHeight="1">
      <c r="A99" s="107" t="s">
        <v>33</v>
      </c>
      <c r="B99" s="108" t="s">
        <v>435</v>
      </c>
      <c r="C99" s="109"/>
      <c r="D99" s="108" t="s">
        <v>74</v>
      </c>
      <c r="E99" s="110" t="s">
        <v>429</v>
      </c>
      <c r="G99" s="107" t="s">
        <v>33</v>
      </c>
      <c r="H99" s="108" t="s">
        <v>435</v>
      </c>
      <c r="I99" s="109"/>
      <c r="J99" s="108" t="s">
        <v>74</v>
      </c>
      <c r="K99" s="110" t="s">
        <v>429</v>
      </c>
      <c r="L99" s="124"/>
      <c r="M99" s="107" t="s">
        <v>33</v>
      </c>
      <c r="N99" s="108" t="s">
        <v>435</v>
      </c>
      <c r="O99" s="109"/>
      <c r="P99" s="108" t="s">
        <v>74</v>
      </c>
      <c r="Q99" s="110" t="s">
        <v>429</v>
      </c>
      <c r="R99" s="124"/>
      <c r="S99" s="123"/>
      <c r="T99" s="124"/>
      <c r="U99" s="276"/>
      <c r="V99" s="124"/>
      <c r="W99" s="124"/>
    </row>
    <row r="100" spans="1:23" ht="15" customHeight="1" thickBot="1">
      <c r="A100" s="381" t="s">
        <v>51</v>
      </c>
      <c r="B100" s="386">
        <f>IFERROR(IF(B$98=A100,D$43,0),0)</f>
        <v>0</v>
      </c>
      <c r="C100" s="383"/>
      <c r="D100" s="384">
        <f>Assumptions!$S$8</f>
        <v>500</v>
      </c>
      <c r="E100" s="385">
        <f>B100*D100</f>
        <v>0</v>
      </c>
      <c r="G100" s="381" t="s">
        <v>51</v>
      </c>
      <c r="H100" s="386">
        <f>IFERROR(IF(H$98=G100,J$43,0),0)</f>
        <v>0</v>
      </c>
      <c r="I100" s="383"/>
      <c r="J100" s="384">
        <f>Assumptions!$S$8</f>
        <v>500</v>
      </c>
      <c r="K100" s="385">
        <f>H100*J100</f>
        <v>0</v>
      </c>
      <c r="L100" s="127"/>
      <c r="M100" s="381" t="s">
        <v>51</v>
      </c>
      <c r="N100" s="386">
        <f>IFERROR(IF(N$98=M100,P$43,0),0)</f>
        <v>0</v>
      </c>
      <c r="O100" s="383"/>
      <c r="P100" s="384">
        <f>Assumptions!$S$8</f>
        <v>500</v>
      </c>
      <c r="Q100" s="385">
        <f>N100*P100</f>
        <v>0</v>
      </c>
      <c r="R100" s="127"/>
      <c r="S100" s="317"/>
      <c r="T100" s="100"/>
      <c r="U100" s="318"/>
      <c r="V100" s="319"/>
      <c r="W100" s="127"/>
    </row>
    <row r="101" spans="1:23" ht="15" customHeight="1" thickTop="1" thickBot="1">
      <c r="A101" s="1006" t="s">
        <v>425</v>
      </c>
      <c r="B101" s="40">
        <f>SUM(B100:B100)</f>
        <v>0</v>
      </c>
      <c r="C101" s="40"/>
      <c r="D101" s="38">
        <f>IF(B101=0,0,E101/B101)</f>
        <v>0</v>
      </c>
      <c r="E101" s="39">
        <f>SUM(E100:E100)</f>
        <v>0</v>
      </c>
      <c r="G101" s="1006" t="s">
        <v>425</v>
      </c>
      <c r="H101" s="40">
        <f>SUM(H100:H100)</f>
        <v>0</v>
      </c>
      <c r="I101" s="40"/>
      <c r="J101" s="38">
        <f>IF(H101=0,0,K101/H101)</f>
        <v>0</v>
      </c>
      <c r="K101" s="39">
        <f>SUM(K100:K100)</f>
        <v>0</v>
      </c>
      <c r="L101" s="127"/>
      <c r="M101" s="1006" t="s">
        <v>425</v>
      </c>
      <c r="N101" s="40">
        <f>SUM(N100:N100)</f>
        <v>0</v>
      </c>
      <c r="O101" s="40"/>
      <c r="P101" s="38">
        <f>IF(N101=0,0,Q101/N101)</f>
        <v>0</v>
      </c>
      <c r="Q101" s="39">
        <f>SUM(Q100:Q100)</f>
        <v>0</v>
      </c>
      <c r="R101" s="127"/>
      <c r="S101" s="12"/>
      <c r="T101" s="320"/>
      <c r="U101" s="320"/>
      <c r="V101" s="319"/>
      <c r="W101" s="127"/>
    </row>
    <row r="102" spans="1:23" ht="15" customHeight="1">
      <c r="A102" s="104" t="s">
        <v>440</v>
      </c>
      <c r="B102" s="116" t="str">
        <f>B$44</f>
        <v>-</v>
      </c>
      <c r="C102" s="114"/>
      <c r="D102" s="115"/>
      <c r="E102" s="121"/>
      <c r="G102" s="104" t="s">
        <v>440</v>
      </c>
      <c r="H102" s="116" t="str">
        <f>H$44</f>
        <v>-</v>
      </c>
      <c r="I102" s="114"/>
      <c r="J102" s="115"/>
      <c r="K102" s="121"/>
      <c r="L102" s="127"/>
      <c r="M102" s="104" t="s">
        <v>440</v>
      </c>
      <c r="N102" s="116" t="str">
        <f>N$44</f>
        <v>-</v>
      </c>
      <c r="O102" s="114"/>
      <c r="P102" s="115"/>
      <c r="Q102" s="121"/>
      <c r="R102" s="127"/>
      <c r="S102" s="123"/>
      <c r="T102" s="299"/>
      <c r="U102" s="300"/>
      <c r="V102" s="316"/>
      <c r="W102" s="126"/>
    </row>
    <row r="103" spans="1:23" ht="15" customHeight="1">
      <c r="A103" s="107" t="s">
        <v>33</v>
      </c>
      <c r="B103" s="108" t="s">
        <v>435</v>
      </c>
      <c r="C103" s="109" t="s">
        <v>441</v>
      </c>
      <c r="D103" s="108" t="s">
        <v>437</v>
      </c>
      <c r="E103" s="110" t="s">
        <v>433</v>
      </c>
      <c r="G103" s="107" t="s">
        <v>33</v>
      </c>
      <c r="H103" s="108" t="s">
        <v>435</v>
      </c>
      <c r="I103" s="109" t="s">
        <v>441</v>
      </c>
      <c r="J103" s="108" t="s">
        <v>437</v>
      </c>
      <c r="K103" s="110" t="s">
        <v>433</v>
      </c>
      <c r="L103" s="127"/>
      <c r="M103" s="107" t="s">
        <v>33</v>
      </c>
      <c r="N103" s="108" t="s">
        <v>435</v>
      </c>
      <c r="O103" s="109" t="s">
        <v>441</v>
      </c>
      <c r="P103" s="108" t="s">
        <v>437</v>
      </c>
      <c r="Q103" s="110" t="s">
        <v>433</v>
      </c>
      <c r="R103" s="127"/>
      <c r="S103" s="123"/>
      <c r="T103" s="124"/>
      <c r="U103" s="276"/>
      <c r="V103" s="124"/>
      <c r="W103" s="124"/>
    </row>
    <row r="104" spans="1:23" ht="15" customHeight="1" thickBot="1">
      <c r="A104" s="381" t="s">
        <v>48</v>
      </c>
      <c r="B104" s="386">
        <f>IFERROR(IF(B$102=A104,D$44,0),0)</f>
        <v>0</v>
      </c>
      <c r="C104" s="383">
        <f>IFERROR(B104*INDEX(Assumptions!$Y$32:$Y$32,MATCH(A104,Assumptions!$W$32:$W$32,0)),0)</f>
        <v>0</v>
      </c>
      <c r="D104" s="384">
        <f>IF(C104&gt;0,INDEX(Assumptions!$R$7:$R$7,MATCH(A104,Assumptions!$Q$7:$Q$7,0)),0)</f>
        <v>0</v>
      </c>
      <c r="E104" s="59">
        <f>C104*D104</f>
        <v>0</v>
      </c>
      <c r="G104" s="381" t="s">
        <v>48</v>
      </c>
      <c r="H104" s="386">
        <f>IFERROR(IF(H$102=G104,J$44,0),0)</f>
        <v>0</v>
      </c>
      <c r="I104" s="383">
        <f>IFERROR(H104*INDEX(Assumptions!$Y$32:$Y$32,MATCH(G104,Assumptions!$W$32:$W$32,0)),0)</f>
        <v>0</v>
      </c>
      <c r="J104" s="384">
        <f>IF(I104&gt;0,INDEX(Assumptions!$R$7:$R$7,MATCH(G104,Assumptions!$Q$7:$Q$7,0)),0)</f>
        <v>0</v>
      </c>
      <c r="K104" s="59">
        <f>I104*J104</f>
        <v>0</v>
      </c>
      <c r="L104" s="127"/>
      <c r="M104" s="381" t="s">
        <v>48</v>
      </c>
      <c r="N104" s="386">
        <f>IFERROR(IF(N$102=M104,P$44,0),0)</f>
        <v>0</v>
      </c>
      <c r="O104" s="383">
        <f>IFERROR(N104*INDEX(Assumptions!$Y$32:$Y$32,MATCH(M104,Assumptions!$W$32:$W$32,0)),0)</f>
        <v>0</v>
      </c>
      <c r="P104" s="384">
        <f>IF(O104&gt;0,INDEX(Assumptions!$R$7:$R$7,MATCH(M104,Assumptions!$Q$7:$Q$7,0)),0)</f>
        <v>0</v>
      </c>
      <c r="Q104" s="59">
        <f>O104*P104</f>
        <v>0</v>
      </c>
      <c r="R104" s="127"/>
      <c r="S104" s="317"/>
      <c r="T104" s="100"/>
      <c r="U104" s="318"/>
      <c r="V104" s="319"/>
      <c r="W104" s="127"/>
    </row>
    <row r="105" spans="1:23" ht="15" customHeight="1" thickTop="1" thickBot="1">
      <c r="A105" s="1006" t="s">
        <v>425</v>
      </c>
      <c r="B105" s="40">
        <f>SUM(B104)</f>
        <v>0</v>
      </c>
      <c r="C105" s="40">
        <f>SUM(C104)</f>
        <v>0</v>
      </c>
      <c r="D105" s="38">
        <f>IF(B105=0,0,E105/B105)</f>
        <v>0</v>
      </c>
      <c r="E105" s="39">
        <f>SUM(E104)</f>
        <v>0</v>
      </c>
      <c r="G105" s="1006" t="s">
        <v>425</v>
      </c>
      <c r="H105" s="40">
        <f>SUM(H104)</f>
        <v>0</v>
      </c>
      <c r="I105" s="40">
        <f>SUM(I104)</f>
        <v>0</v>
      </c>
      <c r="J105" s="38">
        <f>IF(H105=0,0,K105/H105)</f>
        <v>0</v>
      </c>
      <c r="K105" s="39">
        <f>SUM(K104)</f>
        <v>0</v>
      </c>
      <c r="L105" s="127"/>
      <c r="M105" s="1006" t="s">
        <v>425</v>
      </c>
      <c r="N105" s="40">
        <f>SUM(N104)</f>
        <v>0</v>
      </c>
      <c r="O105" s="40">
        <f>SUM(O104)</f>
        <v>0</v>
      </c>
      <c r="P105" s="38">
        <f>IF(N105=0,0,Q105/N105)</f>
        <v>0</v>
      </c>
      <c r="Q105" s="39">
        <f>SUM(Q104)</f>
        <v>0</v>
      </c>
      <c r="R105" s="127"/>
      <c r="S105" s="12"/>
      <c r="T105" s="320"/>
      <c r="U105" s="320"/>
      <c r="V105" s="319"/>
      <c r="W105" s="127"/>
    </row>
    <row r="106" spans="1:23" ht="15" customHeight="1">
      <c r="A106" s="1007" t="s">
        <v>418</v>
      </c>
      <c r="B106" s="1008" t="s">
        <v>435</v>
      </c>
      <c r="C106" s="1009" t="s">
        <v>442</v>
      </c>
      <c r="D106" s="1009" t="s">
        <v>443</v>
      </c>
      <c r="E106" s="1010" t="s">
        <v>433</v>
      </c>
      <c r="G106" s="1007" t="s">
        <v>418</v>
      </c>
      <c r="H106" s="1008" t="s">
        <v>435</v>
      </c>
      <c r="I106" s="1009" t="s">
        <v>442</v>
      </c>
      <c r="J106" s="1009" t="s">
        <v>443</v>
      </c>
      <c r="K106" s="1010" t="s">
        <v>433</v>
      </c>
      <c r="M106" s="1007" t="s">
        <v>418</v>
      </c>
      <c r="N106" s="1008" t="s">
        <v>435</v>
      </c>
      <c r="O106" s="1009" t="s">
        <v>442</v>
      </c>
      <c r="P106" s="1009" t="s">
        <v>443</v>
      </c>
      <c r="Q106" s="1010" t="s">
        <v>433</v>
      </c>
      <c r="S106" s="123"/>
      <c r="T106" s="124"/>
      <c r="U106" s="276"/>
      <c r="V106" s="276"/>
      <c r="W106" s="124"/>
    </row>
    <row r="107" spans="1:23" ht="15" customHeight="1" thickBot="1">
      <c r="A107" s="387"/>
      <c r="B107" s="388">
        <f>D45</f>
        <v>39156.21</v>
      </c>
      <c r="C107" s="389">
        <f>IF(B107=0,0,IFERROR((B107/Assumptions!$Y$35)-1,0))</f>
        <v>129.52070000000001</v>
      </c>
      <c r="D107" s="390"/>
      <c r="E107" s="385"/>
      <c r="G107" s="387"/>
      <c r="H107" s="388">
        <f>J45</f>
        <v>0</v>
      </c>
      <c r="I107" s="389">
        <f>IF(H107=0,0,IFERROR((H107/Assumptions!$Y$35)-1,0))</f>
        <v>0</v>
      </c>
      <c r="J107" s="390"/>
      <c r="K107" s="385"/>
      <c r="M107" s="387"/>
      <c r="N107" s="388">
        <f>P45</f>
        <v>0</v>
      </c>
      <c r="O107" s="389">
        <f>IF(N107=0,0,IFERROR((N107/Assumptions!$Y$35)-1,0))</f>
        <v>0</v>
      </c>
      <c r="P107" s="390"/>
      <c r="Q107" s="385"/>
      <c r="T107" s="83"/>
      <c r="U107" s="168"/>
      <c r="W107" s="127"/>
    </row>
    <row r="108" spans="1:23" ht="15" customHeight="1" thickTop="1">
      <c r="A108" s="163" t="s">
        <v>61</v>
      </c>
      <c r="B108" s="128">
        <f>IF(B34="Parking Lot",B107*50%,B$107*B46)</f>
        <v>35240.589</v>
      </c>
      <c r="C108" s="259">
        <f>IF(B108=0,0,IFERROR((B108/Assumptions!$Y$35)-1,0))</f>
        <v>116.46863</v>
      </c>
      <c r="D108" s="36">
        <f>Assumptions!$Y36</f>
        <v>300</v>
      </c>
      <c r="E108" s="59">
        <f>IF(OR(D$37&gt;0,D$39&gt;0,D$40&gt;0,D$43&gt;0),0,IF(B$58&gt;0,0,IF(C108&lt;0,0,C108*D108*12)))</f>
        <v>0</v>
      </c>
      <c r="G108" s="163" t="s">
        <v>61</v>
      </c>
      <c r="H108" s="128">
        <f>IF(H34="Parking Lot",H107*50%,H$107*H46)</f>
        <v>0</v>
      </c>
      <c r="I108" s="259">
        <f>IF(H108=0,0,IFERROR((H108/Assumptions!$Y$35)-1,0))</f>
        <v>0</v>
      </c>
      <c r="J108" s="36">
        <f>Assumptions!$Y36</f>
        <v>300</v>
      </c>
      <c r="K108" s="59">
        <f>IF(OR(J$37&gt;0,J$39&gt;0,J$40&gt;0,J$43&gt;0),0,IF(H$58&gt;0,0,IF(I108&lt;0,0,I108*J108*12)))</f>
        <v>0</v>
      </c>
      <c r="M108" s="163" t="s">
        <v>61</v>
      </c>
      <c r="N108" s="128">
        <f>IF(N34="Parking Lot",N107*50%,N$107*N46)</f>
        <v>0</v>
      </c>
      <c r="O108" s="259">
        <f>IF(N108=0,0,IFERROR((N108/Assumptions!$Y$35)-1,0))</f>
        <v>0</v>
      </c>
      <c r="P108" s="36">
        <f>Assumptions!$Y36</f>
        <v>300</v>
      </c>
      <c r="Q108" s="59">
        <f>IF(OR(P$37&gt;0,P$39&gt;0,P$40&gt;0,P$43&gt;0),0,IF(N$58&gt;0,0,IF(O108&lt;0,0,O108*P108*12)))</f>
        <v>0</v>
      </c>
      <c r="S108" s="321"/>
      <c r="T108" s="83"/>
      <c r="U108" s="168"/>
      <c r="V108" s="286"/>
      <c r="W108" s="127"/>
    </row>
    <row r="109" spans="1:23" ht="15" customHeight="1">
      <c r="A109" s="391" t="s">
        <v>239</v>
      </c>
      <c r="B109" s="392">
        <f>B107-B108-B110</f>
        <v>3915.6209999999992</v>
      </c>
      <c r="C109" s="393">
        <f>IF(B109=0,0,IFERROR((B109/Assumptions!$Y$35)-1,0))</f>
        <v>12.052069999999997</v>
      </c>
      <c r="D109" s="394">
        <f>Assumptions!$Y37</f>
        <v>250</v>
      </c>
      <c r="E109" s="59">
        <f>IF(OR(D$37&gt;0,D$39&gt;0,D$40&gt;0,D$43&gt;0),0,IF(B$58&gt;0,0,IF(C109&lt;0,0,C109*D109*12)))</f>
        <v>0</v>
      </c>
      <c r="G109" s="391" t="s">
        <v>239</v>
      </c>
      <c r="H109" s="392">
        <f>H107-H108-H110</f>
        <v>0</v>
      </c>
      <c r="I109" s="393">
        <f>IF(H109=0,0,IFERROR((H109/Assumptions!$Y$35)-1,0))</f>
        <v>0</v>
      </c>
      <c r="J109" s="394">
        <f>Assumptions!$Y37</f>
        <v>250</v>
      </c>
      <c r="K109" s="59">
        <f>IF(OR(J$37&gt;0,J$39&gt;0,J$40&gt;0,J$43&gt;0),0,IF(H$58&gt;0,0,IF(I109&lt;0,0,I109*J109*12)))</f>
        <v>0</v>
      </c>
      <c r="M109" s="391" t="s">
        <v>239</v>
      </c>
      <c r="N109" s="392">
        <f>N107-N108-N110</f>
        <v>0</v>
      </c>
      <c r="O109" s="393">
        <f>IF(N109=0,0,IFERROR((N109/Assumptions!$Y$35)-1,0))</f>
        <v>0</v>
      </c>
      <c r="P109" s="394">
        <f>Assumptions!$Y37</f>
        <v>250</v>
      </c>
      <c r="Q109" s="59">
        <f>IF(OR(P$37&gt;0,P$39&gt;0,P$40&gt;0,P$43&gt;0),0,IF(N$58&gt;0,0,IF(O109&lt;0,0,O109*P109*12)))</f>
        <v>0</v>
      </c>
      <c r="S109" s="203"/>
      <c r="T109" s="83"/>
      <c r="U109" s="168"/>
      <c r="V109" s="286"/>
      <c r="W109" s="127"/>
    </row>
    <row r="110" spans="1:23" ht="15" customHeight="1" thickBot="1">
      <c r="A110" s="395" t="s">
        <v>122</v>
      </c>
      <c r="B110" s="396">
        <v>0</v>
      </c>
      <c r="C110" s="397">
        <f>IF(B110=0,0,IFERROR((B110/Assumptions!$Y$35)-1,0))</f>
        <v>0</v>
      </c>
      <c r="D110" s="398">
        <f>Assumptions!$Y38</f>
        <v>50</v>
      </c>
      <c r="E110" s="39">
        <f>IF(OR(D$37&gt;0,D$39&gt;0,D$40&gt;0,D$43&gt;0),0,IF(B$58&gt;0,0,IF(C110&lt;0,0,C110*D110*12)))</f>
        <v>0</v>
      </c>
      <c r="G110" s="395" t="s">
        <v>122</v>
      </c>
      <c r="H110" s="396">
        <v>0</v>
      </c>
      <c r="I110" s="397">
        <f>IF(H110=0,0,IFERROR((H110/Assumptions!$Y$35)-1,0))</f>
        <v>0</v>
      </c>
      <c r="J110" s="398">
        <f>Assumptions!$Y38</f>
        <v>50</v>
      </c>
      <c r="K110" s="39">
        <f>IF(OR(J$37&gt;0,J$39&gt;0,J$40&gt;0,J$43&gt;0),0,IF(H$58&gt;0,0,IF(I110&lt;0,0,I110*J110*12)))</f>
        <v>0</v>
      </c>
      <c r="M110" s="395" t="s">
        <v>122</v>
      </c>
      <c r="N110" s="396">
        <v>0</v>
      </c>
      <c r="O110" s="397">
        <f>IF(N110=0,0,IFERROR((N110/Assumptions!$Y$35)-1,0))</f>
        <v>0</v>
      </c>
      <c r="P110" s="398">
        <f>Assumptions!$Y38</f>
        <v>50</v>
      </c>
      <c r="Q110" s="39">
        <f>IF(OR(P$37&gt;0,P$39&gt;0,P$40&gt;0,P$43&gt;0),0,IF(N$58&gt;0,0,IF(O110&lt;0,0,O110*P110*12)))</f>
        <v>0</v>
      </c>
      <c r="S110" s="203"/>
      <c r="T110" s="322"/>
      <c r="U110" s="168"/>
      <c r="V110" s="286"/>
      <c r="W110" s="127"/>
    </row>
    <row r="111" spans="1:23" ht="15" customHeight="1" thickBot="1">
      <c r="A111" s="203"/>
      <c r="B111" s="83"/>
      <c r="C111" s="204"/>
      <c r="D111" s="202"/>
      <c r="E111" s="127"/>
      <c r="G111" s="203"/>
      <c r="H111" s="83"/>
      <c r="I111" s="204"/>
      <c r="J111" s="202"/>
      <c r="K111" s="127"/>
      <c r="M111" s="203"/>
      <c r="N111" s="83"/>
      <c r="O111" s="204"/>
      <c r="P111" s="202"/>
      <c r="Q111" s="127"/>
      <c r="S111" s="203"/>
      <c r="T111" s="83"/>
      <c r="U111" s="301"/>
      <c r="V111" s="286"/>
      <c r="W111" s="127"/>
    </row>
    <row r="112" spans="1:23" ht="15" customHeight="1" thickBot="1">
      <c r="A112" s="1011" t="s">
        <v>444</v>
      </c>
      <c r="B112" s="80"/>
      <c r="C112" s="77" t="str">
        <f>B34</f>
        <v>Condo + Retail 1</v>
      </c>
      <c r="D112" s="77"/>
      <c r="E112" s="1012"/>
      <c r="F112" s="12"/>
      <c r="G112" s="1011" t="s">
        <v>444</v>
      </c>
      <c r="H112" s="80"/>
      <c r="I112" s="77">
        <f>H34</f>
        <v>0</v>
      </c>
      <c r="J112" s="77"/>
      <c r="K112" s="1012"/>
      <c r="L112" s="12"/>
      <c r="M112" s="1011" t="s">
        <v>444</v>
      </c>
      <c r="N112" s="80"/>
      <c r="O112" s="77">
        <f>N34</f>
        <v>0</v>
      </c>
      <c r="P112" s="77"/>
      <c r="Q112" s="1012"/>
      <c r="R112" s="12"/>
      <c r="S112" s="274"/>
      <c r="T112" s="274"/>
      <c r="U112" s="129"/>
      <c r="V112" s="129"/>
      <c r="W112" s="274"/>
    </row>
    <row r="113" spans="1:23" ht="13.5" thickBot="1">
      <c r="A113" s="1013" t="s">
        <v>445</v>
      </c>
      <c r="B113" s="78" t="s">
        <v>446</v>
      </c>
      <c r="C113" s="78" t="s">
        <v>447</v>
      </c>
      <c r="D113" s="78" t="s">
        <v>448</v>
      </c>
      <c r="E113" s="1014" t="s">
        <v>449</v>
      </c>
      <c r="F113" s="12"/>
      <c r="G113" s="1013" t="s">
        <v>445</v>
      </c>
      <c r="H113" s="78" t="s">
        <v>446</v>
      </c>
      <c r="I113" s="78" t="s">
        <v>447</v>
      </c>
      <c r="J113" s="78" t="s">
        <v>448</v>
      </c>
      <c r="K113" s="1014" t="s">
        <v>449</v>
      </c>
      <c r="L113" s="12"/>
      <c r="M113" s="1013" t="s">
        <v>445</v>
      </c>
      <c r="N113" s="78" t="s">
        <v>446</v>
      </c>
      <c r="O113" s="78" t="s">
        <v>447</v>
      </c>
      <c r="P113" s="78" t="s">
        <v>448</v>
      </c>
      <c r="Q113" s="1014" t="s">
        <v>449</v>
      </c>
      <c r="R113" s="12"/>
      <c r="S113" s="123"/>
      <c r="T113" s="124"/>
      <c r="U113" s="124"/>
      <c r="V113" s="124"/>
      <c r="W113" s="124"/>
    </row>
    <row r="114" spans="1:23" ht="12.6">
      <c r="A114" s="33" t="s">
        <v>450</v>
      </c>
      <c r="B114" s="34"/>
      <c r="C114" s="35"/>
      <c r="D114" s="82"/>
      <c r="E114" s="13">
        <f>SUM(E55,E72,E88)</f>
        <v>0</v>
      </c>
      <c r="F114" s="12"/>
      <c r="G114" s="33" t="s">
        <v>450</v>
      </c>
      <c r="H114" s="34"/>
      <c r="I114" s="35"/>
      <c r="J114" s="82"/>
      <c r="K114" s="13">
        <f>SUM(K55,K72,K88)</f>
        <v>0</v>
      </c>
      <c r="L114" s="12"/>
      <c r="M114" s="33" t="s">
        <v>450</v>
      </c>
      <c r="N114" s="34"/>
      <c r="O114" s="35"/>
      <c r="P114" s="82"/>
      <c r="Q114" s="13">
        <f>SUM(Q55,Q72,Q88)</f>
        <v>0</v>
      </c>
      <c r="R114" s="12"/>
      <c r="S114" s="12"/>
      <c r="T114" s="286"/>
      <c r="U114" s="323"/>
      <c r="V114" s="324"/>
      <c r="W114" s="286"/>
    </row>
    <row r="115" spans="1:23" ht="12.6">
      <c r="A115" s="91" t="s">
        <v>451</v>
      </c>
      <c r="B115" s="34"/>
      <c r="C115" s="35"/>
      <c r="D115" s="399"/>
      <c r="E115" s="92">
        <f>SUM(E93,E97)</f>
        <v>785856.68800000008</v>
      </c>
      <c r="F115" s="12"/>
      <c r="G115" s="91" t="s">
        <v>451</v>
      </c>
      <c r="H115" s="34"/>
      <c r="I115" s="35"/>
      <c r="J115" s="399"/>
      <c r="K115" s="92">
        <f>SUM(K93,K97)</f>
        <v>0</v>
      </c>
      <c r="L115" s="12"/>
      <c r="M115" s="91" t="s">
        <v>451</v>
      </c>
      <c r="N115" s="34"/>
      <c r="O115" s="35"/>
      <c r="P115" s="399"/>
      <c r="Q115" s="92">
        <f>SUM(Q93,Q97)</f>
        <v>0</v>
      </c>
      <c r="R115" s="12"/>
      <c r="S115" s="12"/>
      <c r="T115" s="286"/>
      <c r="U115" s="323"/>
      <c r="V115" s="324"/>
      <c r="W115" s="286"/>
    </row>
    <row r="116" spans="1:23" ht="12.6">
      <c r="A116" s="400" t="s">
        <v>452</v>
      </c>
      <c r="B116" s="1077"/>
      <c r="C116" s="1078"/>
      <c r="D116" s="401"/>
      <c r="E116" s="1015">
        <f>E105</f>
        <v>0</v>
      </c>
      <c r="F116" s="12"/>
      <c r="G116" s="400" t="s">
        <v>452</v>
      </c>
      <c r="H116" s="1077"/>
      <c r="I116" s="1078"/>
      <c r="J116" s="401"/>
      <c r="K116" s="1015">
        <f>K105</f>
        <v>0</v>
      </c>
      <c r="L116" s="12"/>
      <c r="M116" s="400" t="s">
        <v>452</v>
      </c>
      <c r="N116" s="1077"/>
      <c r="O116" s="1078"/>
      <c r="P116" s="401"/>
      <c r="Q116" s="1015">
        <f>Q105</f>
        <v>0</v>
      </c>
      <c r="R116" s="12"/>
      <c r="S116" s="325"/>
      <c r="T116" s="1079"/>
      <c r="U116" s="1079"/>
      <c r="V116" s="326"/>
      <c r="W116" s="286"/>
    </row>
    <row r="117" spans="1:23" ht="12.95">
      <c r="A117" s="402" t="s">
        <v>453</v>
      </c>
      <c r="B117" s="89"/>
      <c r="C117" s="89"/>
      <c r="D117" s="86"/>
      <c r="E117" s="403">
        <f>SUM(E114:E116)</f>
        <v>785856.68800000008</v>
      </c>
      <c r="F117" s="12"/>
      <c r="G117" s="402" t="s">
        <v>453</v>
      </c>
      <c r="H117" s="89"/>
      <c r="I117" s="89"/>
      <c r="J117" s="86"/>
      <c r="K117" s="403">
        <f>SUM(K114:K116)</f>
        <v>0</v>
      </c>
      <c r="L117" s="12"/>
      <c r="M117" s="402" t="s">
        <v>453</v>
      </c>
      <c r="N117" s="89"/>
      <c r="O117" s="89"/>
      <c r="P117" s="86"/>
      <c r="Q117" s="403">
        <f>SUM(Q114:Q116)</f>
        <v>0</v>
      </c>
      <c r="R117" s="12"/>
      <c r="S117" s="277"/>
      <c r="T117" s="302"/>
      <c r="U117" s="302"/>
      <c r="V117" s="167"/>
      <c r="W117" s="167"/>
    </row>
    <row r="118" spans="1:23" ht="12.95">
      <c r="A118" s="1071"/>
      <c r="B118" s="1072"/>
      <c r="C118" s="1072"/>
      <c r="D118" s="1072"/>
      <c r="E118" s="1073"/>
      <c r="F118" s="12"/>
      <c r="G118" s="1071"/>
      <c r="H118" s="1072"/>
      <c r="I118" s="1072"/>
      <c r="J118" s="1072"/>
      <c r="K118" s="1073"/>
      <c r="L118" s="12"/>
      <c r="M118" s="1071"/>
      <c r="N118" s="1072"/>
      <c r="O118" s="1072"/>
      <c r="P118" s="1072"/>
      <c r="Q118" s="1073"/>
      <c r="R118" s="12"/>
      <c r="S118" s="1074"/>
      <c r="T118" s="1074"/>
      <c r="U118" s="1074"/>
      <c r="V118" s="1074"/>
      <c r="W118" s="1074"/>
    </row>
    <row r="119" spans="1:23" ht="12.95">
      <c r="A119" s="95" t="s">
        <v>454</v>
      </c>
      <c r="B119" s="85"/>
      <c r="C119" s="85"/>
      <c r="D119" s="85"/>
      <c r="E119" s="96"/>
      <c r="F119" s="12"/>
      <c r="G119" s="95" t="s">
        <v>454</v>
      </c>
      <c r="H119" s="85"/>
      <c r="I119" s="85"/>
      <c r="J119" s="85"/>
      <c r="K119" s="96"/>
      <c r="L119" s="12"/>
      <c r="M119" s="95" t="s">
        <v>454</v>
      </c>
      <c r="N119" s="85"/>
      <c r="O119" s="85"/>
      <c r="P119" s="85"/>
      <c r="Q119" s="96"/>
      <c r="R119" s="12"/>
      <c r="S119" s="277"/>
      <c r="T119" s="167"/>
      <c r="U119" s="167"/>
      <c r="V119" s="167"/>
      <c r="W119" s="167"/>
    </row>
    <row r="120" spans="1:23" ht="12.6">
      <c r="A120" s="404" t="s">
        <v>455</v>
      </c>
      <c r="B120" s="394"/>
      <c r="C120" s="401"/>
      <c r="D120" s="401"/>
      <c r="E120" s="405">
        <f>E108</f>
        <v>0</v>
      </c>
      <c r="F120" s="12"/>
      <c r="G120" s="404" t="s">
        <v>455</v>
      </c>
      <c r="H120" s="394"/>
      <c r="I120" s="401"/>
      <c r="J120" s="401"/>
      <c r="K120" s="405">
        <f>K108</f>
        <v>0</v>
      </c>
      <c r="L120" s="12"/>
      <c r="M120" s="404" t="s">
        <v>455</v>
      </c>
      <c r="N120" s="394"/>
      <c r="O120" s="401"/>
      <c r="P120" s="401"/>
      <c r="Q120" s="405">
        <f>Q108</f>
        <v>0</v>
      </c>
      <c r="R120" s="12"/>
      <c r="S120" s="327"/>
      <c r="T120" s="286"/>
      <c r="U120" s="326"/>
      <c r="V120" s="326"/>
      <c r="W120" s="286"/>
    </row>
    <row r="121" spans="1:23" ht="12.6">
      <c r="A121" s="404" t="s">
        <v>456</v>
      </c>
      <c r="B121" s="394"/>
      <c r="C121" s="401"/>
      <c r="D121" s="401"/>
      <c r="E121" s="405">
        <f>E109</f>
        <v>0</v>
      </c>
      <c r="F121" s="12"/>
      <c r="G121" s="404" t="s">
        <v>456</v>
      </c>
      <c r="H121" s="394"/>
      <c r="I121" s="401"/>
      <c r="J121" s="401"/>
      <c r="K121" s="405">
        <f>K109</f>
        <v>0</v>
      </c>
      <c r="L121" s="12"/>
      <c r="M121" s="404" t="s">
        <v>456</v>
      </c>
      <c r="N121" s="394"/>
      <c r="O121" s="401"/>
      <c r="P121" s="401"/>
      <c r="Q121" s="405">
        <f>Q109</f>
        <v>0</v>
      </c>
      <c r="R121" s="12"/>
      <c r="S121" s="327"/>
      <c r="T121" s="286"/>
      <c r="U121" s="326"/>
      <c r="V121" s="326"/>
      <c r="W121" s="286"/>
    </row>
    <row r="122" spans="1:23" ht="12.6">
      <c r="A122" s="404" t="s">
        <v>457</v>
      </c>
      <c r="B122" s="394"/>
      <c r="C122" s="401"/>
      <c r="D122" s="401"/>
      <c r="E122" s="405">
        <f>E110</f>
        <v>0</v>
      </c>
      <c r="F122" s="12"/>
      <c r="G122" s="404" t="s">
        <v>457</v>
      </c>
      <c r="H122" s="394"/>
      <c r="I122" s="401"/>
      <c r="J122" s="401"/>
      <c r="K122" s="405">
        <f>K110</f>
        <v>0</v>
      </c>
      <c r="L122" s="12"/>
      <c r="M122" s="404" t="s">
        <v>457</v>
      </c>
      <c r="N122" s="394"/>
      <c r="O122" s="401"/>
      <c r="P122" s="401"/>
      <c r="Q122" s="405">
        <f>Q110</f>
        <v>0</v>
      </c>
      <c r="R122" s="12"/>
      <c r="S122" s="327"/>
      <c r="T122" s="286"/>
      <c r="U122" s="326"/>
      <c r="V122" s="326"/>
      <c r="W122" s="286"/>
    </row>
    <row r="123" spans="1:23" ht="12.6">
      <c r="A123" s="404" t="s">
        <v>458</v>
      </c>
      <c r="B123" s="401"/>
      <c r="C123" s="401"/>
      <c r="D123" s="401"/>
      <c r="E123" s="405">
        <f>Assumptions!$L$44*E117</f>
        <v>23575.700640000003</v>
      </c>
      <c r="F123" s="12"/>
      <c r="G123" s="404" t="s">
        <v>458</v>
      </c>
      <c r="H123" s="401"/>
      <c r="I123" s="401"/>
      <c r="J123" s="401"/>
      <c r="K123" s="405">
        <f>Assumptions!$L$44*K117</f>
        <v>0</v>
      </c>
      <c r="L123" s="12"/>
      <c r="M123" s="404" t="s">
        <v>458</v>
      </c>
      <c r="N123" s="401"/>
      <c r="O123" s="401"/>
      <c r="P123" s="401"/>
      <c r="Q123" s="405">
        <f>Assumptions!$L$44*Q117</f>
        <v>0</v>
      </c>
      <c r="R123" s="12"/>
      <c r="S123" s="327"/>
      <c r="T123" s="326"/>
      <c r="U123" s="326"/>
      <c r="V123" s="326"/>
      <c r="W123" s="286"/>
    </row>
    <row r="124" spans="1:23" ht="13.5" thickBot="1">
      <c r="A124" s="84" t="s">
        <v>459</v>
      </c>
      <c r="B124" s="72"/>
      <c r="C124" s="87"/>
      <c r="D124" s="406"/>
      <c r="E124" s="73">
        <f>SUM(E120:E123)</f>
        <v>23575.700640000003</v>
      </c>
      <c r="F124" s="12"/>
      <c r="G124" s="84" t="s">
        <v>459</v>
      </c>
      <c r="H124" s="72"/>
      <c r="I124" s="87"/>
      <c r="J124" s="406"/>
      <c r="K124" s="73">
        <f>SUM(K120:K123)</f>
        <v>0</v>
      </c>
      <c r="L124" s="12"/>
      <c r="M124" s="84" t="s">
        <v>459</v>
      </c>
      <c r="N124" s="72"/>
      <c r="O124" s="87"/>
      <c r="P124" s="406"/>
      <c r="Q124" s="73">
        <f>SUM(Q120:Q123)</f>
        <v>0</v>
      </c>
      <c r="R124" s="12"/>
      <c r="S124" s="328"/>
      <c r="T124" s="167"/>
      <c r="U124" s="167"/>
      <c r="V124" s="167"/>
      <c r="W124" s="167"/>
    </row>
    <row r="125" spans="1:23" ht="14.1" thickTop="1" thickBot="1">
      <c r="A125" s="27">
        <v>0.05</v>
      </c>
      <c r="B125" s="74"/>
      <c r="C125" s="88"/>
      <c r="D125" s="94"/>
      <c r="E125" s="79">
        <f>-A125*E117</f>
        <v>-39292.834400000007</v>
      </c>
      <c r="F125" s="12"/>
      <c r="G125" s="27">
        <v>0.05</v>
      </c>
      <c r="H125" s="74"/>
      <c r="I125" s="88"/>
      <c r="J125" s="94"/>
      <c r="K125" s="79">
        <f>-G125*K117</f>
        <v>0</v>
      </c>
      <c r="L125" s="12"/>
      <c r="M125" s="27">
        <v>0.05</v>
      </c>
      <c r="N125" s="74"/>
      <c r="O125" s="88"/>
      <c r="P125" s="94"/>
      <c r="Q125" s="79">
        <f>-M125*Q117</f>
        <v>0</v>
      </c>
      <c r="R125" s="12"/>
      <c r="S125" s="329"/>
      <c r="T125" s="286"/>
      <c r="U125" s="286"/>
      <c r="V125" s="286"/>
      <c r="W125" s="286"/>
    </row>
    <row r="126" spans="1:23" ht="14.1" thickTop="1" thickBot="1">
      <c r="A126" s="1016" t="s">
        <v>460</v>
      </c>
      <c r="B126" s="14"/>
      <c r="C126" s="1017"/>
      <c r="D126" s="93"/>
      <c r="E126" s="1018">
        <f>E117+E124+E125</f>
        <v>770139.55424000008</v>
      </c>
      <c r="F126" s="12"/>
      <c r="G126" s="1016" t="s">
        <v>460</v>
      </c>
      <c r="H126" s="14"/>
      <c r="I126" s="1017"/>
      <c r="J126" s="93"/>
      <c r="K126" s="1018">
        <f>K117+K124+K125</f>
        <v>0</v>
      </c>
      <c r="L126" s="12"/>
      <c r="M126" s="1016" t="s">
        <v>460</v>
      </c>
      <c r="N126" s="14"/>
      <c r="O126" s="1017"/>
      <c r="P126" s="93"/>
      <c r="Q126" s="1018">
        <f>Q117+Q124+Q125</f>
        <v>0</v>
      </c>
      <c r="R126" s="12"/>
      <c r="S126" s="330"/>
      <c r="T126" s="167"/>
      <c r="U126" s="331"/>
      <c r="V126" s="331"/>
      <c r="W126" s="167"/>
    </row>
    <row r="127" spans="1:23" ht="13.5" thickBot="1">
      <c r="A127" s="6" t="s">
        <v>461</v>
      </c>
      <c r="B127" s="78" t="s">
        <v>462</v>
      </c>
      <c r="C127" s="78"/>
      <c r="D127" s="78"/>
      <c r="E127" s="15" t="s">
        <v>463</v>
      </c>
      <c r="F127" s="12"/>
      <c r="G127" s="6" t="s">
        <v>461</v>
      </c>
      <c r="H127" s="78" t="s">
        <v>462</v>
      </c>
      <c r="I127" s="78"/>
      <c r="J127" s="78"/>
      <c r="K127" s="15" t="s">
        <v>463</v>
      </c>
      <c r="L127" s="12"/>
      <c r="M127" s="6" t="s">
        <v>461</v>
      </c>
      <c r="N127" s="78" t="s">
        <v>462</v>
      </c>
      <c r="O127" s="78"/>
      <c r="P127" s="78"/>
      <c r="Q127" s="15" t="s">
        <v>463</v>
      </c>
      <c r="R127" s="12"/>
      <c r="S127" s="123"/>
      <c r="T127" s="124"/>
      <c r="U127" s="124"/>
      <c r="V127" s="124"/>
      <c r="W127" s="124"/>
    </row>
    <row r="128" spans="1:23" ht="13.5" thickBot="1">
      <c r="A128" s="97" t="s">
        <v>464</v>
      </c>
      <c r="B128" s="90"/>
      <c r="C128" s="16"/>
      <c r="D128" s="16"/>
      <c r="E128" s="98">
        <f>-0.3*E117</f>
        <v>-235757.00640000001</v>
      </c>
      <c r="F128" s="12"/>
      <c r="G128" s="97" t="s">
        <v>464</v>
      </c>
      <c r="H128" s="90"/>
      <c r="I128" s="16"/>
      <c r="J128" s="16"/>
      <c r="K128" s="98">
        <f>-0.3*K117</f>
        <v>0</v>
      </c>
      <c r="L128" s="12"/>
      <c r="M128" s="97" t="s">
        <v>464</v>
      </c>
      <c r="N128" s="90"/>
      <c r="O128" s="16"/>
      <c r="P128" s="16"/>
      <c r="Q128" s="98">
        <f>-0.3*Q117</f>
        <v>0</v>
      </c>
      <c r="R128" s="12"/>
      <c r="S128" s="289"/>
      <c r="T128" s="332"/>
      <c r="U128" s="333"/>
      <c r="V128" s="333"/>
      <c r="W128" s="333"/>
    </row>
    <row r="129" spans="1:25" ht="13.5" thickBot="1">
      <c r="A129" s="1019" t="s">
        <v>465</v>
      </c>
      <c r="B129" s="81"/>
      <c r="C129" s="81"/>
      <c r="D129" s="81"/>
      <c r="E129" s="1020">
        <f>E126+E128</f>
        <v>534382.54784000013</v>
      </c>
      <c r="F129" s="12"/>
      <c r="G129" s="1019" t="s">
        <v>465</v>
      </c>
      <c r="H129" s="81"/>
      <c r="I129" s="81"/>
      <c r="J129" s="81"/>
      <c r="K129" s="1020">
        <f>K126+K128</f>
        <v>0</v>
      </c>
      <c r="L129" s="12"/>
      <c r="M129" s="1019" t="s">
        <v>465</v>
      </c>
      <c r="N129" s="81"/>
      <c r="O129" s="81"/>
      <c r="P129" s="81"/>
      <c r="Q129" s="1020">
        <f>Q126+Q128</f>
        <v>0</v>
      </c>
      <c r="R129" s="12"/>
      <c r="S129" s="118"/>
      <c r="T129" s="334"/>
      <c r="U129" s="334"/>
      <c r="V129" s="334"/>
      <c r="W129" s="335"/>
    </row>
    <row r="130" spans="1:25" ht="12.6">
      <c r="F130" s="12"/>
      <c r="L130" s="12"/>
      <c r="R130" s="12"/>
    </row>
    <row r="131" spans="1:25" ht="12.95">
      <c r="A131" s="734" t="s">
        <v>383</v>
      </c>
      <c r="B131" s="734"/>
      <c r="C131" s="734"/>
      <c r="F131" s="12"/>
      <c r="G131" s="734" t="s">
        <v>383</v>
      </c>
      <c r="H131" s="734"/>
      <c r="I131" s="734"/>
      <c r="L131" s="12"/>
      <c r="M131" s="734" t="s">
        <v>383</v>
      </c>
      <c r="N131" s="734"/>
      <c r="O131" s="734"/>
      <c r="R131" s="12"/>
      <c r="S131" s="274"/>
      <c r="T131" s="274"/>
      <c r="U131" s="274"/>
    </row>
    <row r="132" spans="1:25" ht="12.95">
      <c r="A132" s="735"/>
      <c r="B132" s="736" t="s">
        <v>466</v>
      </c>
      <c r="C132" s="736" t="s">
        <v>467</v>
      </c>
      <c r="F132" s="83"/>
      <c r="G132" s="735"/>
      <c r="H132" s="736" t="s">
        <v>466</v>
      </c>
      <c r="I132" s="736" t="s">
        <v>467</v>
      </c>
      <c r="L132" s="83"/>
      <c r="M132" s="735"/>
      <c r="N132" s="736" t="s">
        <v>466</v>
      </c>
      <c r="O132" s="736" t="s">
        <v>467</v>
      </c>
      <c r="R132" s="83"/>
      <c r="S132" s="274"/>
      <c r="T132" s="282"/>
      <c r="U132" s="282"/>
    </row>
    <row r="133" spans="1:25" ht="12.75" customHeight="1">
      <c r="A133" s="737" t="s">
        <v>387</v>
      </c>
      <c r="B133" s="738">
        <f>IFERROR(INDEX(Assumptions!$D$4:$E$16,MATCH('2-D Financial'!B$34,Assumptions!$D$4:$D$16,0),2),0)</f>
        <v>220</v>
      </c>
      <c r="C133" s="739">
        <f>B133*D34</f>
        <v>63561938.000000015</v>
      </c>
      <c r="F133" s="12"/>
      <c r="G133" s="737" t="s">
        <v>387</v>
      </c>
      <c r="H133" s="738">
        <f>IFERROR(INDEX(Assumptions!$D$4:$E$16,MATCH('2-D Financial'!H$34,Assumptions!$D$4:$D$16,0),2),0)</f>
        <v>0</v>
      </c>
      <c r="I133" s="739">
        <f>H133*J34</f>
        <v>0</v>
      </c>
      <c r="L133" s="12"/>
      <c r="M133" s="737" t="s">
        <v>387</v>
      </c>
      <c r="N133" s="738">
        <f>IFERROR(INDEX(Assumptions!$D$4:$E$16,MATCH('2-D Financial'!N$34,Assumptions!$D$4:$D$16,0),2),0)</f>
        <v>0</v>
      </c>
      <c r="O133" s="739">
        <f>N133*P34</f>
        <v>0</v>
      </c>
      <c r="R133" s="12"/>
      <c r="S133" s="177"/>
      <c r="T133" s="336"/>
      <c r="U133" s="286"/>
    </row>
    <row r="134" spans="1:25" ht="12.75" customHeight="1">
      <c r="A134" s="737" t="s">
        <v>77</v>
      </c>
      <c r="B134" s="562">
        <f>Assumptions!$E$19</f>
        <v>0.05</v>
      </c>
      <c r="C134" s="740">
        <f>B134*C133</f>
        <v>3178096.9000000008</v>
      </c>
      <c r="F134" s="12"/>
      <c r="G134" s="737" t="s">
        <v>77</v>
      </c>
      <c r="H134" s="562">
        <f>Assumptions!$E$19</f>
        <v>0.05</v>
      </c>
      <c r="I134" s="740">
        <f>H134*I133</f>
        <v>0</v>
      </c>
      <c r="L134" s="12"/>
      <c r="M134" s="737" t="s">
        <v>77</v>
      </c>
      <c r="N134" s="562">
        <f>Assumptions!$E$19</f>
        <v>0.05</v>
      </c>
      <c r="O134" s="740">
        <f>N134*O133</f>
        <v>0</v>
      </c>
      <c r="R134" s="12"/>
      <c r="S134" s="177"/>
      <c r="T134" s="337"/>
      <c r="U134" s="290"/>
      <c r="Y134" s="12"/>
    </row>
    <row r="135" spans="1:25" ht="12.75" customHeight="1">
      <c r="A135" s="737" t="s">
        <v>389</v>
      </c>
      <c r="B135" s="407" t="s">
        <v>101</v>
      </c>
      <c r="C135" s="741">
        <v>0</v>
      </c>
      <c r="F135" s="12"/>
      <c r="G135" s="737" t="s">
        <v>389</v>
      </c>
      <c r="H135" s="407" t="s">
        <v>101</v>
      </c>
      <c r="I135" s="741">
        <v>0</v>
      </c>
      <c r="L135" s="12"/>
      <c r="M135" s="737" t="s">
        <v>389</v>
      </c>
      <c r="N135" s="407" t="s">
        <v>101</v>
      </c>
      <c r="O135" s="741">
        <v>0</v>
      </c>
      <c r="R135" s="12"/>
      <c r="S135" s="177"/>
      <c r="T135" s="338"/>
      <c r="U135" s="339"/>
      <c r="Y135" s="12"/>
    </row>
    <row r="136" spans="1:25" ht="12.75" customHeight="1">
      <c r="A136" s="737" t="s">
        <v>391</v>
      </c>
      <c r="B136" s="748" t="s">
        <v>468</v>
      </c>
      <c r="C136" s="739">
        <f>IF(C133=0,0,INDEX('Development Program'!$C$58:$L$62,5,MATCH($D$2,'Development Program'!$C$58:$L$58,0))/INDEX('Development Program'!$L$9:$M$18,MATCH($D$2,'Development Program'!$L$9:$L$18,0),2))</f>
        <v>808909.2</v>
      </c>
      <c r="F136" s="12"/>
      <c r="G136" s="737" t="s">
        <v>391</v>
      </c>
      <c r="H136" s="748" t="s">
        <v>468</v>
      </c>
      <c r="I136" s="739">
        <f>IF(I133=0,0,INDEX('Development Program'!$C$58:$L$62,5,MATCH($D$2,'Development Program'!$C$58:$L$58,0))/INDEX('Development Program'!$L$9:$M$18,MATCH($D$2,'Development Program'!$L$9:$L$18,0),2))</f>
        <v>0</v>
      </c>
      <c r="L136" s="12"/>
      <c r="M136" s="737" t="s">
        <v>391</v>
      </c>
      <c r="N136" s="748" t="s">
        <v>468</v>
      </c>
      <c r="O136" s="739">
        <f>IF(O133=0,0,INDEX('Development Program'!$C$58:$L$62,5,MATCH($D$2,'Development Program'!$C$58:$L$58,0))/INDEX('Development Program'!$L$9:$M$18,MATCH($D$2,'Development Program'!$L$9:$L$18,0),2))</f>
        <v>0</v>
      </c>
      <c r="R136" s="12"/>
      <c r="S136" s="177"/>
      <c r="T136" s="340"/>
      <c r="U136" s="179"/>
    </row>
    <row r="137" spans="1:25" ht="12.75" customHeight="1">
      <c r="A137" s="426" t="s">
        <v>16</v>
      </c>
      <c r="B137" s="748" t="s">
        <v>468</v>
      </c>
      <c r="C137" s="739">
        <f>IF(C133=0,0,INDEX('Development Program'!$D$40:$M$55,16,MATCH($D$2,'Development Program'!$D$40:$M$40,0))/INDEX('Development Program'!$L$9:$M$18,MATCH($D$2,'Development Program'!$L$9:$L$18,0),2))</f>
        <v>2480000</v>
      </c>
      <c r="F137" s="12"/>
      <c r="G137" s="426" t="s">
        <v>16</v>
      </c>
      <c r="H137" s="748" t="s">
        <v>468</v>
      </c>
      <c r="I137" s="739">
        <f>IF(I133=0,0,INDEX('Development Program'!$D$40:$M$55,16,MATCH($D$2,'Development Program'!$D$40:$M$40,0))/INDEX('Development Program'!$L$9:$M$18,MATCH($D$2,'Development Program'!$L$9:$L$18,0),2))</f>
        <v>0</v>
      </c>
      <c r="L137" s="12"/>
      <c r="M137" s="426" t="s">
        <v>16</v>
      </c>
      <c r="N137" s="748" t="s">
        <v>468</v>
      </c>
      <c r="O137" s="739">
        <f>IF(O133=0,0,INDEX('Development Program'!$D$40:$M$55,16,MATCH($D$2,'Development Program'!$D$40:$M$40,0))/INDEX('Development Program'!$L$9:$M$18,MATCH($D$2,'Development Program'!$L$9:$L$18,0),2))</f>
        <v>0</v>
      </c>
      <c r="R137" s="12"/>
    </row>
    <row r="138" spans="1:25" ht="12.75" customHeight="1">
      <c r="A138" s="737" t="s">
        <v>79</v>
      </c>
      <c r="B138" s="409">
        <f>Assumptions!$E$20</f>
        <v>0.02</v>
      </c>
      <c r="C138" s="739">
        <f>B138*(C$133)</f>
        <v>1271238.7600000002</v>
      </c>
      <c r="F138" s="12"/>
      <c r="G138" s="737" t="s">
        <v>79</v>
      </c>
      <c r="H138" s="409">
        <f>Assumptions!$E$20</f>
        <v>0.02</v>
      </c>
      <c r="I138" s="739">
        <f>H138*(I$133)</f>
        <v>0</v>
      </c>
      <c r="L138" s="12"/>
      <c r="M138" s="737" t="s">
        <v>79</v>
      </c>
      <c r="N138" s="409">
        <f>Assumptions!$E$20</f>
        <v>0.02</v>
      </c>
      <c r="O138" s="739">
        <f>N138*(O$133)</f>
        <v>0</v>
      </c>
      <c r="R138" s="12"/>
      <c r="S138" s="177"/>
      <c r="T138" s="341"/>
      <c r="U138" s="286"/>
    </row>
    <row r="139" spans="1:25" ht="12.75" customHeight="1">
      <c r="A139" s="730" t="s">
        <v>83</v>
      </c>
      <c r="B139" s="409">
        <f>Assumptions!$E$22</f>
        <v>1.4999999999999999E-2</v>
      </c>
      <c r="C139" s="739">
        <f>B139*(C$133)</f>
        <v>953429.07000000018</v>
      </c>
      <c r="F139" s="12"/>
      <c r="G139" s="730" t="s">
        <v>83</v>
      </c>
      <c r="H139" s="409">
        <f>Assumptions!$E$22</f>
        <v>1.4999999999999999E-2</v>
      </c>
      <c r="I139" s="739">
        <f>H139*(I$133)</f>
        <v>0</v>
      </c>
      <c r="L139" s="12"/>
      <c r="M139" s="730" t="s">
        <v>83</v>
      </c>
      <c r="N139" s="409">
        <f>Assumptions!$E$22</f>
        <v>1.4999999999999999E-2</v>
      </c>
      <c r="O139" s="739">
        <f>N139*(O$133)</f>
        <v>0</v>
      </c>
      <c r="R139" s="12"/>
      <c r="S139" s="12"/>
      <c r="T139" s="341"/>
      <c r="U139" s="286"/>
    </row>
    <row r="140" spans="1:25" ht="12.75" customHeight="1">
      <c r="A140" s="730" t="s">
        <v>84</v>
      </c>
      <c r="B140" s="564">
        <f>Assumptions!$E$23</f>
        <v>2.5000000000000001E-2</v>
      </c>
      <c r="C140" s="739">
        <f>IF(D34=0,0,B140*$B$10)</f>
        <v>20222.73</v>
      </c>
      <c r="F140" s="12"/>
      <c r="G140" s="730" t="s">
        <v>84</v>
      </c>
      <c r="H140" s="564">
        <f>Assumptions!$E$23</f>
        <v>2.5000000000000001E-2</v>
      </c>
      <c r="I140" s="739">
        <f>IF(J34=0,0,H140*$B$10)</f>
        <v>0</v>
      </c>
      <c r="L140" s="12"/>
      <c r="M140" s="730" t="s">
        <v>84</v>
      </c>
      <c r="N140" s="564">
        <f>Assumptions!$E$23</f>
        <v>2.5000000000000001E-2</v>
      </c>
      <c r="O140" s="739">
        <f>IF(P34=0,0,N140*$B$10)</f>
        <v>0</v>
      </c>
      <c r="R140" s="12"/>
      <c r="S140" s="12"/>
      <c r="T140" s="26"/>
      <c r="U140" s="339"/>
    </row>
    <row r="141" spans="1:25" ht="12.75" customHeight="1">
      <c r="A141" s="730" t="s">
        <v>85</v>
      </c>
      <c r="B141" s="409">
        <f>Assumptions!$E$24</f>
        <v>0.02</v>
      </c>
      <c r="C141" s="739">
        <f>B141*(C133)</f>
        <v>1271238.7600000002</v>
      </c>
      <c r="F141" s="12"/>
      <c r="G141" s="730" t="s">
        <v>85</v>
      </c>
      <c r="H141" s="409">
        <f>Assumptions!$E$24</f>
        <v>0.02</v>
      </c>
      <c r="I141" s="739">
        <f>H141*(I133)</f>
        <v>0</v>
      </c>
      <c r="L141" s="12"/>
      <c r="M141" s="730" t="s">
        <v>85</v>
      </c>
      <c r="N141" s="409">
        <f>Assumptions!$E$24</f>
        <v>0.02</v>
      </c>
      <c r="O141" s="739">
        <f>N141*(O133)</f>
        <v>0</v>
      </c>
      <c r="R141" s="12"/>
      <c r="S141" s="12"/>
      <c r="T141" s="341"/>
      <c r="U141" s="286"/>
    </row>
    <row r="142" spans="1:25" ht="12.75" customHeight="1">
      <c r="A142" s="730" t="s">
        <v>86</v>
      </c>
      <c r="B142" s="409">
        <f>Assumptions!$E$25</f>
        <v>3.5000000000000003E-2</v>
      </c>
      <c r="C142" s="739">
        <f>B142*(C133)</f>
        <v>2224667.8300000005</v>
      </c>
      <c r="F142" s="12"/>
      <c r="G142" s="730" t="s">
        <v>86</v>
      </c>
      <c r="H142" s="409">
        <f>Assumptions!$E$25</f>
        <v>3.5000000000000003E-2</v>
      </c>
      <c r="I142" s="739">
        <f>H142*(I133)</f>
        <v>0</v>
      </c>
      <c r="L142" s="12"/>
      <c r="M142" s="730" t="s">
        <v>86</v>
      </c>
      <c r="N142" s="409">
        <f>Assumptions!$E$25</f>
        <v>3.5000000000000003E-2</v>
      </c>
      <c r="O142" s="739">
        <f>N142*(O133)</f>
        <v>0</v>
      </c>
      <c r="R142" s="12"/>
      <c r="S142" s="12"/>
      <c r="T142" s="341"/>
      <c r="U142" s="286"/>
    </row>
    <row r="143" spans="1:25" ht="12.75" customHeight="1">
      <c r="A143" s="730" t="s">
        <v>88</v>
      </c>
      <c r="B143" s="409">
        <f>Assumptions!$E$26</f>
        <v>0.02</v>
      </c>
      <c r="C143" s="739">
        <f>B143*(C133)</f>
        <v>1271238.7600000002</v>
      </c>
      <c r="D143" s="276"/>
      <c r="E143" s="275"/>
      <c r="F143" s="12"/>
      <c r="G143" s="730" t="s">
        <v>88</v>
      </c>
      <c r="H143" s="409">
        <f>Assumptions!$E$26</f>
        <v>0.02</v>
      </c>
      <c r="I143" s="739">
        <f>H143*(I133)</f>
        <v>0</v>
      </c>
      <c r="J143" s="276"/>
      <c r="K143" s="275"/>
      <c r="L143" s="12"/>
      <c r="M143" s="730" t="s">
        <v>88</v>
      </c>
      <c r="N143" s="409">
        <f>Assumptions!$E$26</f>
        <v>0.02</v>
      </c>
      <c r="O143" s="739">
        <f>N143*(O133)</f>
        <v>0</v>
      </c>
      <c r="P143" s="276"/>
      <c r="Q143" s="275"/>
      <c r="R143" s="12"/>
      <c r="S143" s="12"/>
      <c r="T143" s="341"/>
      <c r="U143" s="286"/>
      <c r="V143" s="276"/>
      <c r="W143" s="275"/>
    </row>
    <row r="144" spans="1:25" ht="12.75" customHeight="1">
      <c r="A144" s="730" t="s">
        <v>93</v>
      </c>
      <c r="B144" s="409">
        <f>Assumptions!$E$27</f>
        <v>0.05</v>
      </c>
      <c r="C144" s="739">
        <f>B144*C133</f>
        <v>3178096.9000000008</v>
      </c>
      <c r="D144" s="276"/>
      <c r="E144" s="275"/>
      <c r="F144" s="12"/>
      <c r="G144" s="730" t="s">
        <v>93</v>
      </c>
      <c r="H144" s="409">
        <f>Assumptions!$E$27</f>
        <v>0.05</v>
      </c>
      <c r="I144" s="739">
        <f>H144*I133</f>
        <v>0</v>
      </c>
      <c r="J144" s="276"/>
      <c r="K144" s="275"/>
      <c r="L144" s="12"/>
      <c r="M144" s="730" t="s">
        <v>93</v>
      </c>
      <c r="N144" s="409">
        <f>Assumptions!$E$27</f>
        <v>0.05</v>
      </c>
      <c r="O144" s="739">
        <f>N144*O133</f>
        <v>0</v>
      </c>
      <c r="P144" s="276"/>
      <c r="Q144" s="275"/>
      <c r="R144" s="12"/>
      <c r="S144" s="12"/>
      <c r="T144" s="342"/>
      <c r="U144" s="286"/>
      <c r="V144" s="276"/>
      <c r="W144" s="275"/>
    </row>
    <row r="145" spans="1:23" ht="12.75" customHeight="1">
      <c r="A145" s="730" t="s">
        <v>97</v>
      </c>
      <c r="B145" s="409">
        <f>Assumptions!$E$28</f>
        <v>1.4999999999999999E-2</v>
      </c>
      <c r="C145" s="739">
        <f>B145*C133</f>
        <v>953429.07000000018</v>
      </c>
      <c r="D145" s="276"/>
      <c r="E145" s="275"/>
      <c r="F145" s="12"/>
      <c r="G145" s="730" t="s">
        <v>97</v>
      </c>
      <c r="H145" s="409">
        <f>Assumptions!$E$28</f>
        <v>1.4999999999999999E-2</v>
      </c>
      <c r="I145" s="739">
        <f>H145*I133</f>
        <v>0</v>
      </c>
      <c r="J145" s="276"/>
      <c r="K145" s="275"/>
      <c r="L145" s="12"/>
      <c r="M145" s="730" t="s">
        <v>97</v>
      </c>
      <c r="N145" s="409">
        <f>Assumptions!$E$28</f>
        <v>1.4999999999999999E-2</v>
      </c>
      <c r="O145" s="739">
        <f>N145*O133</f>
        <v>0</v>
      </c>
      <c r="P145" s="276"/>
      <c r="Q145" s="275"/>
      <c r="R145" s="12"/>
      <c r="S145" s="12"/>
      <c r="T145" s="341"/>
      <c r="U145" s="286"/>
      <c r="V145" s="276"/>
      <c r="W145" s="275"/>
    </row>
    <row r="146" spans="1:23" ht="12.75" customHeight="1">
      <c r="A146" s="730" t="s">
        <v>100</v>
      </c>
      <c r="B146" s="410" t="s">
        <v>101</v>
      </c>
      <c r="C146" s="741">
        <v>200000</v>
      </c>
      <c r="F146" s="12"/>
      <c r="G146" s="730" t="s">
        <v>100</v>
      </c>
      <c r="H146" s="410" t="s">
        <v>101</v>
      </c>
      <c r="I146" s="741">
        <v>0</v>
      </c>
      <c r="L146" s="12"/>
      <c r="M146" s="730" t="s">
        <v>100</v>
      </c>
      <c r="N146" s="410" t="s">
        <v>101</v>
      </c>
      <c r="O146" s="741">
        <v>0</v>
      </c>
      <c r="R146" s="12"/>
      <c r="S146" s="12"/>
      <c r="T146" s="26"/>
      <c r="U146" s="339"/>
    </row>
    <row r="147" spans="1:23" ht="12.75" customHeight="1">
      <c r="A147" s="730" t="s">
        <v>103</v>
      </c>
      <c r="B147" s="411">
        <f>Assumptions!$E$30</f>
        <v>6</v>
      </c>
      <c r="C147" s="739">
        <f>-B147*(E128/6)</f>
        <v>235757.00640000001</v>
      </c>
      <c r="F147" s="12"/>
      <c r="G147" s="730" t="s">
        <v>103</v>
      </c>
      <c r="H147" s="411">
        <f>Assumptions!$E$30</f>
        <v>6</v>
      </c>
      <c r="I147" s="739">
        <f>-H147*(K128/6)</f>
        <v>0</v>
      </c>
      <c r="L147" s="12"/>
      <c r="M147" s="730" t="s">
        <v>103</v>
      </c>
      <c r="N147" s="411">
        <f>Assumptions!$E$30</f>
        <v>6</v>
      </c>
      <c r="O147" s="739">
        <f>-N147*(Q128/6)</f>
        <v>0</v>
      </c>
      <c r="R147" s="12"/>
      <c r="S147" s="12"/>
      <c r="T147" s="343"/>
      <c r="U147" s="286"/>
    </row>
    <row r="148" spans="1:23" ht="12.75" customHeight="1">
      <c r="A148" s="730" t="s">
        <v>106</v>
      </c>
      <c r="B148" s="742">
        <f>Assumptions!$E$31</f>
        <v>30</v>
      </c>
      <c r="C148" s="739">
        <f>B148*SUM(C93,C97)</f>
        <v>736740.64500000002</v>
      </c>
      <c r="G148" s="730" t="s">
        <v>106</v>
      </c>
      <c r="H148" s="742">
        <f>Assumptions!$E$31</f>
        <v>30</v>
      </c>
      <c r="I148" s="739">
        <f>H148*SUM(I93,I97)</f>
        <v>0</v>
      </c>
      <c r="L148" s="12"/>
      <c r="M148" s="730" t="s">
        <v>106</v>
      </c>
      <c r="N148" s="742">
        <f>Assumptions!$E$31</f>
        <v>30</v>
      </c>
      <c r="O148" s="739">
        <f>N148*SUM(O93,O97)</f>
        <v>0</v>
      </c>
      <c r="R148" s="12"/>
      <c r="S148" s="12"/>
      <c r="T148" s="303"/>
      <c r="U148" s="286"/>
    </row>
    <row r="149" spans="1:23" ht="12.75" customHeight="1">
      <c r="A149" s="730" t="s">
        <v>403</v>
      </c>
      <c r="B149" s="563">
        <f>Assumptions!$E$32</f>
        <v>0.03</v>
      </c>
      <c r="C149" s="731">
        <f>B149*SUM(E93,E97)</f>
        <v>23575.700640000003</v>
      </c>
      <c r="G149" s="730" t="s">
        <v>403</v>
      </c>
      <c r="H149" s="563">
        <f>Assumptions!$E$32</f>
        <v>0.03</v>
      </c>
      <c r="I149" s="731">
        <f>H149*SUM(K93,K97)</f>
        <v>0</v>
      </c>
      <c r="M149" s="730" t="s">
        <v>403</v>
      </c>
      <c r="N149" s="563">
        <f>Assumptions!$E$32</f>
        <v>0.03</v>
      </c>
      <c r="O149" s="731">
        <f>N149*SUM(Q93,Q97)</f>
        <v>0</v>
      </c>
      <c r="S149" s="12"/>
      <c r="T149" s="344"/>
      <c r="U149" s="345"/>
    </row>
    <row r="150" spans="1:23" ht="12.75" customHeight="1">
      <c r="A150" s="730" t="s">
        <v>112</v>
      </c>
      <c r="B150" s="732">
        <f>Assumptions!$E$33</f>
        <v>1.4999999999999999E-2</v>
      </c>
      <c r="C150" s="733">
        <f>B150*SUM(C138:C149,C135,C152,C153)</f>
        <v>251394.52848060004</v>
      </c>
      <c r="D150" s="18"/>
      <c r="E150" s="18"/>
      <c r="G150" s="730" t="s">
        <v>112</v>
      </c>
      <c r="H150" s="732">
        <f>Assumptions!$E$33</f>
        <v>1.4999999999999999E-2</v>
      </c>
      <c r="I150" s="733">
        <f>H150*SUM(I138:I149,I135,I152,I153)</f>
        <v>0</v>
      </c>
      <c r="J150" s="18"/>
      <c r="K150" s="18"/>
      <c r="M150" s="730" t="s">
        <v>112</v>
      </c>
      <c r="N150" s="732">
        <f>Assumptions!$E$33</f>
        <v>1.4999999999999999E-2</v>
      </c>
      <c r="O150" s="733">
        <f>N150*SUM(O138:O149,O135,O152,O153)</f>
        <v>0</v>
      </c>
      <c r="P150" s="18"/>
      <c r="Q150" s="18"/>
      <c r="S150" s="12"/>
      <c r="T150" s="346"/>
      <c r="U150" s="339"/>
      <c r="V150" s="347"/>
      <c r="W150" s="347"/>
    </row>
    <row r="151" spans="1:23" ht="12.75" customHeight="1">
      <c r="A151" s="730" t="s">
        <v>165</v>
      </c>
      <c r="B151" s="732" t="s">
        <v>468</v>
      </c>
      <c r="C151" s="733">
        <f>IF(C133=0,0,-INDEX('Development Program'!$C$30:$L$37,8,MATCH($D$2,'Development Program'!$C$30:$L$30,0))/INDEX('Development Program'!$L$9:$M$18,MATCH($D$2,'Development Program'!$L$9:$L$18,0),2))</f>
        <v>-8166666.666666667</v>
      </c>
      <c r="D151" s="18"/>
      <c r="E151" s="18"/>
      <c r="G151" s="730" t="s">
        <v>165</v>
      </c>
      <c r="H151" s="732" t="s">
        <v>468</v>
      </c>
      <c r="I151" s="733">
        <f>IF(I133=0,0,-INDEX('Development Program'!$C$30:$L$37,8,MATCH($D$2,'Development Program'!$C$30:$L$30,0))/INDEX('Development Program'!$L$9:$M$18,MATCH($D$2,'Development Program'!$L$9:$L$18,0),2))</f>
        <v>0</v>
      </c>
      <c r="J151" s="18"/>
      <c r="K151" s="18"/>
      <c r="M151" s="730" t="s">
        <v>165</v>
      </c>
      <c r="N151" s="732" t="s">
        <v>468</v>
      </c>
      <c r="O151" s="733">
        <f>IF(O133=0,0,-INDEX('Development Program'!$C$30:$L$37,8,MATCH($D$2,'Development Program'!$C$30:$L$30,0))/INDEX('Development Program'!$L$9:$M$18,MATCH($D$2,'Development Program'!$L$9:$L$18,0),2))</f>
        <v>0</v>
      </c>
      <c r="P151" s="18"/>
      <c r="Q151" s="18"/>
      <c r="S151" s="12"/>
      <c r="T151" s="346"/>
      <c r="U151" s="339"/>
      <c r="V151" s="347"/>
      <c r="W151" s="347"/>
    </row>
    <row r="152" spans="1:23" ht="12.75" customHeight="1">
      <c r="A152" s="426" t="s">
        <v>38</v>
      </c>
      <c r="B152" s="732">
        <f>Assumptions!$L$5</f>
        <v>5.0000000000000001E-3</v>
      </c>
      <c r="C152" s="741">
        <v>260000</v>
      </c>
      <c r="D152" s="18">
        <f>C152/B$157</f>
        <v>4.9945844539163809E-3</v>
      </c>
      <c r="E152" s="18"/>
      <c r="G152" s="426" t="s">
        <v>38</v>
      </c>
      <c r="H152" s="732">
        <f>Assumptions!$L$5</f>
        <v>5.0000000000000001E-3</v>
      </c>
      <c r="I152" s="741">
        <v>0</v>
      </c>
      <c r="J152" s="18" t="e">
        <f>I152/H$157</f>
        <v>#DIV/0!</v>
      </c>
      <c r="K152" s="18"/>
      <c r="M152" s="426" t="s">
        <v>38</v>
      </c>
      <c r="N152" s="732">
        <f>Assumptions!$L$5</f>
        <v>5.0000000000000001E-3</v>
      </c>
      <c r="O152" s="741">
        <v>0</v>
      </c>
      <c r="P152" s="18" t="e">
        <f>O152/N$157</f>
        <v>#DIV/0!</v>
      </c>
      <c r="Q152" s="18"/>
      <c r="S152" s="12"/>
      <c r="T152" s="346"/>
      <c r="U152" s="339"/>
      <c r="V152" s="347"/>
      <c r="W152" s="347"/>
    </row>
    <row r="153" spans="1:23" ht="12.75" customHeight="1">
      <c r="A153" s="426" t="s">
        <v>407</v>
      </c>
      <c r="B153" s="732">
        <f>Assumptions!$L$4</f>
        <v>0.08</v>
      </c>
      <c r="C153" s="741">
        <v>4160000</v>
      </c>
      <c r="D153" s="18">
        <f>C153/B$157</f>
        <v>7.9913351262662094E-2</v>
      </c>
      <c r="E153" s="18"/>
      <c r="G153" s="426" t="s">
        <v>407</v>
      </c>
      <c r="H153" s="732">
        <f>Assumptions!$L$4</f>
        <v>0.08</v>
      </c>
      <c r="I153" s="741">
        <v>0</v>
      </c>
      <c r="J153" s="18" t="e">
        <f>I153/H$157</f>
        <v>#DIV/0!</v>
      </c>
      <c r="K153" s="18"/>
      <c r="M153" s="426" t="s">
        <v>407</v>
      </c>
      <c r="N153" s="732">
        <f>Assumptions!$L$4</f>
        <v>0.08</v>
      </c>
      <c r="O153" s="741">
        <v>0</v>
      </c>
      <c r="P153" s="18" t="e">
        <f>O153/N$157</f>
        <v>#DIV/0!</v>
      </c>
      <c r="Q153" s="18"/>
      <c r="S153" s="12"/>
      <c r="T153" s="346"/>
      <c r="U153" s="339"/>
      <c r="V153" s="347"/>
      <c r="W153" s="347"/>
    </row>
    <row r="154" spans="1:23" ht="12.75" customHeight="1">
      <c r="A154" s="743" t="s">
        <v>408</v>
      </c>
      <c r="B154" s="744"/>
      <c r="C154" s="745">
        <f>SUM(C133:C153)</f>
        <v>78873307.193853945</v>
      </c>
      <c r="D154" s="18"/>
      <c r="E154" s="18"/>
      <c r="G154" s="743" t="s">
        <v>408</v>
      </c>
      <c r="H154" s="744"/>
      <c r="I154" s="745">
        <f>SUM(I133:I153)</f>
        <v>0</v>
      </c>
      <c r="J154" s="18"/>
      <c r="K154" s="18"/>
      <c r="M154" s="743" t="s">
        <v>408</v>
      </c>
      <c r="N154" s="744"/>
      <c r="O154" s="745">
        <f>SUM(O133:O153)</f>
        <v>0</v>
      </c>
      <c r="P154" s="18"/>
      <c r="Q154" s="18"/>
    </row>
    <row r="155" spans="1:23" ht="12.75" customHeight="1" thickBot="1">
      <c r="A155" s="328"/>
      <c r="C155" s="167"/>
      <c r="D155" s="746"/>
      <c r="E155" s="18"/>
      <c r="G155" s="328"/>
      <c r="I155" s="167"/>
      <c r="J155" s="746"/>
      <c r="K155" s="18"/>
      <c r="M155" s="328"/>
      <c r="O155" s="167"/>
      <c r="P155" s="746"/>
      <c r="Q155" s="18"/>
    </row>
    <row r="156" spans="1:23" ht="12.75" customHeight="1">
      <c r="A156" s="1021" t="s">
        <v>23</v>
      </c>
      <c r="B156" s="1022"/>
      <c r="C156" s="167"/>
      <c r="D156" s="18"/>
      <c r="E156" s="18"/>
      <c r="G156" s="1021" t="s">
        <v>23</v>
      </c>
      <c r="H156" s="1022"/>
      <c r="I156" s="167"/>
      <c r="J156" s="18"/>
      <c r="K156" s="18"/>
      <c r="M156" s="1021" t="s">
        <v>23</v>
      </c>
      <c r="N156" s="1022"/>
      <c r="O156" s="167"/>
      <c r="P156" s="18"/>
      <c r="Q156" s="18"/>
    </row>
    <row r="157" spans="1:23" ht="12.75" customHeight="1">
      <c r="A157" s="840">
        <f>IFERROR(INDEX(Assumptions!$J$11:$L$23,MATCH('2-D Financial'!B$34,Assumptions!$J$11:$J$23,0),3),0)</f>
        <v>0.66</v>
      </c>
      <c r="B157" s="747">
        <f>C154*A157</f>
        <v>52056382.747943603</v>
      </c>
      <c r="C157" s="167"/>
      <c r="D157" s="18"/>
      <c r="E157" s="18"/>
      <c r="G157" s="840">
        <f>IFERROR(INDEX(Assumptions!$J$11:$L$23,MATCH('2-D Financial'!H$34,Assumptions!$J$11:$J$23,0),3),0)</f>
        <v>0</v>
      </c>
      <c r="H157" s="747">
        <f>I154*G157</f>
        <v>0</v>
      </c>
      <c r="I157" s="167"/>
      <c r="J157" s="18"/>
      <c r="K157" s="18"/>
      <c r="M157" s="840">
        <f>IFERROR(INDEX(Assumptions!$J$11:$L$23,MATCH('2-D Financial'!N$34,Assumptions!$J$11:$J$23,0),3),0)</f>
        <v>0</v>
      </c>
      <c r="N157" s="747">
        <f>O154*M157</f>
        <v>0</v>
      </c>
      <c r="O157" s="167"/>
      <c r="P157" s="18"/>
      <c r="Q157" s="18"/>
    </row>
    <row r="158" spans="1:23" ht="12.75" customHeight="1">
      <c r="A158" s="841">
        <f>1-A157</f>
        <v>0.33999999999999997</v>
      </c>
      <c r="B158" s="747">
        <f>C154*A158</f>
        <v>26816924.445910338</v>
      </c>
      <c r="C158" s="167"/>
      <c r="D158" s="18"/>
      <c r="E158" s="18"/>
      <c r="G158" s="841">
        <f>1-G157</f>
        <v>1</v>
      </c>
      <c r="H158" s="747">
        <f>I154*G158</f>
        <v>0</v>
      </c>
      <c r="I158" s="167"/>
      <c r="J158" s="18"/>
      <c r="K158" s="18"/>
      <c r="M158" s="841">
        <f>1-M157</f>
        <v>1</v>
      </c>
      <c r="N158" s="747">
        <f>O154*M158</f>
        <v>0</v>
      </c>
      <c r="O158" s="167"/>
      <c r="P158" s="18"/>
      <c r="Q158" s="18"/>
    </row>
    <row r="159" spans="1:23" ht="12.75" customHeight="1" thickBot="1">
      <c r="S159" s="12"/>
      <c r="T159" s="349"/>
      <c r="U159" s="339"/>
      <c r="V159" s="347"/>
      <c r="W159" s="347"/>
    </row>
    <row r="160" spans="1:23" ht="13.5" thickBot="1">
      <c r="A160" s="1021" t="s">
        <v>469</v>
      </c>
      <c r="B160" s="1022"/>
      <c r="D160" s="18"/>
      <c r="G160" s="1021" t="s">
        <v>469</v>
      </c>
      <c r="H160" s="1022"/>
      <c r="J160" s="18"/>
      <c r="M160" s="1021" t="s">
        <v>469</v>
      </c>
      <c r="N160" s="1022"/>
      <c r="P160" s="18"/>
      <c r="S160" s="328"/>
      <c r="U160" s="167"/>
    </row>
    <row r="161" spans="1:22" ht="13.5" thickBot="1">
      <c r="A161" s="565" t="s">
        <v>470</v>
      </c>
      <c r="B161" s="566"/>
      <c r="C161" s="12"/>
      <c r="D161" s="346"/>
      <c r="E161" s="339"/>
      <c r="G161" s="565" t="s">
        <v>470</v>
      </c>
      <c r="H161" s="566"/>
      <c r="I161" s="12"/>
      <c r="J161" s="12"/>
      <c r="K161" s="346"/>
      <c r="L161" s="339"/>
      <c r="M161" s="565" t="s">
        <v>470</v>
      </c>
      <c r="N161" s="566"/>
      <c r="O161" s="12"/>
      <c r="P161" s="12"/>
      <c r="Q161" s="346"/>
      <c r="R161" s="339"/>
      <c r="S161" s="274"/>
      <c r="T161" s="274"/>
      <c r="V161" s="347"/>
    </row>
    <row r="162" spans="1:22" ht="12.95">
      <c r="A162" s="358" t="s">
        <v>471</v>
      </c>
      <c r="B162" s="359">
        <f>E63+E80+E101</f>
        <v>56484600</v>
      </c>
      <c r="D162" s="281"/>
      <c r="G162" s="358" t="s">
        <v>471</v>
      </c>
      <c r="H162" s="359">
        <f>K63+K80+K101</f>
        <v>0</v>
      </c>
      <c r="J162" s="281"/>
      <c r="M162" s="358" t="s">
        <v>471</v>
      </c>
      <c r="N162" s="359">
        <f>Q63+Q80+Q101</f>
        <v>0</v>
      </c>
      <c r="P162" s="281"/>
      <c r="S162" s="137"/>
      <c r="T162" s="281"/>
      <c r="V162" s="129"/>
    </row>
    <row r="163" spans="1:22" ht="12.95">
      <c r="A163" s="479">
        <v>0.03</v>
      </c>
      <c r="B163" s="480">
        <f>-B162*A163</f>
        <v>-1694538</v>
      </c>
      <c r="D163" s="167"/>
      <c r="G163" s="479">
        <v>0.03</v>
      </c>
      <c r="H163" s="480">
        <f>-H162*G163</f>
        <v>0</v>
      </c>
      <c r="J163" s="167"/>
      <c r="M163" s="479">
        <v>0.03</v>
      </c>
      <c r="N163" s="480">
        <f>-N162*M163</f>
        <v>0</v>
      </c>
      <c r="P163" s="167"/>
      <c r="S163" s="277"/>
      <c r="T163" s="288"/>
      <c r="V163" s="281"/>
    </row>
    <row r="164" spans="1:22" ht="13.5" thickBot="1">
      <c r="A164" s="414" t="s">
        <v>472</v>
      </c>
      <c r="B164" s="481">
        <f>SUM(B162:B163)</f>
        <v>54790062</v>
      </c>
      <c r="G164" s="414" t="s">
        <v>472</v>
      </c>
      <c r="H164" s="481">
        <f>SUM(H162:H163)</f>
        <v>0</v>
      </c>
      <c r="M164" s="414" t="s">
        <v>472</v>
      </c>
      <c r="N164" s="481">
        <f>SUM(N162:N163)</f>
        <v>0</v>
      </c>
      <c r="S164" s="280"/>
      <c r="T164" s="350"/>
      <c r="V164" s="167"/>
    </row>
    <row r="165" spans="1:22" ht="13.5" thickBot="1">
      <c r="A165" s="1023" t="s">
        <v>473</v>
      </c>
      <c r="B165" s="1024"/>
      <c r="G165" s="1023" t="s">
        <v>473</v>
      </c>
      <c r="H165" s="1024"/>
      <c r="M165" s="1023" t="s">
        <v>473</v>
      </c>
      <c r="N165" s="1024"/>
      <c r="S165" s="277"/>
      <c r="T165" s="351"/>
    </row>
    <row r="166" spans="1:22" ht="12.95">
      <c r="A166" s="360" t="s">
        <v>474</v>
      </c>
      <c r="B166" s="567">
        <f>IFERROR(INDEX(Assumptions!$J$64:$L$76,MATCH('2-D Financial'!B$34,Assumptions!$J$64:$J$76,0),3),0)</f>
        <v>5.5E-2</v>
      </c>
      <c r="G166" s="360" t="s">
        <v>474</v>
      </c>
      <c r="H166" s="567">
        <f>IFERROR(INDEX(Assumptions!$J$64:$L$76,MATCH('2-D Financial'!H$34,Assumptions!$J$64:$J$76,0),3),0)</f>
        <v>0</v>
      </c>
      <c r="M166" s="360" t="s">
        <v>474</v>
      </c>
      <c r="N166" s="567">
        <f>IFERROR(INDEX(Assumptions!$J$64:$L$76,MATCH('2-D Financial'!N$34,Assumptions!$J$64:$J$76,0),3),0)</f>
        <v>0</v>
      </c>
      <c r="S166" s="277"/>
      <c r="T166" s="351"/>
    </row>
    <row r="167" spans="1:22" ht="12.95">
      <c r="A167" s="482" t="s">
        <v>475</v>
      </c>
      <c r="B167" s="483">
        <f>IFERROR(E$129/B$166,0)</f>
        <v>9716046.3243636396</v>
      </c>
      <c r="C167" s="279"/>
      <c r="G167" s="482" t="s">
        <v>475</v>
      </c>
      <c r="H167" s="483">
        <f>IFERROR(K$129/H$166,0)</f>
        <v>0</v>
      </c>
      <c r="I167" s="279"/>
      <c r="M167" s="482" t="s">
        <v>475</v>
      </c>
      <c r="N167" s="483">
        <f>IFERROR(Q$129/N$166,0)</f>
        <v>0</v>
      </c>
      <c r="O167" s="279"/>
      <c r="S167" s="277"/>
      <c r="T167" s="351"/>
    </row>
    <row r="168" spans="1:22" ht="12.95">
      <c r="A168" s="408" t="s">
        <v>476</v>
      </c>
      <c r="B168" s="484">
        <f>IFERROR(B166-1%,0)</f>
        <v>4.4999999999999998E-2</v>
      </c>
      <c r="C168" s="288"/>
      <c r="F168" s="18"/>
      <c r="G168" s="408" t="s">
        <v>476</v>
      </c>
      <c r="H168" s="484">
        <f>IFERROR(H166-1%,0)</f>
        <v>-0.01</v>
      </c>
      <c r="I168" s="288"/>
      <c r="L168" s="18"/>
      <c r="M168" s="408" t="s">
        <v>476</v>
      </c>
      <c r="N168" s="484">
        <f>IFERROR(N166-1%,0)</f>
        <v>-0.01</v>
      </c>
      <c r="O168" s="288"/>
      <c r="R168" s="18"/>
      <c r="S168" s="352"/>
      <c r="T168" s="281"/>
    </row>
    <row r="169" spans="1:22" ht="12.95">
      <c r="A169" s="408" t="s">
        <v>127</v>
      </c>
      <c r="B169" s="872">
        <f>IFERROR(INDEX(Assumptions!$J$48:$L$60,MATCH('2-D Financial'!B$34,Assumptions!$J$48:$J$60,0),3),0)</f>
        <v>0.05</v>
      </c>
      <c r="F169" s="18"/>
      <c r="G169" s="408" t="s">
        <v>127</v>
      </c>
      <c r="H169" s="872">
        <f>IFERROR(INDEX(Assumptions!$J$48:$L$60,MATCH('2-D Financial'!H$34,Assumptions!$J$48:$J$60,0),3),0)</f>
        <v>0</v>
      </c>
      <c r="L169" s="18"/>
      <c r="M169" s="408" t="s">
        <v>127</v>
      </c>
      <c r="N169" s="872">
        <f>IFERROR(INDEX(Assumptions!$J$48:$L$60,MATCH('2-D Financial'!N$34,Assumptions!$J$48:$J$60,0),3),0)</f>
        <v>0</v>
      </c>
      <c r="R169" s="18"/>
      <c r="S169" s="352"/>
      <c r="T169" s="281"/>
    </row>
    <row r="170" spans="1:22" ht="12.95">
      <c r="A170" s="408" t="s">
        <v>125</v>
      </c>
      <c r="B170" s="485">
        <f>Assumptions!$L$41</f>
        <v>5</v>
      </c>
      <c r="D170" s="279"/>
      <c r="F170" s="18"/>
      <c r="G170" s="408" t="s">
        <v>125</v>
      </c>
      <c r="H170" s="485">
        <f>Assumptions!$L$41</f>
        <v>5</v>
      </c>
      <c r="J170" s="279"/>
      <c r="L170" s="18"/>
      <c r="M170" s="408" t="s">
        <v>125</v>
      </c>
      <c r="N170" s="485">
        <f>Assumptions!$L$41</f>
        <v>5</v>
      </c>
      <c r="P170" s="279"/>
      <c r="R170" s="18"/>
      <c r="S170" s="352"/>
      <c r="T170" s="281"/>
    </row>
    <row r="171" spans="1:22" ht="12.95">
      <c r="A171" s="408" t="s">
        <v>386</v>
      </c>
      <c r="B171" s="419">
        <f>(E$129*(1+B$169)^(B$170+1))</f>
        <v>716123.72278646461</v>
      </c>
      <c r="D171" s="279"/>
      <c r="F171" s="18"/>
      <c r="G171" s="408" t="s">
        <v>386</v>
      </c>
      <c r="H171" s="419">
        <f>(K$129*(1+H$169)^(H$170+1))</f>
        <v>0</v>
      </c>
      <c r="J171" s="279"/>
      <c r="L171" s="18"/>
      <c r="M171" s="408" t="s">
        <v>386</v>
      </c>
      <c r="N171" s="419">
        <f>(Q$129*(1+N$169)^(N$170+1))</f>
        <v>0</v>
      </c>
      <c r="P171" s="279"/>
      <c r="R171" s="18"/>
      <c r="S171" s="352"/>
      <c r="T171" s="281"/>
    </row>
    <row r="172" spans="1:22" ht="12.95">
      <c r="A172" s="418" t="s">
        <v>477</v>
      </c>
      <c r="B172" s="483">
        <f>IFERROR(B171/B$168,0)</f>
        <v>15913860.50636588</v>
      </c>
      <c r="C172" s="357"/>
      <c r="D172" s="279"/>
      <c r="F172" s="18"/>
      <c r="G172" s="418" t="s">
        <v>477</v>
      </c>
      <c r="H172" s="483">
        <f>IFERROR(H171/H$168,0)</f>
        <v>0</v>
      </c>
      <c r="I172" s="357"/>
      <c r="J172" s="279"/>
      <c r="L172" s="18"/>
      <c r="M172" s="418" t="s">
        <v>477</v>
      </c>
      <c r="N172" s="483">
        <f>IFERROR(N171/N$168,0)</f>
        <v>0</v>
      </c>
      <c r="O172" s="357"/>
      <c r="P172" s="279"/>
      <c r="R172" s="18"/>
      <c r="S172" s="352"/>
      <c r="T172" s="281"/>
    </row>
    <row r="173" spans="1:22" ht="12.95">
      <c r="A173" s="412" t="s">
        <v>471</v>
      </c>
      <c r="B173" s="486">
        <f>B172</f>
        <v>15913860.50636588</v>
      </c>
      <c r="F173" s="18"/>
      <c r="G173" s="412" t="s">
        <v>471</v>
      </c>
      <c r="H173" s="486">
        <f>H172</f>
        <v>0</v>
      </c>
      <c r="L173" s="18"/>
      <c r="M173" s="412" t="s">
        <v>471</v>
      </c>
      <c r="N173" s="486">
        <f>N172</f>
        <v>0</v>
      </c>
      <c r="R173" s="18"/>
      <c r="S173" s="352"/>
      <c r="T173" s="281"/>
    </row>
    <row r="174" spans="1:22" ht="12.95">
      <c r="A174" s="479">
        <v>0.03</v>
      </c>
      <c r="B174" s="413">
        <f>-A$174*B$167</f>
        <v>-291481.3897309092</v>
      </c>
      <c r="D174" s="167"/>
      <c r="G174" s="479">
        <v>0.03</v>
      </c>
      <c r="H174" s="413">
        <f>-G$174*H$167</f>
        <v>0</v>
      </c>
      <c r="J174" s="167"/>
      <c r="M174" s="479">
        <v>0.03</v>
      </c>
      <c r="N174" s="413">
        <f>-M$174*N$167</f>
        <v>0</v>
      </c>
      <c r="P174" s="167"/>
      <c r="S174" s="353"/>
      <c r="T174" s="283"/>
    </row>
    <row r="175" spans="1:22" ht="13.5" thickBot="1">
      <c r="A175" s="414" t="s">
        <v>472</v>
      </c>
      <c r="B175" s="415">
        <f>SUM(B173:B174)</f>
        <v>15622379.116634971</v>
      </c>
      <c r="D175" s="283"/>
      <c r="E175" s="274"/>
      <c r="G175" s="414" t="s">
        <v>472</v>
      </c>
      <c r="H175" s="415">
        <f>SUM(H173:H174)</f>
        <v>0</v>
      </c>
      <c r="J175" s="283"/>
      <c r="K175" s="274"/>
      <c r="M175" s="414" t="s">
        <v>472</v>
      </c>
      <c r="N175" s="415">
        <f>SUM(N173:N174)</f>
        <v>0</v>
      </c>
      <c r="P175" s="283"/>
      <c r="Q175" s="274"/>
      <c r="S175" s="277"/>
      <c r="T175" s="288"/>
      <c r="V175" s="167"/>
    </row>
    <row r="176" spans="1:22" ht="13.5" thickBot="1">
      <c r="A176" s="1023" t="s">
        <v>478</v>
      </c>
      <c r="B176" s="566"/>
      <c r="D176" s="276"/>
      <c r="G176" s="1023" t="s">
        <v>478</v>
      </c>
      <c r="H176" s="566"/>
      <c r="J176" s="276"/>
      <c r="M176" s="1023" t="s">
        <v>478</v>
      </c>
      <c r="N176" s="566"/>
      <c r="P176" s="276"/>
      <c r="S176" s="280"/>
      <c r="T176" s="278"/>
    </row>
    <row r="177" spans="1:23" ht="12.95">
      <c r="A177" s="291" t="s">
        <v>479</v>
      </c>
      <c r="B177" s="292">
        <f>B162+B173</f>
        <v>72398460.50636588</v>
      </c>
      <c r="G177" s="291" t="s">
        <v>479</v>
      </c>
      <c r="H177" s="292">
        <f>H162+H173</f>
        <v>0</v>
      </c>
      <c r="M177" s="291" t="s">
        <v>479</v>
      </c>
      <c r="N177" s="292">
        <f>N162+N173</f>
        <v>0</v>
      </c>
      <c r="S177" s="277"/>
      <c r="T177" s="302"/>
      <c r="V177" s="276"/>
    </row>
    <row r="178" spans="1:23" ht="12.95">
      <c r="A178" s="418" t="s">
        <v>480</v>
      </c>
      <c r="B178" s="486">
        <f>SUM(B164,B175)</f>
        <v>70412441.116634965</v>
      </c>
      <c r="G178" s="418" t="s">
        <v>480</v>
      </c>
      <c r="H178" s="486">
        <f>SUM(H164,H175)</f>
        <v>0</v>
      </c>
      <c r="M178" s="418" t="s">
        <v>480</v>
      </c>
      <c r="N178" s="486">
        <f>SUM(N164,N175)</f>
        <v>0</v>
      </c>
      <c r="S178" s="277"/>
      <c r="T178" s="302"/>
      <c r="V178" s="276"/>
    </row>
    <row r="179" spans="1:23" ht="13.5" thickBot="1">
      <c r="A179" s="416" t="s">
        <v>481</v>
      </c>
      <c r="B179" s="417">
        <f>SUM(B178:B178)</f>
        <v>70412441.116634965</v>
      </c>
      <c r="G179" s="416" t="s">
        <v>481</v>
      </c>
      <c r="H179" s="417">
        <f>SUM(H178:H178)</f>
        <v>0</v>
      </c>
      <c r="M179" s="416" t="s">
        <v>481</v>
      </c>
      <c r="N179" s="417">
        <f>SUM(N178:N178)</f>
        <v>0</v>
      </c>
      <c r="S179" s="277"/>
      <c r="T179" s="302"/>
      <c r="V179" s="276"/>
    </row>
    <row r="180" spans="1:23" ht="23.25" customHeight="1">
      <c r="G180" s="284"/>
      <c r="H180" s="287"/>
      <c r="M180" s="284"/>
      <c r="N180" s="287"/>
      <c r="S180" s="283"/>
      <c r="T180" s="287"/>
      <c r="V180" s="276"/>
      <c r="W180" s="275"/>
    </row>
    <row r="181" spans="1:23" ht="23.25" customHeight="1">
      <c r="G181" s="355"/>
      <c r="H181" s="354"/>
      <c r="M181" s="355"/>
      <c r="N181" s="354"/>
      <c r="S181" s="284"/>
      <c r="T181" s="287"/>
    </row>
    <row r="182" spans="1:23" ht="23.25" customHeight="1">
      <c r="D182" s="277"/>
      <c r="G182" s="356"/>
      <c r="H182" s="288"/>
      <c r="J182" s="277"/>
      <c r="M182" s="356"/>
      <c r="N182" s="288"/>
      <c r="P182" s="277"/>
      <c r="S182" s="355"/>
      <c r="T182" s="354"/>
    </row>
    <row r="183" spans="1:23" ht="23.25" customHeight="1">
      <c r="S183" s="356"/>
      <c r="T183" s="288"/>
      <c r="V183" s="277"/>
    </row>
    <row r="184" spans="1:23" ht="23.25" customHeight="1">
      <c r="B184" s="130"/>
      <c r="D184" s="277"/>
    </row>
    <row r="185" spans="1:23" ht="23.25" customHeight="1">
      <c r="B185" s="130"/>
    </row>
  </sheetData>
  <mergeCells count="9">
    <mergeCell ref="A118:E118"/>
    <mergeCell ref="G118:K118"/>
    <mergeCell ref="M118:Q118"/>
    <mergeCell ref="S118:W118"/>
    <mergeCell ref="D2:E2"/>
    <mergeCell ref="B116:C116"/>
    <mergeCell ref="H116:I116"/>
    <mergeCell ref="N116:O116"/>
    <mergeCell ref="T116:U116"/>
  </mergeCells>
  <conditionalFormatting sqref="C49 C66">
    <cfRule type="expression" dxfId="97" priority="8">
      <formula>C55&gt;D48</formula>
    </cfRule>
  </conditionalFormatting>
  <conditionalFormatting sqref="C58 C75 C83">
    <cfRule type="expression" dxfId="96" priority="7">
      <formula>C63&gt;D57</formula>
    </cfRule>
  </conditionalFormatting>
  <conditionalFormatting sqref="I49 I66">
    <cfRule type="expression" dxfId="95" priority="4">
      <formula>I55&gt;J48</formula>
    </cfRule>
  </conditionalFormatting>
  <conditionalFormatting sqref="I58 I75 I83">
    <cfRule type="expression" dxfId="94" priority="3">
      <formula>I63&gt;J57</formula>
    </cfRule>
  </conditionalFormatting>
  <conditionalFormatting sqref="O49 O66">
    <cfRule type="expression" dxfId="93" priority="2">
      <formula>O55&gt;P48</formula>
    </cfRule>
  </conditionalFormatting>
  <conditionalFormatting sqref="O58 O75 O83">
    <cfRule type="expression" dxfId="92" priority="1">
      <formula>O63&gt;P57</formula>
    </cfRule>
  </conditionalFormatting>
  <conditionalFormatting sqref="U49 U66">
    <cfRule type="expression" dxfId="91" priority="6">
      <formula>U55&gt;V48</formula>
    </cfRule>
  </conditionalFormatting>
  <conditionalFormatting sqref="U58 U75 U83">
    <cfRule type="expression" dxfId="90" priority="5">
      <formula>U63&gt;V57</formula>
    </cfRule>
  </conditionalFormatting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1" manualBreakCount="1">
    <brk id="111" max="4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E56B1-91A6-4A1E-BF24-C8E98D0E516A}">
  <sheetPr>
    <tabColor theme="2" tint="-9.9978637043366805E-2"/>
  </sheetPr>
  <dimension ref="A1:CI185"/>
  <sheetViews>
    <sheetView zoomScale="85" zoomScaleNormal="85" zoomScalePageLayoutView="125" workbookViewId="0">
      <pane xSplit="1" ySplit="9" topLeftCell="R35" activePane="bottomRight" state="frozen"/>
      <selection pane="bottomRight" activeCell="Y43" sqref="Y43"/>
      <selection pane="bottomLeft" activeCell="B57" sqref="B57"/>
      <selection pane="topRight" activeCell="B57" sqref="B57"/>
    </sheetView>
  </sheetViews>
  <sheetFormatPr defaultColWidth="8.85546875" defaultRowHeight="14.1"/>
  <cols>
    <col min="1" max="1" width="44" style="207" bestFit="1" customWidth="1"/>
    <col min="2" max="2" width="42.5703125" style="208" customWidth="1"/>
    <col min="3" max="4" width="17.85546875" style="207" hidden="1" customWidth="1"/>
    <col min="5" max="43" width="17.85546875" style="207" customWidth="1"/>
    <col min="44" max="44" width="17.85546875" style="208" customWidth="1"/>
    <col min="45" max="58" width="17.5703125" style="207" customWidth="1"/>
    <col min="59" max="59" width="20.42578125" style="207" customWidth="1"/>
    <col min="60" max="84" width="17" style="207" customWidth="1"/>
    <col min="85" max="85" width="16.42578125" style="207" customWidth="1"/>
    <col min="86" max="86" width="15" style="209" customWidth="1"/>
    <col min="87" max="87" width="17.85546875" style="209" bestFit="1" customWidth="1"/>
    <col min="88" max="88" width="9.42578125" style="207" bestFit="1" customWidth="1"/>
    <col min="89" max="89" width="11.85546875" style="207" bestFit="1" customWidth="1"/>
    <col min="90" max="91" width="9.42578125" style="207" bestFit="1" customWidth="1"/>
    <col min="92" max="16384" width="8.85546875" style="207"/>
  </cols>
  <sheetData>
    <row r="1" spans="1:87" ht="20.25" customHeight="1"/>
    <row r="2" spans="1:87" s="488" customFormat="1" ht="20.25" customHeight="1">
      <c r="A2" s="1081" t="str">
        <f>'2-D Financial'!D2</f>
        <v>2-D</v>
      </c>
      <c r="B2" s="775"/>
      <c r="C2" s="1092"/>
      <c r="D2" s="1092"/>
      <c r="E2" s="1082" t="str">
        <f>'Development Program'!C65</f>
        <v>Pre-Development</v>
      </c>
      <c r="F2" s="1083"/>
      <c r="G2" s="1083"/>
      <c r="H2" s="1082" t="str">
        <f>'Development Program'!F65</f>
        <v>Construction</v>
      </c>
      <c r="I2" s="1083"/>
      <c r="J2" s="1083"/>
      <c r="K2" s="1082" t="str">
        <f>'Development Program'!I65</f>
        <v>Close-Out</v>
      </c>
      <c r="L2" s="1083"/>
      <c r="M2" s="1084"/>
      <c r="N2" s="420" t="s">
        <v>202</v>
      </c>
      <c r="O2" s="1092"/>
      <c r="P2" s="1092"/>
      <c r="Q2" s="1092"/>
      <c r="R2" s="1092"/>
      <c r="S2" s="1092"/>
      <c r="T2" s="1092"/>
      <c r="U2" s="1092"/>
      <c r="V2" s="1092"/>
      <c r="W2" s="1092"/>
      <c r="X2" s="1092"/>
      <c r="Y2" s="1092"/>
      <c r="Z2" s="1092"/>
      <c r="AA2" s="1092"/>
      <c r="AB2" s="1092"/>
      <c r="AC2" s="1092"/>
      <c r="AD2" s="1092"/>
      <c r="AE2" s="1092"/>
      <c r="AF2" s="1092"/>
      <c r="AG2" s="1092"/>
      <c r="AH2" s="1092"/>
      <c r="AI2" s="1092"/>
      <c r="AJ2" s="1092"/>
      <c r="AK2" s="1092"/>
      <c r="AL2" s="1092"/>
      <c r="AM2" s="1092"/>
      <c r="AN2" s="1092"/>
      <c r="AO2" s="1092"/>
      <c r="AP2" s="1092"/>
      <c r="AQ2" s="1092"/>
      <c r="AR2" s="775"/>
      <c r="AS2" s="1092"/>
      <c r="AT2" s="1092"/>
      <c r="AU2" s="1092"/>
      <c r="AV2" s="1092"/>
      <c r="AW2" s="1092"/>
      <c r="AX2" s="1092"/>
      <c r="AY2" s="1092"/>
      <c r="AZ2" s="1092"/>
      <c r="BA2" s="1092"/>
      <c r="BB2" s="1092"/>
      <c r="BC2" s="1092"/>
      <c r="BD2" s="1092"/>
      <c r="BE2" s="1092"/>
      <c r="BF2" s="1092"/>
      <c r="BG2" s="1092"/>
      <c r="BH2" s="1092"/>
      <c r="BI2" s="1092"/>
      <c r="BJ2" s="1092"/>
      <c r="BK2" s="1092"/>
      <c r="BL2" s="1092"/>
      <c r="BM2" s="1092"/>
      <c r="BN2" s="1092"/>
      <c r="BO2" s="1092"/>
      <c r="BP2" s="1092"/>
      <c r="BQ2" s="1092"/>
      <c r="BR2" s="1092"/>
      <c r="BS2" s="1092"/>
      <c r="BT2" s="1092"/>
      <c r="BU2" s="1092"/>
      <c r="BV2" s="1092"/>
      <c r="BW2" s="1092"/>
      <c r="BX2" s="1092"/>
      <c r="BY2" s="1092"/>
      <c r="BZ2" s="1092"/>
      <c r="CA2" s="1092"/>
      <c r="CB2" s="1092"/>
      <c r="CC2" s="1092"/>
      <c r="CD2" s="1092"/>
      <c r="CE2" s="1092"/>
      <c r="CF2" s="1092"/>
      <c r="CG2" s="1092"/>
      <c r="CH2" s="1093"/>
      <c r="CI2" s="1093"/>
    </row>
    <row r="3" spans="1:87" ht="20.25" customHeight="1">
      <c r="A3" s="1081"/>
      <c r="B3" s="248" t="s">
        <v>482</v>
      </c>
      <c r="E3" s="765" t="str">
        <f>'Development Program'!C66</f>
        <v>PD Start</v>
      </c>
      <c r="F3" s="1094" t="str">
        <f>'Development Program'!D66</f>
        <v>PD End</v>
      </c>
      <c r="G3" s="766" t="str">
        <f>'Development Program'!E66</f>
        <v>PD Duration</v>
      </c>
      <c r="H3" s="765" t="str">
        <f>'Development Program'!F66</f>
        <v>CS Start</v>
      </c>
      <c r="I3" s="1094" t="str">
        <f>'Development Program'!G66</f>
        <v>CS End</v>
      </c>
      <c r="J3" s="766" t="str">
        <f>'Development Program'!H66</f>
        <v>CS Duration</v>
      </c>
      <c r="K3" s="1025" t="str">
        <f>'Development Program'!I66</f>
        <v>CO Start</v>
      </c>
      <c r="L3" s="767" t="str">
        <f>'Development Program'!J66</f>
        <v>CO End</v>
      </c>
      <c r="M3" s="266" t="str">
        <f>'Development Program'!K66</f>
        <v>CO Duration</v>
      </c>
      <c r="N3" s="262"/>
    </row>
    <row r="4" spans="1:87" s="768" customFormat="1" ht="20.25" customHeight="1">
      <c r="A4" s="1081"/>
      <c r="B4" s="776" t="s">
        <v>483</v>
      </c>
      <c r="E4" s="263">
        <f>INDEX('Development Program'!$B$66:$K$76,MATCH($A$2,'Development Program'!$B$66:$B$76,0),MATCH(E3,'Development Program'!$B$66:$K$66,0))</f>
        <v>46753</v>
      </c>
      <c r="F4" s="264">
        <f>INDEX('Development Program'!$B$66:$K$76,MATCH($A$2,'Development Program'!$B$66:$B$76,0),MATCH(F3,'Development Program'!$B$66:$K$66,0))</f>
        <v>47208</v>
      </c>
      <c r="G4" s="265">
        <f>INDEX('Development Program'!$B$66:$K$76,MATCH($A$2,'Development Program'!$B$66:$B$76,0),MATCH(G3,'Development Program'!$B$66:$K$66,0))</f>
        <v>15</v>
      </c>
      <c r="H4" s="263">
        <f>INDEX('Development Program'!$B$66:$K$76,MATCH($A$2,'Development Program'!$B$66:$B$76,0),MATCH(H3,'Development Program'!$B$66:$K$66,0))</f>
        <v>47209</v>
      </c>
      <c r="I4" s="264">
        <f>INDEX('Development Program'!$B$66:$K$76,MATCH($A$2,'Development Program'!$B$66:$B$76,0),MATCH(I3,'Development Program'!$B$66:$K$66,0))</f>
        <v>48029</v>
      </c>
      <c r="J4" s="265">
        <f>INDEX('Development Program'!$B$66:$K$76,MATCH($A$2,'Development Program'!$B$66:$B$76,0),MATCH(J3,'Development Program'!$B$66:$K$66,0))</f>
        <v>27</v>
      </c>
      <c r="K4" s="263">
        <f>INDEX('Development Program'!$B$66:$K$76,MATCH($A$2,'Development Program'!$B$66:$B$76,0),MATCH(K3,'Development Program'!$B$66:$K$66,0))</f>
        <v>48030</v>
      </c>
      <c r="L4" s="264">
        <f>INDEX('Development Program'!$B$66:$K$76,MATCH($A$2,'Development Program'!$B$66:$B$76,0),MATCH(L3,'Development Program'!$B$66:$K$66,0))</f>
        <v>48213</v>
      </c>
      <c r="M4" s="265">
        <f>INDEX('Development Program'!$B$66:$K$76,MATCH($A$2,'Development Program'!$B$66:$B$76,0),MATCH(M3,'Development Program'!$B$66:$K$66,0))</f>
        <v>6</v>
      </c>
      <c r="N4" s="265">
        <f>INDEX('Development Program'!$B$66:$L$76,MATCH($A$2,'Development Program'!$B$66:$B$76,0),MATCH(N2,'Development Program'!$B$65:$L$65,0))</f>
        <v>48</v>
      </c>
      <c r="O4" s="769"/>
      <c r="U4" s="770"/>
      <c r="AR4" s="771"/>
      <c r="AS4" s="772"/>
      <c r="AT4" s="772"/>
      <c r="AU4" s="772"/>
      <c r="BA4" s="1085" t="s">
        <v>484</v>
      </c>
      <c r="BB4" s="1085"/>
      <c r="BC4" s="1085"/>
      <c r="BD4" s="1085"/>
      <c r="BE4" s="1085"/>
      <c r="BF4" s="773"/>
      <c r="BG4" s="1080" t="s">
        <v>485</v>
      </c>
      <c r="BH4" s="1080"/>
      <c r="BI4" s="1080"/>
      <c r="CH4" s="774"/>
      <c r="CI4" s="774"/>
    </row>
    <row r="5" spans="1:87" s="210" customFormat="1" ht="20.25" customHeight="1">
      <c r="A5" s="261"/>
      <c r="B5" s="249"/>
      <c r="C5" s="258" t="str">
        <f>IFERROR(INDEX($E$2:$N$4,2,MATCH(#REF!+1,$E$4:$N$4,0)),"")</f>
        <v/>
      </c>
      <c r="D5" s="258" t="str">
        <f>IFERROR(INDEX($E$2:$N$4,2,MATCH(C9+1,$E$4:$N$4,0)),"")</f>
        <v/>
      </c>
      <c r="E5" s="258"/>
      <c r="F5" s="258" t="str">
        <f t="shared" ref="F5:X5" si="0">IFERROR(INDEX($E$2:$N$4,2,MATCH(E9+1,$E$4:$N$4,0)),"")</f>
        <v>PD Start</v>
      </c>
      <c r="G5" s="258" t="str">
        <f t="shared" si="0"/>
        <v/>
      </c>
      <c r="H5" s="258" t="str">
        <f t="shared" si="0"/>
        <v/>
      </c>
      <c r="I5" s="258" t="str">
        <f t="shared" si="0"/>
        <v/>
      </c>
      <c r="J5" s="258" t="str">
        <f t="shared" si="0"/>
        <v/>
      </c>
      <c r="K5" s="258" t="str">
        <f t="shared" si="0"/>
        <v>CS Start</v>
      </c>
      <c r="L5" s="258" t="str">
        <f t="shared" si="0"/>
        <v/>
      </c>
      <c r="M5" s="258" t="str">
        <f t="shared" si="0"/>
        <v/>
      </c>
      <c r="N5" s="258" t="str">
        <f t="shared" si="0"/>
        <v/>
      </c>
      <c r="O5" s="258" t="str">
        <f t="shared" si="0"/>
        <v/>
      </c>
      <c r="P5" s="258" t="str">
        <f t="shared" si="0"/>
        <v/>
      </c>
      <c r="Q5" s="258" t="str">
        <f t="shared" si="0"/>
        <v/>
      </c>
      <c r="R5" s="258" t="str">
        <f t="shared" si="0"/>
        <v/>
      </c>
      <c r="S5" s="258" t="str">
        <f t="shared" si="0"/>
        <v/>
      </c>
      <c r="T5" s="258" t="str">
        <f t="shared" si="0"/>
        <v>CO Start</v>
      </c>
      <c r="U5" s="258" t="str">
        <f t="shared" si="0"/>
        <v/>
      </c>
      <c r="V5" s="258" t="str">
        <f t="shared" si="0"/>
        <v/>
      </c>
      <c r="W5" s="258" t="str">
        <f t="shared" si="0"/>
        <v/>
      </c>
      <c r="X5" s="258" t="str">
        <f t="shared" si="0"/>
        <v/>
      </c>
      <c r="Y5" s="246">
        <v>1</v>
      </c>
      <c r="Z5" s="246">
        <v>1</v>
      </c>
      <c r="AA5" s="246">
        <v>1</v>
      </c>
      <c r="AB5" s="246">
        <v>1</v>
      </c>
      <c r="AC5" s="246">
        <v>2</v>
      </c>
      <c r="AD5" s="246">
        <v>2</v>
      </c>
      <c r="AE5" s="246">
        <v>2</v>
      </c>
      <c r="AF5" s="246">
        <v>2</v>
      </c>
      <c r="AG5" s="246">
        <v>3</v>
      </c>
      <c r="AH5" s="246">
        <v>3</v>
      </c>
      <c r="AI5" s="246">
        <v>3</v>
      </c>
      <c r="AJ5" s="246">
        <v>3</v>
      </c>
      <c r="AK5" s="246">
        <v>4</v>
      </c>
      <c r="AL5" s="246">
        <v>4</v>
      </c>
      <c r="AM5" s="246">
        <v>4</v>
      </c>
      <c r="AN5" s="246">
        <v>4</v>
      </c>
      <c r="AO5" s="246">
        <v>5</v>
      </c>
      <c r="AP5" s="246">
        <v>5</v>
      </c>
      <c r="AQ5" s="246">
        <v>5</v>
      </c>
      <c r="AR5" s="247">
        <v>5</v>
      </c>
      <c r="AS5" s="211"/>
      <c r="AT5" s="211"/>
      <c r="AU5" s="211"/>
      <c r="BA5" s="212"/>
      <c r="BB5" s="212"/>
      <c r="BC5" s="212"/>
      <c r="BD5" s="212"/>
      <c r="BE5" s="212"/>
      <c r="BF5" s="212"/>
      <c r="BG5" s="213"/>
      <c r="BH5" s="213"/>
      <c r="BI5" s="213"/>
      <c r="CH5" s="214"/>
      <c r="CI5" s="214"/>
    </row>
    <row r="6" spans="1:87" s="210" customFormat="1" ht="20.25" customHeight="1">
      <c r="A6" s="261"/>
      <c r="B6" s="249"/>
      <c r="C6" s="258"/>
      <c r="D6" s="258"/>
      <c r="E6" s="258" t="str">
        <f t="shared" ref="E6:X6" si="1">IFERROR(INDEX($E$2:$N$4,2,MATCH(E9,$E$4:$N$4,0)),"")</f>
        <v/>
      </c>
      <c r="F6" s="258" t="str">
        <f t="shared" si="1"/>
        <v/>
      </c>
      <c r="G6" s="258" t="str">
        <f t="shared" si="1"/>
        <v/>
      </c>
      <c r="H6" s="258" t="str">
        <f t="shared" si="1"/>
        <v/>
      </c>
      <c r="I6" s="258" t="str">
        <f t="shared" si="1"/>
        <v/>
      </c>
      <c r="J6" s="258" t="str">
        <f t="shared" si="1"/>
        <v>PD End</v>
      </c>
      <c r="K6" s="258" t="str">
        <f t="shared" si="1"/>
        <v/>
      </c>
      <c r="L6" s="258" t="str">
        <f t="shared" si="1"/>
        <v/>
      </c>
      <c r="M6" s="258" t="str">
        <f t="shared" si="1"/>
        <v/>
      </c>
      <c r="N6" s="258" t="str">
        <f t="shared" si="1"/>
        <v/>
      </c>
      <c r="O6" s="258" t="str">
        <f t="shared" si="1"/>
        <v/>
      </c>
      <c r="P6" s="258" t="str">
        <f t="shared" si="1"/>
        <v/>
      </c>
      <c r="Q6" s="258" t="str">
        <f t="shared" si="1"/>
        <v/>
      </c>
      <c r="R6" s="258" t="str">
        <f t="shared" si="1"/>
        <v/>
      </c>
      <c r="S6" s="258" t="str">
        <f t="shared" si="1"/>
        <v>CS End</v>
      </c>
      <c r="T6" s="258" t="str">
        <f t="shared" si="1"/>
        <v/>
      </c>
      <c r="U6" s="258" t="str">
        <f t="shared" si="1"/>
        <v>CO End</v>
      </c>
      <c r="V6" s="258" t="str">
        <f t="shared" si="1"/>
        <v/>
      </c>
      <c r="W6" s="258" t="str">
        <f t="shared" si="1"/>
        <v/>
      </c>
      <c r="X6" s="258" t="str">
        <f t="shared" si="1"/>
        <v/>
      </c>
      <c r="Y6" s="828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247"/>
      <c r="AS6" s="211"/>
      <c r="AT6" s="211"/>
      <c r="AU6" s="211"/>
      <c r="BA6" s="212"/>
      <c r="BB6" s="212"/>
      <c r="BC6" s="212"/>
      <c r="BD6" s="212"/>
      <c r="BE6" s="212"/>
      <c r="BF6" s="212"/>
      <c r="BG6" s="213"/>
      <c r="BH6" s="213"/>
      <c r="BI6" s="213"/>
      <c r="CH6" s="214"/>
      <c r="CI6" s="214"/>
    </row>
    <row r="7" spans="1:87" s="210" customFormat="1" ht="20.25" customHeight="1">
      <c r="A7" s="261"/>
      <c r="B7" s="249" t="s">
        <v>486</v>
      </c>
      <c r="C7" s="258"/>
      <c r="D7" s="258"/>
      <c r="E7" s="258">
        <v>0</v>
      </c>
      <c r="F7" s="258">
        <f t="shared" ref="F7:X7" si="2">IF(OR($H$4&gt;F9,$K$4&lt;F9),0,E7+1)</f>
        <v>0</v>
      </c>
      <c r="G7" s="258">
        <f t="shared" si="2"/>
        <v>0</v>
      </c>
      <c r="H7" s="258">
        <f t="shared" si="2"/>
        <v>0</v>
      </c>
      <c r="I7" s="258">
        <f t="shared" si="2"/>
        <v>0</v>
      </c>
      <c r="J7" s="258">
        <f t="shared" si="2"/>
        <v>0</v>
      </c>
      <c r="K7" s="258">
        <f t="shared" si="2"/>
        <v>1</v>
      </c>
      <c r="L7" s="258">
        <f t="shared" si="2"/>
        <v>2</v>
      </c>
      <c r="M7" s="258">
        <f t="shared" si="2"/>
        <v>3</v>
      </c>
      <c r="N7" s="258">
        <f t="shared" si="2"/>
        <v>4</v>
      </c>
      <c r="O7" s="258">
        <f t="shared" si="2"/>
        <v>5</v>
      </c>
      <c r="P7" s="258">
        <f t="shared" si="2"/>
        <v>6</v>
      </c>
      <c r="Q7" s="258">
        <f t="shared" si="2"/>
        <v>7</v>
      </c>
      <c r="R7" s="258">
        <f t="shared" si="2"/>
        <v>8</v>
      </c>
      <c r="S7" s="258">
        <f t="shared" si="2"/>
        <v>9</v>
      </c>
      <c r="T7" s="258">
        <f t="shared" si="2"/>
        <v>0</v>
      </c>
      <c r="U7" s="258">
        <f t="shared" si="2"/>
        <v>0</v>
      </c>
      <c r="V7" s="258">
        <f t="shared" si="2"/>
        <v>0</v>
      </c>
      <c r="W7" s="258">
        <f t="shared" si="2"/>
        <v>0</v>
      </c>
      <c r="X7" s="258">
        <f t="shared" si="2"/>
        <v>0</v>
      </c>
      <c r="Y7" s="829">
        <v>1</v>
      </c>
      <c r="Z7" s="829">
        <v>2</v>
      </c>
      <c r="AA7" s="829">
        <v>3</v>
      </c>
      <c r="AB7" s="829">
        <v>4</v>
      </c>
      <c r="AC7" s="829">
        <v>1</v>
      </c>
      <c r="AD7" s="829">
        <v>2</v>
      </c>
      <c r="AE7" s="829">
        <v>3</v>
      </c>
      <c r="AF7" s="829">
        <v>4</v>
      </c>
      <c r="AG7" s="829">
        <v>1</v>
      </c>
      <c r="AH7" s="829">
        <v>2</v>
      </c>
      <c r="AI7" s="829">
        <v>3</v>
      </c>
      <c r="AJ7" s="829">
        <v>4</v>
      </c>
      <c r="AK7" s="829">
        <v>1</v>
      </c>
      <c r="AL7" s="829">
        <v>2</v>
      </c>
      <c r="AM7" s="829">
        <v>3</v>
      </c>
      <c r="AN7" s="829">
        <v>4</v>
      </c>
      <c r="AO7" s="829">
        <v>1</v>
      </c>
      <c r="AP7" s="829">
        <v>2</v>
      </c>
      <c r="AQ7" s="829">
        <v>3</v>
      </c>
      <c r="AR7" s="830">
        <v>4</v>
      </c>
      <c r="AS7" s="211"/>
      <c r="AT7" s="211"/>
      <c r="AU7" s="211"/>
      <c r="BA7" s="212"/>
      <c r="BB7" s="212"/>
      <c r="BC7" s="212"/>
      <c r="BD7" s="212"/>
      <c r="BE7" s="212"/>
      <c r="BF7" s="212"/>
      <c r="BG7" s="213"/>
      <c r="BH7" s="213"/>
      <c r="BI7" s="213"/>
      <c r="CH7" s="214"/>
      <c r="CI7" s="214"/>
    </row>
    <row r="8" spans="1:87" s="210" customFormat="1" ht="20.25" customHeight="1">
      <c r="A8" s="261"/>
      <c r="B8" s="249" t="s">
        <v>487</v>
      </c>
      <c r="C8" s="258"/>
      <c r="D8" s="258"/>
      <c r="E8" s="258">
        <v>0</v>
      </c>
      <c r="F8" s="258">
        <f>IF(OR(G6=$I$3,F6=$I$3,F5=$K$3),1,0)</f>
        <v>0</v>
      </c>
      <c r="G8" s="258">
        <f t="shared" ref="G8:W8" si="3">IF(OR(H6=$I$3,G6=$I$3,G5=$K$3),1,0)</f>
        <v>0</v>
      </c>
      <c r="H8" s="258">
        <f t="shared" si="3"/>
        <v>0</v>
      </c>
      <c r="I8" s="258">
        <f t="shared" si="3"/>
        <v>0</v>
      </c>
      <c r="J8" s="258">
        <f t="shared" si="3"/>
        <v>0</v>
      </c>
      <c r="K8" s="258">
        <f t="shared" si="3"/>
        <v>0</v>
      </c>
      <c r="L8" s="258">
        <f t="shared" si="3"/>
        <v>0</v>
      </c>
      <c r="M8" s="258">
        <f t="shared" si="3"/>
        <v>0</v>
      </c>
      <c r="N8" s="258">
        <f t="shared" si="3"/>
        <v>0</v>
      </c>
      <c r="O8" s="258">
        <f t="shared" si="3"/>
        <v>0</v>
      </c>
      <c r="P8" s="258">
        <f t="shared" si="3"/>
        <v>0</v>
      </c>
      <c r="Q8" s="258">
        <f t="shared" si="3"/>
        <v>0</v>
      </c>
      <c r="R8" s="258">
        <f t="shared" si="3"/>
        <v>1</v>
      </c>
      <c r="S8" s="258">
        <f t="shared" si="3"/>
        <v>1</v>
      </c>
      <c r="T8" s="258">
        <f t="shared" si="3"/>
        <v>1</v>
      </c>
      <c r="U8" s="258">
        <f t="shared" si="3"/>
        <v>0</v>
      </c>
      <c r="V8" s="258">
        <f t="shared" si="3"/>
        <v>0</v>
      </c>
      <c r="W8" s="258">
        <f t="shared" si="3"/>
        <v>0</v>
      </c>
      <c r="X8" s="258">
        <f>IF(OR(Y6=$I$3,X6=$I$3,X5=$K$3),1,0)</f>
        <v>0</v>
      </c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7"/>
      <c r="AS8" s="211"/>
      <c r="AT8" s="211"/>
      <c r="AU8" s="211"/>
      <c r="BA8" s="212"/>
      <c r="BB8" s="212"/>
      <c r="BC8" s="212"/>
      <c r="BD8" s="212"/>
      <c r="BE8" s="212"/>
      <c r="BF8" s="212"/>
      <c r="BG8" s="213"/>
      <c r="BH8" s="213"/>
      <c r="BI8" s="213"/>
      <c r="CH8" s="214"/>
      <c r="CI8" s="214"/>
    </row>
    <row r="9" spans="1:87" s="215" customFormat="1" ht="20.25" customHeight="1">
      <c r="A9" s="261"/>
      <c r="B9" s="250" t="s">
        <v>373</v>
      </c>
      <c r="C9" s="218" t="s">
        <v>488</v>
      </c>
      <c r="D9" s="218" t="s">
        <v>489</v>
      </c>
      <c r="E9" s="216">
        <f>E4-1</f>
        <v>46752</v>
      </c>
      <c r="F9" s="216">
        <f>EOMONTH(E9,3)</f>
        <v>46843</v>
      </c>
      <c r="G9" s="216">
        <f t="shared" ref="G9:V9" si="4">EOMONTH(F9,3)</f>
        <v>46934</v>
      </c>
      <c r="H9" s="216">
        <f t="shared" si="4"/>
        <v>47026</v>
      </c>
      <c r="I9" s="216">
        <f t="shared" si="4"/>
        <v>47118</v>
      </c>
      <c r="J9" s="216">
        <f t="shared" si="4"/>
        <v>47208</v>
      </c>
      <c r="K9" s="216">
        <f t="shared" si="4"/>
        <v>47299</v>
      </c>
      <c r="L9" s="216">
        <f t="shared" si="4"/>
        <v>47391</v>
      </c>
      <c r="M9" s="216">
        <f t="shared" si="4"/>
        <v>47483</v>
      </c>
      <c r="N9" s="216">
        <f t="shared" si="4"/>
        <v>47573</v>
      </c>
      <c r="O9" s="216">
        <f t="shared" si="4"/>
        <v>47664</v>
      </c>
      <c r="P9" s="216">
        <f t="shared" si="4"/>
        <v>47756</v>
      </c>
      <c r="Q9" s="216">
        <f t="shared" si="4"/>
        <v>47848</v>
      </c>
      <c r="R9" s="216">
        <f t="shared" si="4"/>
        <v>47938</v>
      </c>
      <c r="S9" s="216">
        <f t="shared" si="4"/>
        <v>48029</v>
      </c>
      <c r="T9" s="216">
        <f t="shared" si="4"/>
        <v>48121</v>
      </c>
      <c r="U9" s="216">
        <f t="shared" si="4"/>
        <v>48213</v>
      </c>
      <c r="V9" s="216">
        <f t="shared" si="4"/>
        <v>48304</v>
      </c>
      <c r="W9" s="216">
        <f>EOMONTH(V9,3)</f>
        <v>48395</v>
      </c>
      <c r="X9" s="216">
        <f>EOMONTH(W9,3)</f>
        <v>48487</v>
      </c>
      <c r="Y9" s="216">
        <f>EOMONTH(X9,3)</f>
        <v>48579</v>
      </c>
      <c r="Z9" s="216">
        <f t="shared" ref="Z9:AR9" si="5">EOMONTH(Y9,3)</f>
        <v>48669</v>
      </c>
      <c r="AA9" s="216">
        <f t="shared" si="5"/>
        <v>48760</v>
      </c>
      <c r="AB9" s="216">
        <f t="shared" si="5"/>
        <v>48852</v>
      </c>
      <c r="AC9" s="216">
        <f t="shared" si="5"/>
        <v>48944</v>
      </c>
      <c r="AD9" s="216">
        <f t="shared" si="5"/>
        <v>49034</v>
      </c>
      <c r="AE9" s="216">
        <f t="shared" si="5"/>
        <v>49125</v>
      </c>
      <c r="AF9" s="216">
        <f t="shared" si="5"/>
        <v>49217</v>
      </c>
      <c r="AG9" s="216">
        <f t="shared" si="5"/>
        <v>49309</v>
      </c>
      <c r="AH9" s="216">
        <f t="shared" si="5"/>
        <v>49399</v>
      </c>
      <c r="AI9" s="216">
        <f t="shared" si="5"/>
        <v>49490</v>
      </c>
      <c r="AJ9" s="216">
        <f t="shared" si="5"/>
        <v>49582</v>
      </c>
      <c r="AK9" s="216">
        <f t="shared" si="5"/>
        <v>49674</v>
      </c>
      <c r="AL9" s="216">
        <f t="shared" si="5"/>
        <v>49765</v>
      </c>
      <c r="AM9" s="216">
        <f t="shared" si="5"/>
        <v>49856</v>
      </c>
      <c r="AN9" s="216">
        <f t="shared" si="5"/>
        <v>49948</v>
      </c>
      <c r="AO9" s="216">
        <f t="shared" si="5"/>
        <v>50040</v>
      </c>
      <c r="AP9" s="216">
        <f t="shared" si="5"/>
        <v>50130</v>
      </c>
      <c r="AQ9" s="216">
        <f t="shared" si="5"/>
        <v>50221</v>
      </c>
      <c r="AR9" s="217">
        <f t="shared" si="5"/>
        <v>50313</v>
      </c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</row>
    <row r="10" spans="1:87" ht="20.25" customHeight="1">
      <c r="A10" s="207" t="s">
        <v>490</v>
      </c>
      <c r="B10" s="251"/>
      <c r="C10" s="220"/>
      <c r="D10" s="222"/>
      <c r="E10" s="271">
        <f>IF(E7&gt;0,NORMSDIST((E7-(($J$4)/6))/1.8),0)</f>
        <v>0</v>
      </c>
      <c r="F10" s="220">
        <f t="shared" ref="F10:X10" si="6">IF(F7&gt;0,NORMSDIST((F7-(($J$4)/6))/1.8),0)</f>
        <v>0</v>
      </c>
      <c r="G10" s="220">
        <f t="shared" si="6"/>
        <v>0</v>
      </c>
      <c r="H10" s="220">
        <f t="shared" si="6"/>
        <v>0</v>
      </c>
      <c r="I10" s="220">
        <f t="shared" si="6"/>
        <v>0</v>
      </c>
      <c r="J10" s="220">
        <f t="shared" si="6"/>
        <v>0</v>
      </c>
      <c r="K10" s="220">
        <f t="shared" si="6"/>
        <v>2.5920939357842999E-2</v>
      </c>
      <c r="L10" s="220">
        <f t="shared" si="6"/>
        <v>8.2433269873954537E-2</v>
      </c>
      <c r="M10" s="220">
        <f t="shared" si="6"/>
        <v>0.20232838096364303</v>
      </c>
      <c r="N10" s="220">
        <f t="shared" si="6"/>
        <v>0.39059147543357498</v>
      </c>
      <c r="O10" s="220">
        <f t="shared" si="6"/>
        <v>0.60940852456642502</v>
      </c>
      <c r="P10" s="220">
        <f t="shared" si="6"/>
        <v>0.79767161903635697</v>
      </c>
      <c r="Q10" s="220">
        <f t="shared" si="6"/>
        <v>0.9175667301260455</v>
      </c>
      <c r="R10" s="220">
        <f t="shared" si="6"/>
        <v>0.97407906064215699</v>
      </c>
      <c r="S10" s="220">
        <f t="shared" si="6"/>
        <v>0.99379033467422384</v>
      </c>
      <c r="T10" s="220">
        <f t="shared" si="6"/>
        <v>0</v>
      </c>
      <c r="U10" s="220">
        <f t="shared" si="6"/>
        <v>0</v>
      </c>
      <c r="V10" s="220">
        <f t="shared" si="6"/>
        <v>0</v>
      </c>
      <c r="W10" s="220">
        <f t="shared" si="6"/>
        <v>0</v>
      </c>
      <c r="X10" s="220">
        <f t="shared" si="6"/>
        <v>0</v>
      </c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1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CH10" s="207"/>
      <c r="CI10" s="207"/>
    </row>
    <row r="11" spans="1:87" ht="20.25" customHeight="1">
      <c r="A11" s="207" t="s">
        <v>491</v>
      </c>
      <c r="B11" s="268">
        <f>SUM(E11:W11)</f>
        <v>0.99379033467422384</v>
      </c>
      <c r="C11" s="220">
        <f>SUM(E11:X11)</f>
        <v>0.99379033467422384</v>
      </c>
      <c r="D11" s="222"/>
      <c r="E11" s="271">
        <f>IF(E10-B10&lt;0,0,E10-B10)</f>
        <v>0</v>
      </c>
      <c r="F11" s="220">
        <f t="shared" ref="F11:X11" si="7">IF(F10-E10&lt;0,0,F10-E10)</f>
        <v>0</v>
      </c>
      <c r="G11" s="220">
        <f t="shared" si="7"/>
        <v>0</v>
      </c>
      <c r="H11" s="220">
        <f t="shared" si="7"/>
        <v>0</v>
      </c>
      <c r="I11" s="220">
        <f t="shared" si="7"/>
        <v>0</v>
      </c>
      <c r="J11" s="220">
        <f t="shared" si="7"/>
        <v>0</v>
      </c>
      <c r="K11" s="220">
        <f t="shared" si="7"/>
        <v>2.5920939357842999E-2</v>
      </c>
      <c r="L11" s="220">
        <f t="shared" si="7"/>
        <v>5.6512330516111542E-2</v>
      </c>
      <c r="M11" s="220">
        <f t="shared" si="7"/>
        <v>0.11989511108968849</v>
      </c>
      <c r="N11" s="220">
        <f t="shared" si="7"/>
        <v>0.18826309446993195</v>
      </c>
      <c r="O11" s="220">
        <f t="shared" si="7"/>
        <v>0.21881704913285005</v>
      </c>
      <c r="P11" s="220">
        <f t="shared" si="7"/>
        <v>0.18826309446993195</v>
      </c>
      <c r="Q11" s="220">
        <f t="shared" si="7"/>
        <v>0.11989511108968853</v>
      </c>
      <c r="R11" s="220">
        <f t="shared" si="7"/>
        <v>5.6512330516111486E-2</v>
      </c>
      <c r="S11" s="220">
        <f t="shared" si="7"/>
        <v>1.971127403206685E-2</v>
      </c>
      <c r="T11" s="220">
        <f t="shared" si="7"/>
        <v>0</v>
      </c>
      <c r="U11" s="220">
        <f t="shared" si="7"/>
        <v>0</v>
      </c>
      <c r="V11" s="220">
        <f t="shared" si="7"/>
        <v>0</v>
      </c>
      <c r="W11" s="220">
        <f t="shared" si="7"/>
        <v>0</v>
      </c>
      <c r="X11" s="220">
        <f t="shared" si="7"/>
        <v>0</v>
      </c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1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CH11" s="207"/>
      <c r="CI11" s="207"/>
    </row>
    <row r="12" spans="1:87" ht="20.25" customHeight="1">
      <c r="A12" s="207" t="s">
        <v>492</v>
      </c>
      <c r="B12" s="268">
        <f>SUM(E12:W12)</f>
        <v>6.2096653257761592E-3</v>
      </c>
      <c r="C12" s="220">
        <f>SUM(E12:X12)</f>
        <v>6.2096653257761592E-3</v>
      </c>
      <c r="D12" s="487">
        <f>B12-C12</f>
        <v>0</v>
      </c>
      <c r="E12" s="269">
        <f t="shared" ref="E12:X12" si="8">IF(E6=$I$3,100%-E10,0)</f>
        <v>0</v>
      </c>
      <c r="F12" s="267">
        <f t="shared" si="8"/>
        <v>0</v>
      </c>
      <c r="G12" s="267">
        <f t="shared" si="8"/>
        <v>0</v>
      </c>
      <c r="H12" s="267">
        <f t="shared" si="8"/>
        <v>0</v>
      </c>
      <c r="I12" s="267">
        <f t="shared" si="8"/>
        <v>0</v>
      </c>
      <c r="J12" s="267">
        <f t="shared" si="8"/>
        <v>0</v>
      </c>
      <c r="K12" s="267">
        <f t="shared" si="8"/>
        <v>0</v>
      </c>
      <c r="L12" s="267">
        <f t="shared" si="8"/>
        <v>0</v>
      </c>
      <c r="M12" s="267">
        <f t="shared" si="8"/>
        <v>0</v>
      </c>
      <c r="N12" s="267">
        <f t="shared" si="8"/>
        <v>0</v>
      </c>
      <c r="O12" s="267">
        <f t="shared" si="8"/>
        <v>0</v>
      </c>
      <c r="P12" s="267">
        <f t="shared" si="8"/>
        <v>0</v>
      </c>
      <c r="Q12" s="267">
        <f t="shared" si="8"/>
        <v>0</v>
      </c>
      <c r="R12" s="267">
        <f t="shared" si="8"/>
        <v>0</v>
      </c>
      <c r="S12" s="267">
        <f t="shared" si="8"/>
        <v>6.2096653257761592E-3</v>
      </c>
      <c r="T12" s="267">
        <f t="shared" si="8"/>
        <v>0</v>
      </c>
      <c r="U12" s="267">
        <f t="shared" si="8"/>
        <v>0</v>
      </c>
      <c r="V12" s="267">
        <f t="shared" si="8"/>
        <v>0</v>
      </c>
      <c r="W12" s="267">
        <f t="shared" si="8"/>
        <v>0</v>
      </c>
      <c r="X12" s="267">
        <f t="shared" si="8"/>
        <v>0</v>
      </c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1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CH12" s="207"/>
      <c r="CI12" s="207"/>
    </row>
    <row r="13" spans="1:87" ht="20.25" customHeight="1">
      <c r="A13" s="207" t="s">
        <v>491</v>
      </c>
      <c r="B13" s="251">
        <f>SUM(E13:W13)</f>
        <v>1</v>
      </c>
      <c r="C13" s="220">
        <f>SUM(E13:X13)</f>
        <v>1</v>
      </c>
      <c r="D13" s="222"/>
      <c r="E13" s="269">
        <f t="shared" ref="E13:X13" si="9">SUM(E11:E12)</f>
        <v>0</v>
      </c>
      <c r="F13" s="267">
        <f t="shared" si="9"/>
        <v>0</v>
      </c>
      <c r="G13" s="267">
        <f t="shared" si="9"/>
        <v>0</v>
      </c>
      <c r="H13" s="267">
        <f t="shared" si="9"/>
        <v>0</v>
      </c>
      <c r="I13" s="267">
        <f t="shared" si="9"/>
        <v>0</v>
      </c>
      <c r="J13" s="267">
        <f t="shared" si="9"/>
        <v>0</v>
      </c>
      <c r="K13" s="267">
        <f t="shared" si="9"/>
        <v>2.5920939357842999E-2</v>
      </c>
      <c r="L13" s="267">
        <f t="shared" si="9"/>
        <v>5.6512330516111542E-2</v>
      </c>
      <c r="M13" s="267">
        <f t="shared" si="9"/>
        <v>0.11989511108968849</v>
      </c>
      <c r="N13" s="267">
        <f t="shared" si="9"/>
        <v>0.18826309446993195</v>
      </c>
      <c r="O13" s="267">
        <f t="shared" si="9"/>
        <v>0.21881704913285005</v>
      </c>
      <c r="P13" s="267">
        <f t="shared" si="9"/>
        <v>0.18826309446993195</v>
      </c>
      <c r="Q13" s="267">
        <f t="shared" si="9"/>
        <v>0.11989511108968853</v>
      </c>
      <c r="R13" s="267">
        <f t="shared" si="9"/>
        <v>5.6512330516111486E-2</v>
      </c>
      <c r="S13" s="267">
        <f t="shared" si="9"/>
        <v>2.5920939357843009E-2</v>
      </c>
      <c r="T13" s="267">
        <f t="shared" si="9"/>
        <v>0</v>
      </c>
      <c r="U13" s="267">
        <f t="shared" si="9"/>
        <v>0</v>
      </c>
      <c r="V13" s="267">
        <f t="shared" si="9"/>
        <v>0</v>
      </c>
      <c r="W13" s="267">
        <f t="shared" si="9"/>
        <v>0</v>
      </c>
      <c r="X13" s="267">
        <f t="shared" si="9"/>
        <v>0</v>
      </c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1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CH13" s="207"/>
      <c r="CI13" s="207"/>
    </row>
    <row r="14" spans="1:87" s="488" customFormat="1" ht="20.25" customHeight="1">
      <c r="A14" s="1092" t="s">
        <v>387</v>
      </c>
      <c r="B14" s="764">
        <f t="shared" ref="B14:B31" si="10">SUM(E14:X14)</f>
        <v>63561938.000000015</v>
      </c>
      <c r="C14" s="1095">
        <f>'2-D Financial'!$B7</f>
        <v>63561938.000000015</v>
      </c>
      <c r="D14" s="1095">
        <f t="shared" ref="D14:D31" si="11">B14-C14</f>
        <v>0</v>
      </c>
      <c r="E14" s="1096">
        <v>0</v>
      </c>
      <c r="F14" s="1095">
        <f>$C$14*F13</f>
        <v>0</v>
      </c>
      <c r="G14" s="1095">
        <f t="shared" ref="G14:X14" si="12">$C$14*G13</f>
        <v>0</v>
      </c>
      <c r="H14" s="1095">
        <f t="shared" si="12"/>
        <v>0</v>
      </c>
      <c r="I14" s="1095">
        <f t="shared" si="12"/>
        <v>0</v>
      </c>
      <c r="J14" s="1095">
        <f t="shared" si="12"/>
        <v>0</v>
      </c>
      <c r="K14" s="1095">
        <f t="shared" si="12"/>
        <v>1647585.1403649768</v>
      </c>
      <c r="L14" s="1095">
        <f t="shared" si="12"/>
        <v>3592033.2485005907</v>
      </c>
      <c r="M14" s="1095">
        <f t="shared" si="12"/>
        <v>7620765.6175858937</v>
      </c>
      <c r="N14" s="1095">
        <f t="shared" si="12"/>
        <v>11966367.138385961</v>
      </c>
      <c r="O14" s="1095">
        <f t="shared" si="12"/>
        <v>13908435.710325172</v>
      </c>
      <c r="P14" s="1095">
        <f t="shared" si="12"/>
        <v>11966367.138385961</v>
      </c>
      <c r="Q14" s="1095">
        <f t="shared" si="12"/>
        <v>7620765.6175858965</v>
      </c>
      <c r="R14" s="1095">
        <f t="shared" si="12"/>
        <v>3592033.248500587</v>
      </c>
      <c r="S14" s="1095">
        <f t="shared" si="12"/>
        <v>1647585.1403649775</v>
      </c>
      <c r="T14" s="1095">
        <f t="shared" si="12"/>
        <v>0</v>
      </c>
      <c r="U14" s="1095">
        <f t="shared" si="12"/>
        <v>0</v>
      </c>
      <c r="V14" s="1095">
        <f t="shared" si="12"/>
        <v>0</v>
      </c>
      <c r="W14" s="1095">
        <f t="shared" si="12"/>
        <v>0</v>
      </c>
      <c r="X14" s="1095">
        <f t="shared" si="12"/>
        <v>0</v>
      </c>
      <c r="Y14" s="1095"/>
      <c r="Z14" s="1095"/>
      <c r="AA14" s="1095"/>
      <c r="AB14" s="1095"/>
      <c r="AC14" s="1095"/>
      <c r="AD14" s="1095"/>
      <c r="AE14" s="1095"/>
      <c r="AF14" s="1095"/>
      <c r="AG14" s="1095"/>
      <c r="AH14" s="1095"/>
      <c r="AI14" s="1095"/>
      <c r="AJ14" s="1095"/>
      <c r="AK14" s="1095"/>
      <c r="AL14" s="1095"/>
      <c r="AM14" s="1095"/>
      <c r="AN14" s="1095"/>
      <c r="AO14" s="1095"/>
      <c r="AP14" s="1095"/>
      <c r="AQ14" s="1095"/>
      <c r="AR14" s="764"/>
      <c r="AS14" s="1092"/>
      <c r="AT14" s="1092"/>
      <c r="AU14" s="1092"/>
      <c r="AV14" s="1093"/>
      <c r="AW14" s="1093"/>
      <c r="AX14" s="1093"/>
      <c r="AY14" s="1093"/>
      <c r="AZ14" s="1093"/>
      <c r="BA14" s="1093"/>
      <c r="BB14" s="1093"/>
      <c r="BC14" s="1093"/>
      <c r="BD14" s="1093"/>
      <c r="BE14" s="1093"/>
      <c r="BF14" s="1093"/>
      <c r="BG14" s="1093"/>
      <c r="BH14" s="1093"/>
      <c r="BI14" s="1093"/>
      <c r="BJ14" s="1093"/>
      <c r="BK14" s="1093"/>
      <c r="BL14" s="1093"/>
      <c r="BM14" s="1093"/>
      <c r="BN14" s="1093"/>
      <c r="BO14" s="1093"/>
      <c r="BP14" s="1093"/>
      <c r="BQ14" s="1093"/>
      <c r="BR14" s="1093"/>
      <c r="BS14" s="1093"/>
      <c r="BT14" s="1093"/>
      <c r="BU14" s="1093"/>
      <c r="BV14" s="1092"/>
      <c r="BW14" s="1092"/>
      <c r="BX14" s="1092"/>
      <c r="BY14" s="1092"/>
      <c r="BZ14" s="1092"/>
      <c r="CA14" s="1092"/>
      <c r="CB14" s="1092"/>
      <c r="CC14" s="1092"/>
      <c r="CD14" s="1092"/>
      <c r="CE14" s="1092"/>
      <c r="CF14" s="1092"/>
      <c r="CG14" s="1092"/>
      <c r="CH14" s="1092"/>
      <c r="CI14" s="1092"/>
    </row>
    <row r="15" spans="1:87" ht="20.25" customHeight="1">
      <c r="A15" s="207" t="s">
        <v>77</v>
      </c>
      <c r="B15" s="224">
        <f t="shared" si="10"/>
        <v>3178096.9000000013</v>
      </c>
      <c r="C15" s="223">
        <f>'2-D Financial'!$B8</f>
        <v>3178096.9000000008</v>
      </c>
      <c r="D15" s="223">
        <f t="shared" si="11"/>
        <v>0</v>
      </c>
      <c r="E15" s="270">
        <v>0</v>
      </c>
      <c r="F15" s="223">
        <f>$C15*F$13</f>
        <v>0</v>
      </c>
      <c r="G15" s="223">
        <f t="shared" ref="G15:X15" si="13">$C15*G$13</f>
        <v>0</v>
      </c>
      <c r="H15" s="223">
        <f t="shared" si="13"/>
        <v>0</v>
      </c>
      <c r="I15" s="223">
        <f t="shared" si="13"/>
        <v>0</v>
      </c>
      <c r="J15" s="223">
        <f t="shared" si="13"/>
        <v>0</v>
      </c>
      <c r="K15" s="223">
        <f t="shared" si="13"/>
        <v>82379.257018248842</v>
      </c>
      <c r="L15" s="223">
        <f t="shared" si="13"/>
        <v>179601.66242502953</v>
      </c>
      <c r="M15" s="223">
        <f t="shared" si="13"/>
        <v>381038.28087929473</v>
      </c>
      <c r="N15" s="223">
        <f t="shared" si="13"/>
        <v>598318.35691929806</v>
      </c>
      <c r="O15" s="223">
        <f t="shared" si="13"/>
        <v>695421.78551625856</v>
      </c>
      <c r="P15" s="223">
        <f t="shared" si="13"/>
        <v>598318.35691929806</v>
      </c>
      <c r="Q15" s="223">
        <f t="shared" si="13"/>
        <v>381038.28087929485</v>
      </c>
      <c r="R15" s="223">
        <f t="shared" si="13"/>
        <v>179601.66242502935</v>
      </c>
      <c r="S15" s="223">
        <f t="shared" si="13"/>
        <v>82379.257018248885</v>
      </c>
      <c r="T15" s="223">
        <f t="shared" si="13"/>
        <v>0</v>
      </c>
      <c r="U15" s="223">
        <f t="shared" si="13"/>
        <v>0</v>
      </c>
      <c r="V15" s="223">
        <f t="shared" si="13"/>
        <v>0</v>
      </c>
      <c r="W15" s="223">
        <f t="shared" si="13"/>
        <v>0</v>
      </c>
      <c r="X15" s="223">
        <f t="shared" si="13"/>
        <v>0</v>
      </c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4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CH15" s="207"/>
      <c r="CI15" s="207"/>
    </row>
    <row r="16" spans="1:87" ht="20.25" customHeight="1">
      <c r="A16" s="207" t="s">
        <v>389</v>
      </c>
      <c r="B16" s="224">
        <f t="shared" si="10"/>
        <v>0</v>
      </c>
      <c r="C16" s="223">
        <f>'2-D Financial'!$B9</f>
        <v>0</v>
      </c>
      <c r="D16" s="223">
        <f t="shared" si="11"/>
        <v>0</v>
      </c>
      <c r="E16" s="270">
        <v>0</v>
      </c>
      <c r="F16" s="223">
        <f>IF(AND(F$9&gt;$E$4,F$9&lt;$H$4),$C16/(($G$4)/3),0)</f>
        <v>0</v>
      </c>
      <c r="G16" s="223">
        <f t="shared" ref="G16:X16" si="14">IF(AND(G$9&gt;$E$4,G$9&lt;$H$4),$C16/(($G$4)/3),0)</f>
        <v>0</v>
      </c>
      <c r="H16" s="223">
        <f t="shared" si="14"/>
        <v>0</v>
      </c>
      <c r="I16" s="223">
        <f t="shared" si="14"/>
        <v>0</v>
      </c>
      <c r="J16" s="223">
        <f t="shared" si="14"/>
        <v>0</v>
      </c>
      <c r="K16" s="223">
        <f t="shared" si="14"/>
        <v>0</v>
      </c>
      <c r="L16" s="223">
        <f t="shared" si="14"/>
        <v>0</v>
      </c>
      <c r="M16" s="223">
        <f t="shared" si="14"/>
        <v>0</v>
      </c>
      <c r="N16" s="223">
        <f t="shared" si="14"/>
        <v>0</v>
      </c>
      <c r="O16" s="223">
        <f t="shared" si="14"/>
        <v>0</v>
      </c>
      <c r="P16" s="223">
        <f t="shared" si="14"/>
        <v>0</v>
      </c>
      <c r="Q16" s="223">
        <f t="shared" si="14"/>
        <v>0</v>
      </c>
      <c r="R16" s="223">
        <f t="shared" si="14"/>
        <v>0</v>
      </c>
      <c r="S16" s="223">
        <f t="shared" si="14"/>
        <v>0</v>
      </c>
      <c r="T16" s="223">
        <f t="shared" si="14"/>
        <v>0</v>
      </c>
      <c r="U16" s="223">
        <f t="shared" si="14"/>
        <v>0</v>
      </c>
      <c r="V16" s="223">
        <f t="shared" si="14"/>
        <v>0</v>
      </c>
      <c r="W16" s="223">
        <f t="shared" si="14"/>
        <v>0</v>
      </c>
      <c r="X16" s="223">
        <f t="shared" si="14"/>
        <v>0</v>
      </c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4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CH16" s="207"/>
      <c r="CI16" s="207"/>
    </row>
    <row r="17" spans="1:87" ht="20.25" customHeight="1">
      <c r="A17" s="207" t="s">
        <v>391</v>
      </c>
      <c r="B17" s="224">
        <f t="shared" si="10"/>
        <v>808909.2</v>
      </c>
      <c r="C17" s="223">
        <f>'2-D Financial'!$B10</f>
        <v>808909.2</v>
      </c>
      <c r="D17" s="223">
        <f t="shared" si="11"/>
        <v>0</v>
      </c>
      <c r="E17" s="270">
        <v>0</v>
      </c>
      <c r="F17" s="223">
        <f>IF(F6=$F$3,$C$17,0)</f>
        <v>0</v>
      </c>
      <c r="G17" s="223">
        <f t="shared" ref="G17:X17" si="15">IF(G6=$F$3,$C$17,0)</f>
        <v>0</v>
      </c>
      <c r="H17" s="223">
        <f t="shared" si="15"/>
        <v>0</v>
      </c>
      <c r="I17" s="223">
        <f t="shared" si="15"/>
        <v>0</v>
      </c>
      <c r="J17" s="223">
        <f t="shared" si="15"/>
        <v>808909.2</v>
      </c>
      <c r="K17" s="223">
        <f t="shared" si="15"/>
        <v>0</v>
      </c>
      <c r="L17" s="223">
        <f t="shared" si="15"/>
        <v>0</v>
      </c>
      <c r="M17" s="223">
        <f t="shared" si="15"/>
        <v>0</v>
      </c>
      <c r="N17" s="223">
        <f t="shared" si="15"/>
        <v>0</v>
      </c>
      <c r="O17" s="223">
        <f t="shared" si="15"/>
        <v>0</v>
      </c>
      <c r="P17" s="223">
        <f t="shared" si="15"/>
        <v>0</v>
      </c>
      <c r="Q17" s="223">
        <f t="shared" si="15"/>
        <v>0</v>
      </c>
      <c r="R17" s="223">
        <f t="shared" si="15"/>
        <v>0</v>
      </c>
      <c r="S17" s="223">
        <f t="shared" si="15"/>
        <v>0</v>
      </c>
      <c r="T17" s="223">
        <f t="shared" si="15"/>
        <v>0</v>
      </c>
      <c r="U17" s="223">
        <f t="shared" si="15"/>
        <v>0</v>
      </c>
      <c r="V17" s="223">
        <f t="shared" si="15"/>
        <v>0</v>
      </c>
      <c r="W17" s="223">
        <f t="shared" si="15"/>
        <v>0</v>
      </c>
      <c r="X17" s="223">
        <f t="shared" si="15"/>
        <v>0</v>
      </c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4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CH17" s="207"/>
      <c r="CI17" s="207"/>
    </row>
    <row r="18" spans="1:87" ht="20.25" customHeight="1">
      <c r="A18" s="207" t="s">
        <v>393</v>
      </c>
      <c r="B18" s="224">
        <f t="shared" si="10"/>
        <v>2480000</v>
      </c>
      <c r="C18" s="223">
        <f>'2-D Financial'!$B11</f>
        <v>2480000</v>
      </c>
      <c r="D18" s="223">
        <f t="shared" si="11"/>
        <v>0</v>
      </c>
      <c r="E18" s="270">
        <v>0</v>
      </c>
      <c r="F18" s="223">
        <f>$C18*F$13</f>
        <v>0</v>
      </c>
      <c r="G18" s="223">
        <f t="shared" ref="G18:X19" si="16">$C18*G$13</f>
        <v>0</v>
      </c>
      <c r="H18" s="223">
        <f t="shared" si="16"/>
        <v>0</v>
      </c>
      <c r="I18" s="223">
        <f t="shared" si="16"/>
        <v>0</v>
      </c>
      <c r="J18" s="223">
        <f t="shared" si="16"/>
        <v>0</v>
      </c>
      <c r="K18" s="223">
        <f t="shared" si="16"/>
        <v>64283.929607450635</v>
      </c>
      <c r="L18" s="223">
        <f t="shared" si="16"/>
        <v>140150.57967995663</v>
      </c>
      <c r="M18" s="223">
        <f t="shared" si="16"/>
        <v>297339.87550242746</v>
      </c>
      <c r="N18" s="223">
        <f t="shared" si="16"/>
        <v>466892.47428543121</v>
      </c>
      <c r="O18" s="223">
        <f t="shared" si="16"/>
        <v>542666.28184946813</v>
      </c>
      <c r="P18" s="223">
        <f t="shared" si="16"/>
        <v>466892.47428543121</v>
      </c>
      <c r="Q18" s="223">
        <f t="shared" si="16"/>
        <v>297339.87550242757</v>
      </c>
      <c r="R18" s="223">
        <f t="shared" si="16"/>
        <v>140150.57967995649</v>
      </c>
      <c r="S18" s="223">
        <f t="shared" si="16"/>
        <v>64283.929607450664</v>
      </c>
      <c r="T18" s="223">
        <f t="shared" si="16"/>
        <v>0</v>
      </c>
      <c r="U18" s="223">
        <f t="shared" si="16"/>
        <v>0</v>
      </c>
      <c r="V18" s="223">
        <f t="shared" si="16"/>
        <v>0</v>
      </c>
      <c r="W18" s="223">
        <f t="shared" si="16"/>
        <v>0</v>
      </c>
      <c r="X18" s="223">
        <f t="shared" si="16"/>
        <v>0</v>
      </c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4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CH18" s="207"/>
      <c r="CI18" s="207"/>
    </row>
    <row r="19" spans="1:87" ht="20.25" customHeight="1">
      <c r="A19" s="207" t="s">
        <v>79</v>
      </c>
      <c r="B19" s="224">
        <f t="shared" si="10"/>
        <v>1271238.76</v>
      </c>
      <c r="C19" s="223">
        <f>'2-D Financial'!$B12</f>
        <v>1271238.7600000002</v>
      </c>
      <c r="D19" s="223">
        <f t="shared" si="11"/>
        <v>0</v>
      </c>
      <c r="E19" s="270">
        <v>0</v>
      </c>
      <c r="F19" s="223">
        <f>$C19*F$13</f>
        <v>0</v>
      </c>
      <c r="G19" s="223">
        <f t="shared" si="16"/>
        <v>0</v>
      </c>
      <c r="H19" s="223">
        <f t="shared" si="16"/>
        <v>0</v>
      </c>
      <c r="I19" s="223">
        <f t="shared" si="16"/>
        <v>0</v>
      </c>
      <c r="J19" s="223">
        <f t="shared" si="16"/>
        <v>0</v>
      </c>
      <c r="K19" s="223">
        <f t="shared" si="16"/>
        <v>32951.702807299538</v>
      </c>
      <c r="L19" s="223">
        <f t="shared" si="16"/>
        <v>71840.664970011814</v>
      </c>
      <c r="M19" s="223">
        <f t="shared" si="16"/>
        <v>152415.31235171788</v>
      </c>
      <c r="N19" s="223">
        <f t="shared" si="16"/>
        <v>239327.34276771918</v>
      </c>
      <c r="O19" s="223">
        <f t="shared" si="16"/>
        <v>278168.71420650341</v>
      </c>
      <c r="P19" s="223">
        <f t="shared" si="16"/>
        <v>239327.34276771918</v>
      </c>
      <c r="Q19" s="223">
        <f t="shared" si="16"/>
        <v>152415.31235171793</v>
      </c>
      <c r="R19" s="223">
        <f t="shared" si="16"/>
        <v>71840.664970011741</v>
      </c>
      <c r="S19" s="223">
        <f t="shared" si="16"/>
        <v>32951.702807299553</v>
      </c>
      <c r="T19" s="223">
        <f t="shared" si="16"/>
        <v>0</v>
      </c>
      <c r="U19" s="223">
        <f t="shared" si="16"/>
        <v>0</v>
      </c>
      <c r="V19" s="223">
        <f t="shared" si="16"/>
        <v>0</v>
      </c>
      <c r="W19" s="223">
        <f t="shared" si="16"/>
        <v>0</v>
      </c>
      <c r="X19" s="223">
        <f t="shared" si="16"/>
        <v>0</v>
      </c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4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CH19" s="207"/>
      <c r="CI19" s="207"/>
    </row>
    <row r="20" spans="1:87" ht="20.25" customHeight="1">
      <c r="A20" s="207" t="s">
        <v>83</v>
      </c>
      <c r="B20" s="224">
        <f t="shared" si="10"/>
        <v>953429.06999999983</v>
      </c>
      <c r="C20" s="223">
        <f>'2-D Financial'!$B13</f>
        <v>953429.07000000018</v>
      </c>
      <c r="D20" s="223">
        <f t="shared" si="11"/>
        <v>0</v>
      </c>
      <c r="E20" s="270">
        <v>0</v>
      </c>
      <c r="F20" s="223">
        <f>IF(AND(F9&gt;$E$4,F9&lt;$H$4), (($C20)*60%/(($G$4)/3)),IF(OR(F7=1,F7=2,F7=3,F7=4,F7=5,F7=6),(($C20)*40%/6),0))</f>
        <v>114411.4884</v>
      </c>
      <c r="G20" s="223">
        <f t="shared" ref="G20:X20" si="17">IF(AND(G9&gt;$E$4,G9&lt;$H$4), (($C20)*60%/(($G$4)/3)),IF(OR(G7=1,G7=2,G7=3,G7=4,G7=5,G7=6),(($C20)*40%/6),0))</f>
        <v>114411.4884</v>
      </c>
      <c r="H20" s="223">
        <f t="shared" si="17"/>
        <v>114411.4884</v>
      </c>
      <c r="I20" s="223">
        <f t="shared" si="17"/>
        <v>114411.4884</v>
      </c>
      <c r="J20" s="223">
        <f t="shared" si="17"/>
        <v>114411.4884</v>
      </c>
      <c r="K20" s="223">
        <f t="shared" si="17"/>
        <v>63561.938000000016</v>
      </c>
      <c r="L20" s="223">
        <f t="shared" si="17"/>
        <v>63561.938000000016</v>
      </c>
      <c r="M20" s="223">
        <f t="shared" si="17"/>
        <v>63561.938000000016</v>
      </c>
      <c r="N20" s="223">
        <f t="shared" si="17"/>
        <v>63561.938000000016</v>
      </c>
      <c r="O20" s="223">
        <f t="shared" si="17"/>
        <v>63561.938000000016</v>
      </c>
      <c r="P20" s="223">
        <f t="shared" si="17"/>
        <v>63561.938000000016</v>
      </c>
      <c r="Q20" s="223">
        <f t="shared" si="17"/>
        <v>0</v>
      </c>
      <c r="R20" s="223">
        <f t="shared" si="17"/>
        <v>0</v>
      </c>
      <c r="S20" s="223">
        <f t="shared" si="17"/>
        <v>0</v>
      </c>
      <c r="T20" s="223">
        <f t="shared" si="17"/>
        <v>0</v>
      </c>
      <c r="U20" s="223">
        <f t="shared" si="17"/>
        <v>0</v>
      </c>
      <c r="V20" s="223">
        <f t="shared" si="17"/>
        <v>0</v>
      </c>
      <c r="W20" s="223">
        <f t="shared" si="17"/>
        <v>0</v>
      </c>
      <c r="X20" s="223">
        <f t="shared" si="17"/>
        <v>0</v>
      </c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4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CH20" s="207"/>
      <c r="CI20" s="207"/>
    </row>
    <row r="21" spans="1:87" ht="20.25" customHeight="1">
      <c r="A21" s="207" t="s">
        <v>84</v>
      </c>
      <c r="B21" s="224">
        <f t="shared" si="10"/>
        <v>20222.73</v>
      </c>
      <c r="C21" s="223">
        <f>'2-D Financial'!$B14</f>
        <v>20222.73</v>
      </c>
      <c r="D21" s="223">
        <f t="shared" si="11"/>
        <v>0</v>
      </c>
      <c r="E21" s="270">
        <v>0</v>
      </c>
      <c r="F21" s="223">
        <f>IF(F17=0,0,$C$21)</f>
        <v>0</v>
      </c>
      <c r="G21" s="223">
        <f t="shared" ref="G21:X21" si="18">IF(G17=0,0,$C$21)</f>
        <v>0</v>
      </c>
      <c r="H21" s="223">
        <f t="shared" si="18"/>
        <v>0</v>
      </c>
      <c r="I21" s="223">
        <f t="shared" si="18"/>
        <v>0</v>
      </c>
      <c r="J21" s="223">
        <f t="shared" si="18"/>
        <v>20222.73</v>
      </c>
      <c r="K21" s="223">
        <f t="shared" si="18"/>
        <v>0</v>
      </c>
      <c r="L21" s="223">
        <f t="shared" si="18"/>
        <v>0</v>
      </c>
      <c r="M21" s="223">
        <f t="shared" si="18"/>
        <v>0</v>
      </c>
      <c r="N21" s="223">
        <f t="shared" si="18"/>
        <v>0</v>
      </c>
      <c r="O21" s="223">
        <f t="shared" si="18"/>
        <v>0</v>
      </c>
      <c r="P21" s="223">
        <f t="shared" si="18"/>
        <v>0</v>
      </c>
      <c r="Q21" s="223">
        <f t="shared" si="18"/>
        <v>0</v>
      </c>
      <c r="R21" s="223">
        <f t="shared" si="18"/>
        <v>0</v>
      </c>
      <c r="S21" s="223">
        <f t="shared" si="18"/>
        <v>0</v>
      </c>
      <c r="T21" s="223">
        <f t="shared" si="18"/>
        <v>0</v>
      </c>
      <c r="U21" s="223">
        <f t="shared" si="18"/>
        <v>0</v>
      </c>
      <c r="V21" s="223">
        <f t="shared" si="18"/>
        <v>0</v>
      </c>
      <c r="W21" s="223">
        <f t="shared" si="18"/>
        <v>0</v>
      </c>
      <c r="X21" s="223">
        <f t="shared" si="18"/>
        <v>0</v>
      </c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4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CH21" s="207"/>
      <c r="CI21" s="207"/>
    </row>
    <row r="22" spans="1:87" ht="20.25" customHeight="1">
      <c r="A22" s="207" t="s">
        <v>85</v>
      </c>
      <c r="B22" s="224">
        <f t="shared" si="10"/>
        <v>1271238.7600000002</v>
      </c>
      <c r="C22" s="223">
        <f>'2-D Financial'!$B15</f>
        <v>1271238.7600000002</v>
      </c>
      <c r="D22" s="223">
        <f t="shared" si="11"/>
        <v>0</v>
      </c>
      <c r="E22" s="270">
        <v>0</v>
      </c>
      <c r="F22" s="223">
        <f>IF(AND(F9&gt;$E$4,F9&lt;$H$4), (($C22)*60%/(($G$4)/3)),IF(OR(F7=1,F7=2,F7=3,F7=4,F7=5,F7=6),(($C22)*40%/6),0))</f>
        <v>152548.65120000002</v>
      </c>
      <c r="G22" s="223">
        <f t="shared" ref="G22:X22" si="19">IF(AND(G9&gt;$E$4,G9&lt;$H$4), (($C22)*60%/(($G$4)/3)),IF(OR(G7=1,G7=2,G7=3,G7=4,G7=5,G7=6),(($C22)*40%/6),0))</f>
        <v>152548.65120000002</v>
      </c>
      <c r="H22" s="223">
        <f t="shared" si="19"/>
        <v>152548.65120000002</v>
      </c>
      <c r="I22" s="223">
        <f t="shared" si="19"/>
        <v>152548.65120000002</v>
      </c>
      <c r="J22" s="223">
        <f t="shared" si="19"/>
        <v>152548.65120000002</v>
      </c>
      <c r="K22" s="223">
        <f t="shared" si="19"/>
        <v>84749.250666666689</v>
      </c>
      <c r="L22" s="223">
        <f t="shared" si="19"/>
        <v>84749.250666666689</v>
      </c>
      <c r="M22" s="223">
        <f t="shared" si="19"/>
        <v>84749.250666666689</v>
      </c>
      <c r="N22" s="223">
        <f t="shared" si="19"/>
        <v>84749.250666666689</v>
      </c>
      <c r="O22" s="223">
        <f t="shared" si="19"/>
        <v>84749.250666666689</v>
      </c>
      <c r="P22" s="223">
        <f t="shared" si="19"/>
        <v>84749.250666666689</v>
      </c>
      <c r="Q22" s="223">
        <f t="shared" si="19"/>
        <v>0</v>
      </c>
      <c r="R22" s="223">
        <f t="shared" si="19"/>
        <v>0</v>
      </c>
      <c r="S22" s="223">
        <f t="shared" si="19"/>
        <v>0</v>
      </c>
      <c r="T22" s="223">
        <f t="shared" si="19"/>
        <v>0</v>
      </c>
      <c r="U22" s="223">
        <f t="shared" si="19"/>
        <v>0</v>
      </c>
      <c r="V22" s="223">
        <f t="shared" si="19"/>
        <v>0</v>
      </c>
      <c r="W22" s="223">
        <f t="shared" si="19"/>
        <v>0</v>
      </c>
      <c r="X22" s="223">
        <f t="shared" si="19"/>
        <v>0</v>
      </c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4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CH22" s="207"/>
      <c r="CI22" s="207"/>
    </row>
    <row r="23" spans="1:87" ht="20.25" customHeight="1">
      <c r="A23" s="207" t="s">
        <v>86</v>
      </c>
      <c r="B23" s="224">
        <f t="shared" si="10"/>
        <v>2224667.830000001</v>
      </c>
      <c r="C23" s="223">
        <f>'2-D Financial'!$B16</f>
        <v>2224667.8300000005</v>
      </c>
      <c r="D23" s="223">
        <f t="shared" si="11"/>
        <v>0</v>
      </c>
      <c r="E23" s="270">
        <v>0</v>
      </c>
      <c r="F23" s="223">
        <f>IF(AND(F$9&gt;$F$4,F9&lt;$K$4),$C23/(($J$4)/3),0)</f>
        <v>0</v>
      </c>
      <c r="G23" s="223">
        <f t="shared" ref="G23:X23" si="20">IF(AND(G$9&gt;$F$4,G9&lt;$K$4),$C23/(($J$4)/3),0)</f>
        <v>0</v>
      </c>
      <c r="H23" s="223">
        <f t="shared" si="20"/>
        <v>0</v>
      </c>
      <c r="I23" s="223">
        <f t="shared" si="20"/>
        <v>0</v>
      </c>
      <c r="J23" s="223">
        <f t="shared" si="20"/>
        <v>0</v>
      </c>
      <c r="K23" s="223">
        <f t="shared" si="20"/>
        <v>247185.31444444449</v>
      </c>
      <c r="L23" s="223">
        <f t="shared" si="20"/>
        <v>247185.31444444449</v>
      </c>
      <c r="M23" s="223">
        <f t="shared" si="20"/>
        <v>247185.31444444449</v>
      </c>
      <c r="N23" s="223">
        <f t="shared" si="20"/>
        <v>247185.31444444449</v>
      </c>
      <c r="O23" s="223">
        <f t="shared" si="20"/>
        <v>247185.31444444449</v>
      </c>
      <c r="P23" s="223">
        <f t="shared" si="20"/>
        <v>247185.31444444449</v>
      </c>
      <c r="Q23" s="223">
        <f t="shared" si="20"/>
        <v>247185.31444444449</v>
      </c>
      <c r="R23" s="223">
        <f t="shared" si="20"/>
        <v>247185.31444444449</v>
      </c>
      <c r="S23" s="223">
        <f t="shared" si="20"/>
        <v>247185.31444444449</v>
      </c>
      <c r="T23" s="223">
        <f t="shared" si="20"/>
        <v>0</v>
      </c>
      <c r="U23" s="223">
        <f t="shared" si="20"/>
        <v>0</v>
      </c>
      <c r="V23" s="223">
        <f t="shared" si="20"/>
        <v>0</v>
      </c>
      <c r="W23" s="223">
        <f t="shared" si="20"/>
        <v>0</v>
      </c>
      <c r="X23" s="223">
        <f t="shared" si="20"/>
        <v>0</v>
      </c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4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CH23" s="207"/>
      <c r="CI23" s="207"/>
    </row>
    <row r="24" spans="1:87" ht="20.25" customHeight="1">
      <c r="A24" s="207" t="s">
        <v>88</v>
      </c>
      <c r="B24" s="224">
        <f t="shared" si="10"/>
        <v>1271238.7600000002</v>
      </c>
      <c r="C24" s="223">
        <f>'2-D Financial'!$B17</f>
        <v>1271238.7600000002</v>
      </c>
      <c r="D24" s="223">
        <f t="shared" si="11"/>
        <v>0</v>
      </c>
      <c r="E24" s="270">
        <v>0</v>
      </c>
      <c r="F24" s="223">
        <f>IF(AND(F$9&gt;$F$4,F$9&lt;$K$4),$C24/(($J$4)/3),0)</f>
        <v>0</v>
      </c>
      <c r="G24" s="223">
        <f t="shared" ref="G24:X24" si="21">IF(AND(G$9&gt;$F$4,G$9&lt;$K$4),$C24/(($J$4)/3),0)</f>
        <v>0</v>
      </c>
      <c r="H24" s="223">
        <f t="shared" si="21"/>
        <v>0</v>
      </c>
      <c r="I24" s="223">
        <f t="shared" si="21"/>
        <v>0</v>
      </c>
      <c r="J24" s="223">
        <f t="shared" si="21"/>
        <v>0</v>
      </c>
      <c r="K24" s="223">
        <f t="shared" si="21"/>
        <v>141248.75111111114</v>
      </c>
      <c r="L24" s="223">
        <f t="shared" si="21"/>
        <v>141248.75111111114</v>
      </c>
      <c r="M24" s="223">
        <f t="shared" si="21"/>
        <v>141248.75111111114</v>
      </c>
      <c r="N24" s="223">
        <f t="shared" si="21"/>
        <v>141248.75111111114</v>
      </c>
      <c r="O24" s="223">
        <f t="shared" si="21"/>
        <v>141248.75111111114</v>
      </c>
      <c r="P24" s="223">
        <f t="shared" si="21"/>
        <v>141248.75111111114</v>
      </c>
      <c r="Q24" s="223">
        <f t="shared" si="21"/>
        <v>141248.75111111114</v>
      </c>
      <c r="R24" s="223">
        <f t="shared" si="21"/>
        <v>141248.75111111114</v>
      </c>
      <c r="S24" s="223">
        <f t="shared" si="21"/>
        <v>141248.75111111114</v>
      </c>
      <c r="T24" s="223">
        <f t="shared" si="21"/>
        <v>0</v>
      </c>
      <c r="U24" s="223">
        <f t="shared" si="21"/>
        <v>0</v>
      </c>
      <c r="V24" s="223">
        <f t="shared" si="21"/>
        <v>0</v>
      </c>
      <c r="W24" s="223">
        <f t="shared" si="21"/>
        <v>0</v>
      </c>
      <c r="X24" s="223">
        <f t="shared" si="21"/>
        <v>0</v>
      </c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4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CH24" s="207"/>
      <c r="CI24" s="207"/>
    </row>
    <row r="25" spans="1:87" ht="20.25" customHeight="1">
      <c r="A25" s="207" t="s">
        <v>93</v>
      </c>
      <c r="B25" s="224">
        <f t="shared" si="10"/>
        <v>3178096.9000000013</v>
      </c>
      <c r="C25" s="223">
        <f>'2-D Financial'!$B18</f>
        <v>3178096.9000000008</v>
      </c>
      <c r="D25" s="223">
        <f t="shared" si="11"/>
        <v>0</v>
      </c>
      <c r="E25" s="270">
        <v>0</v>
      </c>
      <c r="F25" s="223">
        <f>$C25*F$13</f>
        <v>0</v>
      </c>
      <c r="G25" s="223">
        <f t="shared" ref="G25:X25" si="22">$C25*G$13</f>
        <v>0</v>
      </c>
      <c r="H25" s="223">
        <f t="shared" si="22"/>
        <v>0</v>
      </c>
      <c r="I25" s="223">
        <f t="shared" si="22"/>
        <v>0</v>
      </c>
      <c r="J25" s="223">
        <f t="shared" si="22"/>
        <v>0</v>
      </c>
      <c r="K25" s="223">
        <f t="shared" si="22"/>
        <v>82379.257018248842</v>
      </c>
      <c r="L25" s="223">
        <f t="shared" si="22"/>
        <v>179601.66242502953</v>
      </c>
      <c r="M25" s="223">
        <f t="shared" si="22"/>
        <v>381038.28087929473</v>
      </c>
      <c r="N25" s="223">
        <f t="shared" si="22"/>
        <v>598318.35691929806</v>
      </c>
      <c r="O25" s="223">
        <f t="shared" si="22"/>
        <v>695421.78551625856</v>
      </c>
      <c r="P25" s="223">
        <f t="shared" si="22"/>
        <v>598318.35691929806</v>
      </c>
      <c r="Q25" s="223">
        <f t="shared" si="22"/>
        <v>381038.28087929485</v>
      </c>
      <c r="R25" s="223">
        <f t="shared" si="22"/>
        <v>179601.66242502935</v>
      </c>
      <c r="S25" s="223">
        <f t="shared" si="22"/>
        <v>82379.257018248885</v>
      </c>
      <c r="T25" s="223">
        <f t="shared" si="22"/>
        <v>0</v>
      </c>
      <c r="U25" s="223">
        <f t="shared" si="22"/>
        <v>0</v>
      </c>
      <c r="V25" s="223">
        <f t="shared" si="22"/>
        <v>0</v>
      </c>
      <c r="W25" s="223">
        <f t="shared" si="22"/>
        <v>0</v>
      </c>
      <c r="X25" s="223">
        <f t="shared" si="22"/>
        <v>0</v>
      </c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4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CH25" s="207"/>
      <c r="CI25" s="207"/>
    </row>
    <row r="26" spans="1:87" ht="20.25" customHeight="1">
      <c r="A26" s="207" t="s">
        <v>97</v>
      </c>
      <c r="B26" s="224">
        <f t="shared" si="10"/>
        <v>953429.07000000018</v>
      </c>
      <c r="C26" s="223">
        <f>'2-D Financial'!$B19</f>
        <v>953429.07000000018</v>
      </c>
      <c r="D26" s="223">
        <f t="shared" si="11"/>
        <v>0</v>
      </c>
      <c r="E26" s="270">
        <v>0</v>
      </c>
      <c r="F26" s="273">
        <f>IF(AND(F9&gt;$E$4,F9&lt;$H$4),(($C26)*20%/(($G$4)/3)),IF((F7=1),(($C26)*80%),0))</f>
        <v>38137.162800000006</v>
      </c>
      <c r="G26" s="273">
        <f t="shared" ref="G26:X26" si="23">IF(AND(G9&gt;$E$4,G9&lt;$H$4),(($C26)*20%/(($G$4)/3)),IF((G7=1),(($C26)*80%),0))</f>
        <v>38137.162800000006</v>
      </c>
      <c r="H26" s="273">
        <f t="shared" si="23"/>
        <v>38137.162800000006</v>
      </c>
      <c r="I26" s="273">
        <f t="shared" si="23"/>
        <v>38137.162800000006</v>
      </c>
      <c r="J26" s="273">
        <f t="shared" si="23"/>
        <v>38137.162800000006</v>
      </c>
      <c r="K26" s="273">
        <f t="shared" si="23"/>
        <v>762743.25600000017</v>
      </c>
      <c r="L26" s="273">
        <f t="shared" si="23"/>
        <v>0</v>
      </c>
      <c r="M26" s="273">
        <f t="shared" si="23"/>
        <v>0</v>
      </c>
      <c r="N26" s="273">
        <f t="shared" si="23"/>
        <v>0</v>
      </c>
      <c r="O26" s="273">
        <f t="shared" si="23"/>
        <v>0</v>
      </c>
      <c r="P26" s="273">
        <f t="shared" si="23"/>
        <v>0</v>
      </c>
      <c r="Q26" s="273">
        <f t="shared" si="23"/>
        <v>0</v>
      </c>
      <c r="R26" s="273">
        <f t="shared" si="23"/>
        <v>0</v>
      </c>
      <c r="S26" s="273">
        <f t="shared" si="23"/>
        <v>0</v>
      </c>
      <c r="T26" s="273">
        <f t="shared" si="23"/>
        <v>0</v>
      </c>
      <c r="U26" s="273">
        <f t="shared" si="23"/>
        <v>0</v>
      </c>
      <c r="V26" s="273">
        <f t="shared" si="23"/>
        <v>0</v>
      </c>
      <c r="W26" s="273">
        <f t="shared" si="23"/>
        <v>0</v>
      </c>
      <c r="X26" s="273">
        <f t="shared" si="23"/>
        <v>0</v>
      </c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4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CH26" s="207"/>
      <c r="CI26" s="207"/>
    </row>
    <row r="27" spans="1:87" ht="20.25" customHeight="1">
      <c r="A27" s="207" t="s">
        <v>100</v>
      </c>
      <c r="B27" s="224">
        <f t="shared" si="10"/>
        <v>200000</v>
      </c>
      <c r="C27" s="223">
        <f>'2-D Financial'!$B20</f>
        <v>200000</v>
      </c>
      <c r="D27" s="223">
        <f t="shared" si="11"/>
        <v>0</v>
      </c>
      <c r="E27" s="270">
        <v>0</v>
      </c>
      <c r="F27" s="223">
        <f>IF(F$8=1,$C27/COUNTIF($E$8:$X$8,"1"),0)</f>
        <v>0</v>
      </c>
      <c r="G27" s="223">
        <f t="shared" ref="G27:X27" si="24">IF(G$8=1,$C27/COUNTIF($E$8:$X$8,"1"),0)</f>
        <v>0</v>
      </c>
      <c r="H27" s="223">
        <f>IF(H$8=1,$C27/COUNTIF($E$8:$X$8,"1"),0)</f>
        <v>0</v>
      </c>
      <c r="I27" s="223">
        <f t="shared" si="24"/>
        <v>0</v>
      </c>
      <c r="J27" s="223">
        <f t="shared" si="24"/>
        <v>0</v>
      </c>
      <c r="K27" s="223">
        <f t="shared" si="24"/>
        <v>0</v>
      </c>
      <c r="L27" s="223">
        <f t="shared" si="24"/>
        <v>0</v>
      </c>
      <c r="M27" s="223">
        <f t="shared" si="24"/>
        <v>0</v>
      </c>
      <c r="N27" s="223">
        <f t="shared" si="24"/>
        <v>0</v>
      </c>
      <c r="O27" s="223">
        <f t="shared" si="24"/>
        <v>0</v>
      </c>
      <c r="P27" s="223">
        <f t="shared" si="24"/>
        <v>0</v>
      </c>
      <c r="Q27" s="223">
        <f t="shared" si="24"/>
        <v>0</v>
      </c>
      <c r="R27" s="223">
        <f t="shared" si="24"/>
        <v>66666.666666666672</v>
      </c>
      <c r="S27" s="223">
        <f t="shared" si="24"/>
        <v>66666.666666666672</v>
      </c>
      <c r="T27" s="223">
        <f t="shared" si="24"/>
        <v>66666.666666666672</v>
      </c>
      <c r="U27" s="223">
        <f t="shared" si="24"/>
        <v>0</v>
      </c>
      <c r="V27" s="223">
        <f t="shared" si="24"/>
        <v>0</v>
      </c>
      <c r="W27" s="223">
        <f t="shared" si="24"/>
        <v>0</v>
      </c>
      <c r="X27" s="223">
        <f t="shared" si="24"/>
        <v>0</v>
      </c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4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CH27" s="207"/>
      <c r="CI27" s="207"/>
    </row>
    <row r="28" spans="1:87" ht="20.25" customHeight="1">
      <c r="A28" s="207" t="s">
        <v>103</v>
      </c>
      <c r="B28" s="224">
        <f t="shared" si="10"/>
        <v>235757.00640000001</v>
      </c>
      <c r="C28" s="223">
        <f>'2-D Financial'!$B21</f>
        <v>235757.00640000001</v>
      </c>
      <c r="D28" s="223">
        <f t="shared" si="11"/>
        <v>0</v>
      </c>
      <c r="E28" s="270">
        <v>0</v>
      </c>
      <c r="F28" s="223">
        <f>IF(AND(F9&gt;$I$4,F9&lt;=$L$4),$C28/(($M$4)/3),0)</f>
        <v>0</v>
      </c>
      <c r="G28" s="223">
        <f t="shared" ref="G28:X28" si="25">IF(AND(G9&gt;$I$4,G9&lt;=$L$4),$C28/(($M$4)/3),0)</f>
        <v>0</v>
      </c>
      <c r="H28" s="223">
        <f t="shared" si="25"/>
        <v>0</v>
      </c>
      <c r="I28" s="223">
        <f t="shared" si="25"/>
        <v>0</v>
      </c>
      <c r="J28" s="223">
        <f t="shared" si="25"/>
        <v>0</v>
      </c>
      <c r="K28" s="223">
        <f t="shared" si="25"/>
        <v>0</v>
      </c>
      <c r="L28" s="223">
        <f t="shared" si="25"/>
        <v>0</v>
      </c>
      <c r="M28" s="223">
        <f t="shared" si="25"/>
        <v>0</v>
      </c>
      <c r="N28" s="223">
        <f t="shared" si="25"/>
        <v>0</v>
      </c>
      <c r="O28" s="223">
        <f t="shared" si="25"/>
        <v>0</v>
      </c>
      <c r="P28" s="223">
        <f t="shared" si="25"/>
        <v>0</v>
      </c>
      <c r="Q28" s="223">
        <f t="shared" si="25"/>
        <v>0</v>
      </c>
      <c r="R28" s="223">
        <f t="shared" si="25"/>
        <v>0</v>
      </c>
      <c r="S28" s="223">
        <f t="shared" si="25"/>
        <v>0</v>
      </c>
      <c r="T28" s="223">
        <f t="shared" si="25"/>
        <v>117878.50320000001</v>
      </c>
      <c r="U28" s="223">
        <f t="shared" si="25"/>
        <v>117878.50320000001</v>
      </c>
      <c r="V28" s="223">
        <f t="shared" si="25"/>
        <v>0</v>
      </c>
      <c r="W28" s="223">
        <f t="shared" si="25"/>
        <v>0</v>
      </c>
      <c r="X28" s="223">
        <f t="shared" si="25"/>
        <v>0</v>
      </c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4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CH28" s="207"/>
      <c r="CI28" s="207"/>
    </row>
    <row r="29" spans="1:87" ht="20.25" customHeight="1">
      <c r="A29" s="207" t="s">
        <v>106</v>
      </c>
      <c r="B29" s="224">
        <f t="shared" si="10"/>
        <v>736740.64500000002</v>
      </c>
      <c r="C29" s="223">
        <f>'2-D Financial'!$B22</f>
        <v>736740.64500000002</v>
      </c>
      <c r="D29" s="223">
        <f t="shared" si="11"/>
        <v>0</v>
      </c>
      <c r="E29" s="270">
        <v>0</v>
      </c>
      <c r="F29" s="223">
        <f>IF(F$8=1,$C29/COUNTIF($E$8:$X$8,"1"),0)</f>
        <v>0</v>
      </c>
      <c r="G29" s="223">
        <f t="shared" ref="G29:X29" si="26">IF(G$8=1,$C29/COUNTIF($E$8:$X$8,"1"),0)</f>
        <v>0</v>
      </c>
      <c r="H29" s="223">
        <f t="shared" si="26"/>
        <v>0</v>
      </c>
      <c r="I29" s="223">
        <f t="shared" si="26"/>
        <v>0</v>
      </c>
      <c r="J29" s="223">
        <f t="shared" si="26"/>
        <v>0</v>
      </c>
      <c r="K29" s="223">
        <f t="shared" si="26"/>
        <v>0</v>
      </c>
      <c r="L29" s="223">
        <f t="shared" si="26"/>
        <v>0</v>
      </c>
      <c r="M29" s="223">
        <f t="shared" si="26"/>
        <v>0</v>
      </c>
      <c r="N29" s="223">
        <f t="shared" si="26"/>
        <v>0</v>
      </c>
      <c r="O29" s="223">
        <f t="shared" si="26"/>
        <v>0</v>
      </c>
      <c r="P29" s="223">
        <f t="shared" si="26"/>
        <v>0</v>
      </c>
      <c r="Q29" s="223">
        <f t="shared" si="26"/>
        <v>0</v>
      </c>
      <c r="R29" s="223">
        <f t="shared" si="26"/>
        <v>245580.215</v>
      </c>
      <c r="S29" s="223">
        <f t="shared" si="26"/>
        <v>245580.215</v>
      </c>
      <c r="T29" s="223">
        <f t="shared" si="26"/>
        <v>245580.215</v>
      </c>
      <c r="U29" s="223">
        <f t="shared" si="26"/>
        <v>0</v>
      </c>
      <c r="V29" s="223">
        <f t="shared" si="26"/>
        <v>0</v>
      </c>
      <c r="W29" s="223">
        <f t="shared" si="26"/>
        <v>0</v>
      </c>
      <c r="X29" s="223">
        <f t="shared" si="26"/>
        <v>0</v>
      </c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4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CH29" s="207"/>
      <c r="CI29" s="207"/>
    </row>
    <row r="30" spans="1:87" ht="20.25" customHeight="1">
      <c r="A30" s="207" t="s">
        <v>403</v>
      </c>
      <c r="B30" s="224">
        <f t="shared" si="10"/>
        <v>23575.700640000003</v>
      </c>
      <c r="C30" s="223">
        <f>'2-D Financial'!$B23</f>
        <v>23575.700640000003</v>
      </c>
      <c r="D30" s="223">
        <f t="shared" si="11"/>
        <v>0</v>
      </c>
      <c r="E30" s="270">
        <v>0</v>
      </c>
      <c r="F30" s="223">
        <f>IF(AND(F$9&gt;$I$4,F$9&lt;$L$4),$C30,0)</f>
        <v>0</v>
      </c>
      <c r="G30" s="223">
        <f t="shared" ref="G30:X30" si="27">IF(AND(G$9&gt;$I$4,G$9&lt;$L$4),$C30,0)</f>
        <v>0</v>
      </c>
      <c r="H30" s="223">
        <f t="shared" si="27"/>
        <v>0</v>
      </c>
      <c r="I30" s="223">
        <f t="shared" si="27"/>
        <v>0</v>
      </c>
      <c r="J30" s="223">
        <f t="shared" si="27"/>
        <v>0</v>
      </c>
      <c r="K30" s="223">
        <f t="shared" si="27"/>
        <v>0</v>
      </c>
      <c r="L30" s="223">
        <f t="shared" si="27"/>
        <v>0</v>
      </c>
      <c r="M30" s="223">
        <f t="shared" si="27"/>
        <v>0</v>
      </c>
      <c r="N30" s="223">
        <f t="shared" si="27"/>
        <v>0</v>
      </c>
      <c r="O30" s="223">
        <f t="shared" si="27"/>
        <v>0</v>
      </c>
      <c r="P30" s="223">
        <f t="shared" si="27"/>
        <v>0</v>
      </c>
      <c r="Q30" s="223">
        <f t="shared" si="27"/>
        <v>0</v>
      </c>
      <c r="R30" s="223">
        <f t="shared" si="27"/>
        <v>0</v>
      </c>
      <c r="S30" s="223">
        <f t="shared" si="27"/>
        <v>0</v>
      </c>
      <c r="T30" s="223">
        <f t="shared" si="27"/>
        <v>23575.700640000003</v>
      </c>
      <c r="U30" s="223">
        <f t="shared" si="27"/>
        <v>0</v>
      </c>
      <c r="V30" s="223">
        <f t="shared" si="27"/>
        <v>0</v>
      </c>
      <c r="W30" s="223">
        <f t="shared" si="27"/>
        <v>0</v>
      </c>
      <c r="X30" s="223">
        <f t="shared" si="27"/>
        <v>0</v>
      </c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4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CH30" s="207"/>
      <c r="CI30" s="207"/>
    </row>
    <row r="31" spans="1:87" ht="20.25" customHeight="1">
      <c r="A31" s="207" t="s">
        <v>112</v>
      </c>
      <c r="B31" s="224">
        <f t="shared" si="10"/>
        <v>251394.52848060004</v>
      </c>
      <c r="C31" s="223">
        <f>'2-D Financial'!$B24</f>
        <v>251394.52848060004</v>
      </c>
      <c r="D31" s="223">
        <f t="shared" si="11"/>
        <v>0</v>
      </c>
      <c r="E31" s="270">
        <v>0</v>
      </c>
      <c r="F31" s="223">
        <f t="shared" ref="F31:X31" si="28">IF(F$13&gt;0,$C31/(($J$4)/3),0)</f>
        <v>0</v>
      </c>
      <c r="G31" s="223">
        <f t="shared" si="28"/>
        <v>0</v>
      </c>
      <c r="H31" s="223">
        <f t="shared" si="28"/>
        <v>0</v>
      </c>
      <c r="I31" s="223">
        <f t="shared" si="28"/>
        <v>0</v>
      </c>
      <c r="J31" s="223">
        <f t="shared" si="28"/>
        <v>0</v>
      </c>
      <c r="K31" s="223">
        <f t="shared" si="28"/>
        <v>27932.725386733338</v>
      </c>
      <c r="L31" s="223">
        <f t="shared" si="28"/>
        <v>27932.725386733338</v>
      </c>
      <c r="M31" s="223">
        <f t="shared" si="28"/>
        <v>27932.725386733338</v>
      </c>
      <c r="N31" s="223">
        <f t="shared" si="28"/>
        <v>27932.725386733338</v>
      </c>
      <c r="O31" s="223">
        <f t="shared" si="28"/>
        <v>27932.725386733338</v>
      </c>
      <c r="P31" s="223">
        <f t="shared" si="28"/>
        <v>27932.725386733338</v>
      </c>
      <c r="Q31" s="223">
        <f t="shared" si="28"/>
        <v>27932.725386733338</v>
      </c>
      <c r="R31" s="223">
        <f t="shared" si="28"/>
        <v>27932.725386733338</v>
      </c>
      <c r="S31" s="223">
        <f t="shared" si="28"/>
        <v>27932.725386733338</v>
      </c>
      <c r="T31" s="223">
        <f t="shared" si="28"/>
        <v>0</v>
      </c>
      <c r="U31" s="223">
        <f t="shared" si="28"/>
        <v>0</v>
      </c>
      <c r="V31" s="223">
        <f t="shared" si="28"/>
        <v>0</v>
      </c>
      <c r="W31" s="223">
        <f t="shared" si="28"/>
        <v>0</v>
      </c>
      <c r="X31" s="223">
        <f t="shared" si="28"/>
        <v>0</v>
      </c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CH31" s="207"/>
      <c r="CI31" s="207"/>
    </row>
    <row r="32" spans="1:87" ht="20.25" customHeight="1">
      <c r="A32" s="207" t="s">
        <v>165</v>
      </c>
      <c r="B32" s="224">
        <f>SUM(E32:X32)</f>
        <v>-8166666.6666666679</v>
      </c>
      <c r="C32" s="223">
        <f>'2-D Financial'!$B25</f>
        <v>-8166666.666666667</v>
      </c>
      <c r="D32" s="223">
        <f>B32-C32</f>
        <v>0</v>
      </c>
      <c r="E32" s="270">
        <v>0</v>
      </c>
      <c r="F32" s="223">
        <f>$C32*F$13</f>
        <v>0</v>
      </c>
      <c r="G32" s="223">
        <f t="shared" ref="G32:X32" si="29">$C32*G$13</f>
        <v>0</v>
      </c>
      <c r="H32" s="223">
        <f t="shared" si="29"/>
        <v>0</v>
      </c>
      <c r="I32" s="223">
        <f t="shared" si="29"/>
        <v>0</v>
      </c>
      <c r="J32" s="223">
        <f t="shared" si="29"/>
        <v>0</v>
      </c>
      <c r="K32" s="223">
        <f t="shared" si="29"/>
        <v>-211687.6714223845</v>
      </c>
      <c r="L32" s="223">
        <f t="shared" si="29"/>
        <v>-461517.3658815776</v>
      </c>
      <c r="M32" s="223">
        <f t="shared" si="29"/>
        <v>-979143.40723245603</v>
      </c>
      <c r="N32" s="223">
        <f t="shared" si="29"/>
        <v>-1537481.938171111</v>
      </c>
      <c r="O32" s="223">
        <f t="shared" si="29"/>
        <v>-1787005.9012516087</v>
      </c>
      <c r="P32" s="223">
        <f t="shared" si="29"/>
        <v>-1537481.938171111</v>
      </c>
      <c r="Q32" s="223">
        <f t="shared" si="29"/>
        <v>-979143.40723245637</v>
      </c>
      <c r="R32" s="223">
        <f t="shared" si="29"/>
        <v>-461517.36588157713</v>
      </c>
      <c r="S32" s="223">
        <f t="shared" si="29"/>
        <v>-211687.67142238459</v>
      </c>
      <c r="T32" s="223">
        <f t="shared" si="29"/>
        <v>0</v>
      </c>
      <c r="U32" s="223">
        <f t="shared" si="29"/>
        <v>0</v>
      </c>
      <c r="V32" s="223">
        <f t="shared" si="29"/>
        <v>0</v>
      </c>
      <c r="W32" s="223">
        <f t="shared" si="29"/>
        <v>0</v>
      </c>
      <c r="X32" s="223">
        <f t="shared" si="29"/>
        <v>0</v>
      </c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4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CH32" s="207"/>
      <c r="CI32" s="207"/>
    </row>
    <row r="33" spans="1:87" ht="20.25" customHeight="1">
      <c r="A33" s="207" t="s">
        <v>38</v>
      </c>
      <c r="B33" s="224">
        <f ca="1">SUM(E33:X33)</f>
        <v>260000</v>
      </c>
      <c r="C33" s="223">
        <f>'2-D Financial'!$B26</f>
        <v>260000</v>
      </c>
      <c r="D33" s="223">
        <f ca="1">B33-C33</f>
        <v>0</v>
      </c>
      <c r="E33" s="270">
        <v>0</v>
      </c>
      <c r="F33" s="223">
        <f t="shared" ref="F33:X33" ca="1" si="30">IF(AND(G39&gt;0,F39=0),$C$33,0)</f>
        <v>0</v>
      </c>
      <c r="G33" s="223">
        <f t="shared" ca="1" si="30"/>
        <v>0</v>
      </c>
      <c r="H33" s="223">
        <f t="shared" ca="1" si="30"/>
        <v>0</v>
      </c>
      <c r="I33" s="223">
        <f t="shared" ca="1" si="30"/>
        <v>0</v>
      </c>
      <c r="J33" s="223">
        <f t="shared" ca="1" si="30"/>
        <v>0</v>
      </c>
      <c r="K33" s="223">
        <f t="shared" ca="1" si="30"/>
        <v>0</v>
      </c>
      <c r="L33" s="223">
        <f t="shared" ca="1" si="30"/>
        <v>0</v>
      </c>
      <c r="M33" s="223">
        <f t="shared" ca="1" si="30"/>
        <v>260000</v>
      </c>
      <c r="N33" s="223">
        <f t="shared" ca="1" si="30"/>
        <v>0</v>
      </c>
      <c r="O33" s="223">
        <f t="shared" ca="1" si="30"/>
        <v>0</v>
      </c>
      <c r="P33" s="223">
        <f t="shared" ca="1" si="30"/>
        <v>0</v>
      </c>
      <c r="Q33" s="223">
        <f t="shared" ca="1" si="30"/>
        <v>0</v>
      </c>
      <c r="R33" s="223">
        <f t="shared" ca="1" si="30"/>
        <v>0</v>
      </c>
      <c r="S33" s="223">
        <f t="shared" ca="1" si="30"/>
        <v>0</v>
      </c>
      <c r="T33" s="223">
        <f t="shared" ca="1" si="30"/>
        <v>0</v>
      </c>
      <c r="U33" s="223">
        <f t="shared" ca="1" si="30"/>
        <v>0</v>
      </c>
      <c r="V33" s="223">
        <f t="shared" ca="1" si="30"/>
        <v>0</v>
      </c>
      <c r="W33" s="223">
        <f t="shared" ca="1" si="30"/>
        <v>0</v>
      </c>
      <c r="X33" s="223">
        <f t="shared" ca="1" si="30"/>
        <v>0</v>
      </c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4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CH33" s="207"/>
      <c r="CI33" s="207"/>
    </row>
    <row r="34" spans="1:87" ht="20.25" customHeight="1">
      <c r="A34" s="207" t="s">
        <v>407</v>
      </c>
      <c r="B34" s="224">
        <f>SUM(E34:X34)</f>
        <v>4159999.9999999991</v>
      </c>
      <c r="C34" s="223">
        <f>'2-D Financial'!$B27</f>
        <v>4160000</v>
      </c>
      <c r="D34" s="223">
        <f>B34-C34</f>
        <v>0</v>
      </c>
      <c r="E34" s="270">
        <v>0</v>
      </c>
      <c r="F34" s="223">
        <f>IF(F7&lt;&gt;0,$C$34/($J$4/3),0)</f>
        <v>0</v>
      </c>
      <c r="G34" s="223">
        <f t="shared" ref="G34:X34" si="31">IF(G7&lt;&gt;0,$C$34/($J$4/3),0)</f>
        <v>0</v>
      </c>
      <c r="H34" s="223">
        <f t="shared" si="31"/>
        <v>0</v>
      </c>
      <c r="I34" s="223">
        <f t="shared" si="31"/>
        <v>0</v>
      </c>
      <c r="J34" s="223">
        <f t="shared" si="31"/>
        <v>0</v>
      </c>
      <c r="K34" s="223">
        <f t="shared" si="31"/>
        <v>462222.22222222225</v>
      </c>
      <c r="L34" s="223">
        <f t="shared" si="31"/>
        <v>462222.22222222225</v>
      </c>
      <c r="M34" s="223">
        <f t="shared" si="31"/>
        <v>462222.22222222225</v>
      </c>
      <c r="N34" s="223">
        <f t="shared" si="31"/>
        <v>462222.22222222225</v>
      </c>
      <c r="O34" s="223">
        <f t="shared" si="31"/>
        <v>462222.22222222225</v>
      </c>
      <c r="P34" s="223">
        <f t="shared" si="31"/>
        <v>462222.22222222225</v>
      </c>
      <c r="Q34" s="223">
        <f t="shared" si="31"/>
        <v>462222.22222222225</v>
      </c>
      <c r="R34" s="223">
        <f t="shared" si="31"/>
        <v>462222.22222222225</v>
      </c>
      <c r="S34" s="223">
        <f t="shared" si="31"/>
        <v>462222.22222222225</v>
      </c>
      <c r="T34" s="223">
        <f t="shared" si="31"/>
        <v>0</v>
      </c>
      <c r="U34" s="223">
        <f t="shared" si="31"/>
        <v>0</v>
      </c>
      <c r="V34" s="223">
        <f t="shared" si="31"/>
        <v>0</v>
      </c>
      <c r="W34" s="223">
        <f t="shared" si="31"/>
        <v>0</v>
      </c>
      <c r="X34" s="223">
        <f t="shared" si="31"/>
        <v>0</v>
      </c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4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CH34" s="207"/>
      <c r="CI34" s="207"/>
    </row>
    <row r="35" spans="1:87" ht="20.25" customHeight="1">
      <c r="B35" s="252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CH35" s="207"/>
      <c r="CI35" s="207"/>
    </row>
    <row r="36" spans="1:87" s="254" customFormat="1" ht="30" customHeight="1">
      <c r="A36" s="254" t="s">
        <v>408</v>
      </c>
      <c r="B36" s="256">
        <f ca="1">SUM(E36:X36)</f>
        <v>78873307.19385393</v>
      </c>
      <c r="C36" s="255">
        <f>SUM(C14:C34)</f>
        <v>78873307.193853945</v>
      </c>
      <c r="D36" s="255">
        <f ca="1">B36-C36</f>
        <v>0</v>
      </c>
      <c r="E36" s="255">
        <f>SUM(E14:E34)</f>
        <v>0</v>
      </c>
      <c r="F36" s="255">
        <f ca="1">SUM(F14:F34)</f>
        <v>305097.30239999999</v>
      </c>
      <c r="G36" s="255">
        <f t="shared" ref="G36:X36" ca="1" si="32">SUM(G14:G34)</f>
        <v>305097.30239999999</v>
      </c>
      <c r="H36" s="255">
        <f t="shared" ca="1" si="32"/>
        <v>305097.30239999999</v>
      </c>
      <c r="I36" s="255">
        <f t="shared" ca="1" si="32"/>
        <v>305097.30239999999</v>
      </c>
      <c r="J36" s="255">
        <f t="shared" ca="1" si="32"/>
        <v>1134229.2324000001</v>
      </c>
      <c r="K36" s="255">
        <f t="shared" ca="1" si="32"/>
        <v>3487535.0732250186</v>
      </c>
      <c r="L36" s="255">
        <f t="shared" ca="1" si="32"/>
        <v>4728610.6539502181</v>
      </c>
      <c r="M36" s="255">
        <f t="shared" ca="1" si="32"/>
        <v>9140354.1617973484</v>
      </c>
      <c r="N36" s="255">
        <f t="shared" ca="1" si="32"/>
        <v>13358641.932937773</v>
      </c>
      <c r="O36" s="255">
        <f t="shared" ca="1" si="32"/>
        <v>15360008.577993229</v>
      </c>
      <c r="P36" s="255">
        <f t="shared" ca="1" si="32"/>
        <v>13358641.932937773</v>
      </c>
      <c r="Q36" s="255">
        <f t="shared" ca="1" si="32"/>
        <v>8732042.9731306862</v>
      </c>
      <c r="R36" s="255">
        <f t="shared" ca="1" si="32"/>
        <v>4892546.3469502144</v>
      </c>
      <c r="S36" s="255">
        <f t="shared" ca="1" si="32"/>
        <v>2888727.5102250185</v>
      </c>
      <c r="T36" s="255">
        <f t="shared" ca="1" si="32"/>
        <v>453701.08550666663</v>
      </c>
      <c r="U36" s="255">
        <f t="shared" ca="1" si="32"/>
        <v>117878.50320000001</v>
      </c>
      <c r="V36" s="255">
        <f t="shared" ca="1" si="32"/>
        <v>0</v>
      </c>
      <c r="W36" s="255">
        <f t="shared" ca="1" si="32"/>
        <v>0</v>
      </c>
      <c r="X36" s="255">
        <f t="shared" ca="1" si="32"/>
        <v>0</v>
      </c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6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</row>
    <row r="37" spans="1:87" s="227" customFormat="1" ht="20.25" customHeight="1">
      <c r="A37" s="227" t="s">
        <v>493</v>
      </c>
      <c r="B37" s="369">
        <f ca="1">SUM(E37:X37)</f>
        <v>26816924.445910338</v>
      </c>
      <c r="C37" s="228"/>
      <c r="D37" s="230"/>
      <c r="E37" s="228">
        <f>E36</f>
        <v>0</v>
      </c>
      <c r="F37" s="228">
        <f t="shared" ref="F37:X37" ca="1" si="33">IF(((E38+F36)&lt;=$B$38),F36,($B$38-E38))</f>
        <v>305097.30239999999</v>
      </c>
      <c r="G37" s="228">
        <f t="shared" ca="1" si="33"/>
        <v>305097.30239999999</v>
      </c>
      <c r="H37" s="228">
        <f t="shared" ca="1" si="33"/>
        <v>305097.30239999999</v>
      </c>
      <c r="I37" s="228">
        <f t="shared" ca="1" si="33"/>
        <v>305097.30239999999</v>
      </c>
      <c r="J37" s="228">
        <f t="shared" ca="1" si="33"/>
        <v>1134229.2324000001</v>
      </c>
      <c r="K37" s="228">
        <f t="shared" ca="1" si="33"/>
        <v>3487535.0732250186</v>
      </c>
      <c r="L37" s="228">
        <f t="shared" ca="1" si="33"/>
        <v>4728610.6539502181</v>
      </c>
      <c r="M37" s="228">
        <f t="shared" ca="1" si="33"/>
        <v>9140354.1617973484</v>
      </c>
      <c r="N37" s="228">
        <f t="shared" ca="1" si="33"/>
        <v>7105806.1149377525</v>
      </c>
      <c r="O37" s="228">
        <f t="shared" ca="1" si="33"/>
        <v>0</v>
      </c>
      <c r="P37" s="228">
        <f t="shared" ca="1" si="33"/>
        <v>0</v>
      </c>
      <c r="Q37" s="228">
        <f t="shared" ca="1" si="33"/>
        <v>0</v>
      </c>
      <c r="R37" s="228">
        <f t="shared" ca="1" si="33"/>
        <v>0</v>
      </c>
      <c r="S37" s="228">
        <f t="shared" ca="1" si="33"/>
        <v>0</v>
      </c>
      <c r="T37" s="228">
        <f t="shared" ca="1" si="33"/>
        <v>0</v>
      </c>
      <c r="U37" s="228">
        <f t="shared" ca="1" si="33"/>
        <v>0</v>
      </c>
      <c r="V37" s="228">
        <f t="shared" ca="1" si="33"/>
        <v>0</v>
      </c>
      <c r="W37" s="228">
        <f t="shared" ca="1" si="33"/>
        <v>0</v>
      </c>
      <c r="X37" s="228">
        <f t="shared" ca="1" si="33"/>
        <v>0</v>
      </c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9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</row>
    <row r="38" spans="1:87" ht="20.25" customHeight="1">
      <c r="A38" s="207" t="s">
        <v>494</v>
      </c>
      <c r="B38" s="224">
        <f>'2-D Financial'!$D$15</f>
        <v>26816924.445910338</v>
      </c>
      <c r="C38" s="223"/>
      <c r="D38" s="223"/>
      <c r="E38" s="223">
        <f>IF(OR(E9&lt;$E$4,E9&gt;$L$4),0,IF(SUM($E$37:E37)&lt;=$B38,SUM($E$37:E37),$B$38))</f>
        <v>0</v>
      </c>
      <c r="F38" s="223">
        <f ca="1">IF(OR(F9&lt;$E$4,F9&gt;$L$4),0,IF(SUM($E$37:F37)&lt;=$B38,SUM($E$37:F37),$B$38))</f>
        <v>305097.30239999999</v>
      </c>
      <c r="G38" s="223">
        <f ca="1">IF(OR(G9&lt;$E$4,G9&gt;$L$4),0,IF(SUM($E$37:G37)&lt;=$B38,SUM($E$37:G37),$B$38))</f>
        <v>610194.60479999997</v>
      </c>
      <c r="H38" s="223">
        <f ca="1">IF(OR(H9&lt;$E$4,H9&gt;$L$4),0,IF(SUM($E$37:H37)&lt;=$B38,SUM($E$37:H37),$B$38))</f>
        <v>915291.90720000002</v>
      </c>
      <c r="I38" s="223">
        <f ca="1">IF(OR(I9&lt;$E$4,I9&gt;$L$4),0,IF(SUM($E$37:I37)&lt;=$B38,SUM($E$37:I37),$B$38))</f>
        <v>1220389.2095999999</v>
      </c>
      <c r="J38" s="223">
        <f ca="1">IF(OR(J9&lt;$E$4,J9&gt;$L$4),0,IF(SUM($E$37:J37)&lt;=$B38,SUM($E$37:J37),$B$38))</f>
        <v>2354618.4419999998</v>
      </c>
      <c r="K38" s="223">
        <f ca="1">IF(OR(K9&lt;$E$4,K9&gt;$L$4),0,IF(SUM($E$37:K37)&lt;=$B38,SUM($E$37:K37),$B$38))</f>
        <v>5842153.5152250184</v>
      </c>
      <c r="L38" s="223">
        <f ca="1">IF(OR(L9&lt;$E$4,L9&gt;$L$4),0,IF(SUM($E$37:L37)&lt;=$B38,SUM($E$37:L37),$B$38))</f>
        <v>10570764.169175237</v>
      </c>
      <c r="M38" s="223">
        <f ca="1">IF(OR(M9&lt;$E$4,M9&gt;$L$4),0,IF(SUM($E$37:M37)&lt;=$B38,SUM($E$37:M37),$B$38))</f>
        <v>19711118.330972586</v>
      </c>
      <c r="N38" s="223">
        <f ca="1">IF(OR(N9&lt;$E$4,N9&gt;$L$4),0,IF(SUM($E$37:N37)&lt;=$B38,SUM($E$37:N37),$B$38))</f>
        <v>26816924.445910338</v>
      </c>
      <c r="O38" s="223">
        <f ca="1">IF(OR(O9&lt;$E$4,O9&gt;$L$4),0,IF(SUM($E$37:O37)&lt;=$B38,SUM($E$37:O37),$B$38))</f>
        <v>26816924.445910338</v>
      </c>
      <c r="P38" s="223">
        <f ca="1">IF(OR(P9&lt;$E$4,P9&gt;$L$4),0,IF(SUM($E$37:P37)&lt;=$B38,SUM($E$37:P37),$B$38))</f>
        <v>26816924.445910338</v>
      </c>
      <c r="Q38" s="223">
        <f ca="1">IF(OR(Q9&lt;$E$4,Q9&gt;$L$4),0,IF(SUM($E$37:Q37)&lt;=$B38,SUM($E$37:Q37),$B$38))</f>
        <v>26816924.445910338</v>
      </c>
      <c r="R38" s="223">
        <f ca="1">IF(OR(R9&lt;$E$4,R9&gt;$L$4),0,IF(SUM($E$37:R37)&lt;=$B38,SUM($E$37:R37),$B$38))</f>
        <v>26816924.445910338</v>
      </c>
      <c r="S38" s="223">
        <f ca="1">IF(OR(S9&lt;$E$4,S9&gt;$L$4),0,IF(SUM($E$37:S37)&lt;=$B38,SUM($E$37:S37),$B$38))</f>
        <v>26816924.445910338</v>
      </c>
      <c r="T38" s="223">
        <f ca="1">IF(OR(T9&lt;$E$4,T9&gt;$L$4),0,IF(SUM($E$37:T37)&lt;=$B38,SUM($E$37:T37),$B$38))</f>
        <v>26816924.445910338</v>
      </c>
      <c r="U38" s="223">
        <f ca="1">IF(OR(U9&lt;$E$4,U9&gt;$L$4),0,IF(SUM($E$37:U37)&lt;=$B38,SUM($E$37:U37),$B$38))</f>
        <v>26816924.445910338</v>
      </c>
      <c r="V38" s="223">
        <f>IF(OR(V9&lt;$E$4,V9&gt;$L$4),0,IF(SUM($E$37:V37)&lt;=$B38,SUM($E$37:V37),$B$38))</f>
        <v>0</v>
      </c>
      <c r="W38" s="223">
        <f>IF(OR(W9&lt;$E$4,W9&gt;$L$4),0,IF(SUM($E$37:W37)&lt;=$B38,SUM($E$37:W37),$B$38))</f>
        <v>0</v>
      </c>
      <c r="X38" s="223">
        <f>IF(OR(X9&lt;$E$4,X9&gt;$L$4),0,IF(SUM($E$37:X37)&lt;=$B38,SUM($E$37:X37),$B$38))</f>
        <v>0</v>
      </c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4"/>
      <c r="AS38" s="223"/>
      <c r="AT38" s="223"/>
      <c r="AU38" s="223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CH38" s="207"/>
      <c r="CI38" s="207"/>
    </row>
    <row r="39" spans="1:87" ht="20.25" customHeight="1">
      <c r="A39" s="207" t="s">
        <v>495</v>
      </c>
      <c r="B39" s="365">
        <f ca="1">SUM(E39:X39)</f>
        <v>52056382.747943617</v>
      </c>
      <c r="C39" s="223"/>
      <c r="D39" s="223"/>
      <c r="E39" s="223">
        <f t="shared" ref="E39:X39" si="34">IF(E36&gt;E37,E36-E37,0)</f>
        <v>0</v>
      </c>
      <c r="F39" s="223">
        <f t="shared" ca="1" si="34"/>
        <v>0</v>
      </c>
      <c r="G39" s="223">
        <f t="shared" ca="1" si="34"/>
        <v>0</v>
      </c>
      <c r="H39" s="223">
        <f t="shared" ca="1" si="34"/>
        <v>0</v>
      </c>
      <c r="I39" s="223">
        <f t="shared" ca="1" si="34"/>
        <v>0</v>
      </c>
      <c r="J39" s="223">
        <f t="shared" ca="1" si="34"/>
        <v>0</v>
      </c>
      <c r="K39" s="223">
        <f t="shared" ca="1" si="34"/>
        <v>0</v>
      </c>
      <c r="L39" s="223">
        <f t="shared" ca="1" si="34"/>
        <v>0</v>
      </c>
      <c r="M39" s="223">
        <f t="shared" ca="1" si="34"/>
        <v>0</v>
      </c>
      <c r="N39" s="223">
        <f t="shared" ca="1" si="34"/>
        <v>6252835.8180000205</v>
      </c>
      <c r="O39" s="223">
        <f t="shared" ca="1" si="34"/>
        <v>15360008.577993229</v>
      </c>
      <c r="P39" s="223">
        <f t="shared" ca="1" si="34"/>
        <v>13358641.932937773</v>
      </c>
      <c r="Q39" s="223">
        <f t="shared" ca="1" si="34"/>
        <v>8732042.9731306862</v>
      </c>
      <c r="R39" s="223">
        <f t="shared" ca="1" si="34"/>
        <v>4892546.3469502144</v>
      </c>
      <c r="S39" s="223">
        <f t="shared" ca="1" si="34"/>
        <v>2888727.5102250185</v>
      </c>
      <c r="T39" s="223">
        <f t="shared" ca="1" si="34"/>
        <v>453701.08550666663</v>
      </c>
      <c r="U39" s="223">
        <f t="shared" ca="1" si="34"/>
        <v>117878.50320000001</v>
      </c>
      <c r="V39" s="223">
        <f t="shared" ca="1" si="34"/>
        <v>0</v>
      </c>
      <c r="W39" s="223">
        <f t="shared" ca="1" si="34"/>
        <v>0</v>
      </c>
      <c r="X39" s="223">
        <f t="shared" ca="1" si="34"/>
        <v>0</v>
      </c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4"/>
      <c r="AS39" s="245"/>
      <c r="AT39" s="223"/>
      <c r="AU39" s="223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CH39" s="207"/>
      <c r="CI39" s="207"/>
    </row>
    <row r="40" spans="1:87" s="227" customFormat="1" ht="20.25" customHeight="1">
      <c r="A40" s="227" t="s">
        <v>496</v>
      </c>
      <c r="B40" s="229">
        <f ca="1">-B39</f>
        <v>-52056382.747943617</v>
      </c>
      <c r="C40" s="228"/>
      <c r="D40" s="228"/>
      <c r="E40" s="228">
        <f>IF(E6=$K$3,$B$40,0)</f>
        <v>0</v>
      </c>
      <c r="F40" s="228">
        <f t="shared" ref="F40:X40" si="35">IF(F6=$L$3,$B$40,0)</f>
        <v>0</v>
      </c>
      <c r="G40" s="228">
        <f t="shared" si="35"/>
        <v>0</v>
      </c>
      <c r="H40" s="228">
        <f t="shared" si="35"/>
        <v>0</v>
      </c>
      <c r="I40" s="228">
        <f t="shared" si="35"/>
        <v>0</v>
      </c>
      <c r="J40" s="228">
        <f t="shared" si="35"/>
        <v>0</v>
      </c>
      <c r="K40" s="228">
        <f t="shared" si="35"/>
        <v>0</v>
      </c>
      <c r="L40" s="228">
        <f t="shared" si="35"/>
        <v>0</v>
      </c>
      <c r="M40" s="228">
        <f t="shared" si="35"/>
        <v>0</v>
      </c>
      <c r="N40" s="228">
        <f t="shared" si="35"/>
        <v>0</v>
      </c>
      <c r="O40" s="228">
        <f t="shared" si="35"/>
        <v>0</v>
      </c>
      <c r="P40" s="228">
        <f t="shared" si="35"/>
        <v>0</v>
      </c>
      <c r="Q40" s="228">
        <f t="shared" si="35"/>
        <v>0</v>
      </c>
      <c r="R40" s="228">
        <f t="shared" si="35"/>
        <v>0</v>
      </c>
      <c r="S40" s="228">
        <f t="shared" si="35"/>
        <v>0</v>
      </c>
      <c r="T40" s="228">
        <f t="shared" si="35"/>
        <v>0</v>
      </c>
      <c r="U40" s="228">
        <f t="shared" ca="1" si="35"/>
        <v>-52056382.747943617</v>
      </c>
      <c r="V40" s="228">
        <f t="shared" si="35"/>
        <v>0</v>
      </c>
      <c r="W40" s="228">
        <f t="shared" si="35"/>
        <v>0</v>
      </c>
      <c r="X40" s="228">
        <f t="shared" si="35"/>
        <v>0</v>
      </c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9"/>
      <c r="AS40" s="228"/>
      <c r="AT40" s="228"/>
      <c r="AU40" s="228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</row>
    <row r="41" spans="1:87" s="366" customFormat="1" ht="20.25" customHeight="1">
      <c r="A41" s="371" t="s">
        <v>497</v>
      </c>
      <c r="B41" s="372">
        <f>'2-D Financial'!$D$9</f>
        <v>54790062</v>
      </c>
      <c r="C41" s="373"/>
      <c r="D41" s="373"/>
      <c r="E41" s="373">
        <f t="shared" ref="E41:X41" si="36">IF(E6=$L$3,$B41,0)</f>
        <v>0</v>
      </c>
      <c r="F41" s="373">
        <f t="shared" si="36"/>
        <v>0</v>
      </c>
      <c r="G41" s="373">
        <f t="shared" si="36"/>
        <v>0</v>
      </c>
      <c r="H41" s="373">
        <f t="shared" si="36"/>
        <v>0</v>
      </c>
      <c r="I41" s="373">
        <f t="shared" si="36"/>
        <v>0</v>
      </c>
      <c r="J41" s="373">
        <f t="shared" si="36"/>
        <v>0</v>
      </c>
      <c r="K41" s="373">
        <f t="shared" si="36"/>
        <v>0</v>
      </c>
      <c r="L41" s="373">
        <f t="shared" si="36"/>
        <v>0</v>
      </c>
      <c r="M41" s="373">
        <f t="shared" si="36"/>
        <v>0</v>
      </c>
      <c r="N41" s="373">
        <f t="shared" si="36"/>
        <v>0</v>
      </c>
      <c r="O41" s="373">
        <f t="shared" si="36"/>
        <v>0</v>
      </c>
      <c r="P41" s="373">
        <f t="shared" si="36"/>
        <v>0</v>
      </c>
      <c r="Q41" s="373">
        <f t="shared" si="36"/>
        <v>0</v>
      </c>
      <c r="R41" s="373">
        <f t="shared" si="36"/>
        <v>0</v>
      </c>
      <c r="S41" s="373">
        <f t="shared" si="36"/>
        <v>0</v>
      </c>
      <c r="T41" s="373">
        <f t="shared" si="36"/>
        <v>0</v>
      </c>
      <c r="U41" s="373">
        <f>IF(U6=$L$3,$B41,0)</f>
        <v>54790062</v>
      </c>
      <c r="V41" s="373">
        <f t="shared" si="36"/>
        <v>0</v>
      </c>
      <c r="W41" s="373">
        <f t="shared" si="36"/>
        <v>0</v>
      </c>
      <c r="X41" s="373">
        <f t="shared" si="36"/>
        <v>0</v>
      </c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2"/>
      <c r="AS41" s="373"/>
      <c r="AT41" s="373"/>
      <c r="AU41" s="373"/>
      <c r="AV41" s="374"/>
      <c r="AW41" s="374"/>
      <c r="AX41" s="374"/>
      <c r="AY41" s="374"/>
      <c r="AZ41" s="374"/>
      <c r="BA41" s="374"/>
      <c r="BB41" s="374"/>
      <c r="BC41" s="374"/>
      <c r="BD41" s="374"/>
      <c r="BE41" s="374"/>
      <c r="BF41" s="374"/>
      <c r="BG41" s="374"/>
      <c r="BH41" s="374"/>
      <c r="BI41" s="374"/>
      <c r="BJ41" s="374"/>
      <c r="BK41" s="374"/>
      <c r="BL41" s="374"/>
      <c r="BM41" s="374"/>
      <c r="BN41" s="374"/>
      <c r="BO41" s="374"/>
      <c r="BP41" s="374"/>
      <c r="BQ41" s="374"/>
      <c r="BR41" s="374"/>
      <c r="BS41" s="374"/>
      <c r="BT41" s="374"/>
      <c r="BU41" s="374"/>
      <c r="BV41" s="371"/>
      <c r="BW41" s="371"/>
      <c r="BX41" s="371"/>
      <c r="BY41" s="371"/>
      <c r="BZ41" s="371"/>
      <c r="CA41" s="371"/>
      <c r="CB41" s="371"/>
      <c r="CC41" s="371"/>
      <c r="CD41" s="371"/>
      <c r="CE41" s="371"/>
      <c r="CF41" s="371"/>
      <c r="CG41" s="371"/>
      <c r="CH41" s="371"/>
      <c r="CI41" s="371"/>
    </row>
    <row r="42" spans="1:87" s="488" customFormat="1" ht="20.25" customHeight="1">
      <c r="A42" s="1092" t="s">
        <v>498</v>
      </c>
      <c r="B42" s="838">
        <f ca="1">SUM(E42:AR42)</f>
        <v>6405175.4378203377</v>
      </c>
      <c r="C42" s="1095"/>
      <c r="D42" s="1095"/>
      <c r="E42" s="1095">
        <f ca="1">IF(E41&gt;$B$39,0,IF('2-D Financial'!$D$11="NO",IF(E6&lt;&gt;$L$3,0,'2-D Amortization'!$E$4),IF(E6=$L$3,'2-D Amortization'!$E$4,0)))</f>
        <v>0</v>
      </c>
      <c r="F42" s="1095">
        <f ca="1">IF(F41&gt;$B$39,0,IF('2-D Financial'!$D$11="NO",IF(F6&lt;&gt;$L$3,0,'2-D Amortization'!$E$4),IF(F6=$L$3,'2-D Amortization'!$E$4,0)))</f>
        <v>0</v>
      </c>
      <c r="G42" s="1095">
        <f ca="1">IF(G41&gt;$B$39,0,IF('2-D Financial'!$D$11="NO",IF(G6&lt;&gt;$L$3,0,'2-D Amortization'!$E$4),IF(G6=$L$3,'2-D Amortization'!$E$4,0)))</f>
        <v>0</v>
      </c>
      <c r="H42" s="1095">
        <f ca="1">IF(H41&gt;$B$39,0,IF('2-D Financial'!$D$11="NO",IF(H6&lt;&gt;$L$3,0,'2-D Amortization'!$E$4),IF(H6=$L$3,'2-D Amortization'!$E$4,0)))</f>
        <v>0</v>
      </c>
      <c r="I42" s="1095">
        <f ca="1">IF(I41&gt;$B$39,0,IF('2-D Financial'!$D$11="NO",IF(I6&lt;&gt;$L$3,0,'2-D Amortization'!$E$4),IF(I6=$L$3,'2-D Amortization'!$E$4,0)))</f>
        <v>0</v>
      </c>
      <c r="J42" s="1095">
        <f ca="1">IF(J41&gt;$B$39,0,IF('2-D Financial'!$D$11="NO",IF(J6&lt;&gt;$L$3,0,'2-D Amortization'!$E$4),IF(J6=$L$3,'2-D Amortization'!$E$4,0)))</f>
        <v>0</v>
      </c>
      <c r="K42" s="1095">
        <f ca="1">IF(K41&gt;$B$39,0,IF('2-D Financial'!$D$11="NO",IF(K6&lt;&gt;$L$3,0,'2-D Amortization'!$E$4),IF(K6=$L$3,'2-D Amortization'!$E$4,0)))</f>
        <v>0</v>
      </c>
      <c r="L42" s="1095">
        <f ca="1">IF(L41&gt;$B$39,0,IF('2-D Financial'!$D$11="NO",IF(L6&lt;&gt;$L$3,0,'2-D Amortization'!$E$4),IF(L6=$L$3,'2-D Amortization'!$E$4,0)))</f>
        <v>0</v>
      </c>
      <c r="M42" s="1095">
        <f ca="1">IF(M41&gt;$B$39,0,IF('2-D Financial'!$D$11="NO",IF(M6&lt;&gt;$L$3,0,'2-D Amortization'!$E$4),IF(M6=$L$3,'2-D Amortization'!$E$4,0)))</f>
        <v>0</v>
      </c>
      <c r="N42" s="1095">
        <f ca="1">IF(N41&gt;$B$39,0,IF('2-D Financial'!$D$11="NO",IF(N6&lt;&gt;$L$3,0,'2-D Amortization'!$E$4),IF(N6=$L$3,'2-D Amortization'!$E$4,0)))</f>
        <v>0</v>
      </c>
      <c r="O42" s="1095">
        <f ca="1">IF(O41&gt;$B$39,0,IF('2-D Financial'!$D$11="NO",IF(O6&lt;&gt;$L$3,0,'2-D Amortization'!$E$4),IF(O6=$L$3,'2-D Amortization'!$E$4,0)))</f>
        <v>0</v>
      </c>
      <c r="P42" s="1095">
        <f ca="1">IF(P41&gt;$B$39,0,IF('2-D Financial'!$D$11="NO",IF(P6&lt;&gt;$L$3,0,'2-D Amortization'!$E$4),IF(P6=$L$3,'2-D Amortization'!$E$4,0)))</f>
        <v>0</v>
      </c>
      <c r="Q42" s="1095">
        <f ca="1">IF(Q41&gt;$B$39,0,IF('2-D Financial'!$D$11="NO",IF(Q6&lt;&gt;$L$3,0,'2-D Amortization'!$E$4),IF(Q6=$L$3,'2-D Amortization'!$E$4,0)))</f>
        <v>0</v>
      </c>
      <c r="R42" s="1095">
        <f ca="1">IF(R41&gt;$B$39,0,IF('2-D Financial'!$D$11="NO",IF(R6&lt;&gt;$L$3,0,'2-D Amortization'!$E$4),IF(R6=$L$3,'2-D Amortization'!$E$4,0)))</f>
        <v>0</v>
      </c>
      <c r="S42" s="1095">
        <f ca="1">IF(S41&gt;$B$39,0,IF('2-D Financial'!$D$11="NO",IF(S6&lt;&gt;$L$3,0,'2-D Amortization'!$E$4),IF(S6=$L$3,'2-D Amortization'!$E$4,0)))</f>
        <v>0</v>
      </c>
      <c r="T42" s="1095">
        <f ca="1">IF(T41&gt;$B$39,0,IF('2-D Financial'!$D$11="NO",IF(T6&lt;&gt;$L$3,0,'2-D Amortization'!$E$4),IF(T6=$L$3,'2-D Amortization'!$E$4,0)))</f>
        <v>0</v>
      </c>
      <c r="U42" s="1097">
        <f>'2-D Amortization'!E4</f>
        <v>6405175.4378203377</v>
      </c>
      <c r="V42" s="1095">
        <f ca="1">IF(V41&gt;$B$39,0,IF('2-D Financial'!$D$11="NO",IF(V6&lt;&gt;$L$3,0,'2-D Amortization'!$E$4),IF(V6=$L$3,'2-D Amortization'!$E$4,0)))</f>
        <v>0</v>
      </c>
      <c r="W42" s="1095">
        <f ca="1">IF(W41&gt;$B$39,0,IF('2-D Financial'!$D$11="NO",IF(W6&lt;&gt;$L$3,0,'2-D Amortization'!$E$4),IF(W6=$L$3,'2-D Amortization'!$E$4,0)))</f>
        <v>0</v>
      </c>
      <c r="X42" s="1095">
        <f ca="1">IF(X41&gt;$B$39,0,IF('2-D Financial'!$D$11="NO",IF(X6&lt;&gt;$L$3,0,'2-D Amortization'!$E$4),IF(X6=$L$3,'2-D Amortization'!$E$4,0)))</f>
        <v>0</v>
      </c>
      <c r="Y42" s="1095"/>
      <c r="Z42" s="1095"/>
      <c r="AA42" s="1095"/>
      <c r="AB42" s="1095"/>
      <c r="AC42" s="1095"/>
      <c r="AD42" s="1095"/>
      <c r="AE42" s="1095"/>
      <c r="AF42" s="1095"/>
      <c r="AG42" s="1095"/>
      <c r="AH42" s="1095"/>
      <c r="AI42" s="1095"/>
      <c r="AJ42" s="1095"/>
      <c r="AK42" s="1095"/>
      <c r="AL42" s="1095"/>
      <c r="AM42" s="1095"/>
      <c r="AN42" s="1095"/>
      <c r="AO42" s="1095"/>
      <c r="AP42" s="1095"/>
      <c r="AQ42" s="1095"/>
      <c r="AR42" s="764"/>
      <c r="AS42" s="1095"/>
      <c r="AT42" s="1095"/>
      <c r="AU42" s="1095"/>
      <c r="AV42" s="1093"/>
      <c r="AW42" s="1093"/>
      <c r="AX42" s="1093"/>
      <c r="AY42" s="1093"/>
      <c r="AZ42" s="1093"/>
      <c r="BA42" s="1093"/>
      <c r="BB42" s="1093"/>
      <c r="BC42" s="1093"/>
      <c r="BD42" s="1093"/>
      <c r="BE42" s="1093"/>
      <c r="BF42" s="1093"/>
      <c r="BG42" s="1093"/>
      <c r="BH42" s="1093"/>
      <c r="BI42" s="1093"/>
      <c r="BJ42" s="1093"/>
      <c r="BK42" s="1093"/>
      <c r="BL42" s="1093"/>
      <c r="BM42" s="1093"/>
      <c r="BN42" s="1093"/>
      <c r="BO42" s="1093"/>
      <c r="BP42" s="1093"/>
      <c r="BQ42" s="1093"/>
      <c r="BR42" s="1093"/>
      <c r="BS42" s="1093"/>
      <c r="BT42" s="1093"/>
      <c r="BU42" s="1093"/>
      <c r="BV42" s="1092"/>
      <c r="BW42" s="1092"/>
      <c r="BX42" s="1092"/>
      <c r="BY42" s="1092"/>
      <c r="BZ42" s="1092"/>
      <c r="CA42" s="1092"/>
      <c r="CB42" s="1092"/>
      <c r="CC42" s="1092"/>
      <c r="CD42" s="1092"/>
      <c r="CE42" s="1092"/>
      <c r="CF42" s="1092"/>
      <c r="CG42" s="1092"/>
      <c r="CH42" s="1092"/>
      <c r="CI42" s="1092"/>
    </row>
    <row r="43" spans="1:87" ht="20.25" customHeight="1">
      <c r="A43" s="207" t="s">
        <v>517</v>
      </c>
      <c r="B43" s="224">
        <f ca="1">SUM(E43:AR43)</f>
        <v>-32025.877189101688</v>
      </c>
      <c r="C43" s="223"/>
      <c r="D43" s="223"/>
      <c r="E43" s="223">
        <f ca="1">IF(E42&gt;0,-'2-D Amortization'!$F$11,0)</f>
        <v>0</v>
      </c>
      <c r="F43" s="223">
        <f ca="1">IF(F42&gt;0,-'2-D Amortization'!$F$11,0)</f>
        <v>0</v>
      </c>
      <c r="G43" s="223">
        <f ca="1">IF(G42&gt;0,-'2-D Amortization'!$F$11,0)</f>
        <v>0</v>
      </c>
      <c r="H43" s="223">
        <f ca="1">IF(H42&gt;0,-'2-D Amortization'!$F$11,0)</f>
        <v>0</v>
      </c>
      <c r="I43" s="223">
        <f ca="1">IF(I42&gt;0,-'2-D Amortization'!$F$11,0)</f>
        <v>0</v>
      </c>
      <c r="J43" s="223">
        <f ca="1">IF(J42&gt;0,-'2-D Amortization'!$F$11,0)</f>
        <v>0</v>
      </c>
      <c r="K43" s="223">
        <f ca="1">IF(K42&gt;0,-'2-D Amortization'!$F$11,0)</f>
        <v>0</v>
      </c>
      <c r="L43" s="223">
        <f ca="1">IF(L42&gt;0,-'2-D Amortization'!$F$11,0)</f>
        <v>0</v>
      </c>
      <c r="M43" s="223">
        <f ca="1">IF(M42&gt;0,-'2-D Amortization'!$F$11,0)</f>
        <v>0</v>
      </c>
      <c r="N43" s="223">
        <f ca="1">IF(N42&gt;0,-'2-D Amortization'!$F$11,0)</f>
        <v>0</v>
      </c>
      <c r="O43" s="223">
        <f ca="1">IF(O42&gt;0,-'2-D Amortization'!$F$11,0)</f>
        <v>0</v>
      </c>
      <c r="P43" s="223">
        <f ca="1">IF(P42&gt;0,-'2-D Amortization'!$F$11,0)</f>
        <v>0</v>
      </c>
      <c r="Q43" s="223">
        <f ca="1">IF(Q42&gt;0,-'2-D Amortization'!$F$11,0)</f>
        <v>0</v>
      </c>
      <c r="R43" s="223">
        <f ca="1">IF(R42&gt;0,-'2-D Amortization'!$F$11,0)</f>
        <v>0</v>
      </c>
      <c r="S43" s="223">
        <f ca="1">IF(S42&gt;0,-'2-D Amortization'!$F$11,0)</f>
        <v>0</v>
      </c>
      <c r="T43" s="223">
        <f ca="1">IF(T42&gt;0,-'2-D Amortization'!$F$11,0)</f>
        <v>0</v>
      </c>
      <c r="U43" s="223">
        <f>IF(U42&gt;0,-'2-D Amortization'!$F$11,0)</f>
        <v>-32025.877189101688</v>
      </c>
      <c r="V43" s="223">
        <f ca="1">IF(V42&gt;0,-'2-D Amortization'!$F$11,0)</f>
        <v>0</v>
      </c>
      <c r="W43" s="223">
        <f ca="1">IF(W42&gt;0,-'2-D Amortization'!$F$11,0)</f>
        <v>0</v>
      </c>
      <c r="X43" s="223">
        <f ca="1">IF(X42&gt;0,-'2-D Amortization'!$F$11,0)</f>
        <v>0</v>
      </c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4"/>
      <c r="AS43" s="223"/>
      <c r="AT43" s="223"/>
      <c r="AU43" s="223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CH43" s="207"/>
      <c r="CI43" s="207"/>
    </row>
    <row r="44" spans="1:87" s="227" customFormat="1" ht="20.25" customHeight="1">
      <c r="A44" s="227" t="s">
        <v>499</v>
      </c>
      <c r="B44" s="369">
        <f ca="1">SUM(E44:AR44)</f>
        <v>9106828.8126876187</v>
      </c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>
        <f ca="1">U40+U41+U42+U43</f>
        <v>9106828.8126876187</v>
      </c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9"/>
      <c r="AS44" s="228"/>
      <c r="AT44" s="228"/>
      <c r="AU44" s="228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</row>
    <row r="45" spans="1:87" s="227" customFormat="1" ht="20.25" customHeight="1">
      <c r="A45" s="227" t="s">
        <v>500</v>
      </c>
      <c r="B45" s="369">
        <f>SUM(E45:AR45)</f>
        <v>2952800.9057993251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>
        <f>'2-D Financial'!$D$5*(1+'2-D Financial'!$D$7)^(Y5-1)/4</f>
        <v>133595.63696000003</v>
      </c>
      <c r="Z45" s="228">
        <f>'2-D Financial'!$D$5*(1+'2-D Financial'!$D$7)^(Z5-1)/4</f>
        <v>133595.63696000003</v>
      </c>
      <c r="AA45" s="228">
        <f>'2-D Financial'!$D$5*(1+'2-D Financial'!$D$7)^(AA5-1)/4</f>
        <v>133595.63696000003</v>
      </c>
      <c r="AB45" s="228">
        <f>'2-D Financial'!$D$5*(1+'2-D Financial'!$D$7)^(AB5-1)/4</f>
        <v>133595.63696000003</v>
      </c>
      <c r="AC45" s="228">
        <f>'2-D Financial'!$D$5*(1+'2-D Financial'!$D$7)^(AC5-1)/4</f>
        <v>140275.41880800005</v>
      </c>
      <c r="AD45" s="228">
        <f>'2-D Financial'!$D$5*(1+'2-D Financial'!$D$7)^(AD5-1)/4</f>
        <v>140275.41880800005</v>
      </c>
      <c r="AE45" s="228">
        <f>'2-D Financial'!$D$5*(1+'2-D Financial'!$D$7)^(AE5-1)/4</f>
        <v>140275.41880800005</v>
      </c>
      <c r="AF45" s="228">
        <f>'2-D Financial'!$D$5*(1+'2-D Financial'!$D$7)^(AF5-1)/4</f>
        <v>140275.41880800005</v>
      </c>
      <c r="AG45" s="228">
        <f>'2-D Financial'!$D$5*(1+'2-D Financial'!$D$7)^(AG5-1)/4</f>
        <v>147289.18974840004</v>
      </c>
      <c r="AH45" s="228">
        <f>'2-D Financial'!$D$5*(1+'2-D Financial'!$D$7)^(AH5-1)/4</f>
        <v>147289.18974840004</v>
      </c>
      <c r="AI45" s="228">
        <f>'2-D Financial'!$D$5*(1+'2-D Financial'!$D$7)^(AI5-1)/4</f>
        <v>147289.18974840004</v>
      </c>
      <c r="AJ45" s="228">
        <f>'2-D Financial'!$D$5*(1+'2-D Financial'!$D$7)^(AJ5-1)/4</f>
        <v>147289.18974840004</v>
      </c>
      <c r="AK45" s="228">
        <f>'2-D Financial'!$D$5*(1+'2-D Financial'!$D$7)^(AK5-1)/4</f>
        <v>154653.64923582005</v>
      </c>
      <c r="AL45" s="228">
        <f>'2-D Financial'!$D$5*(1+'2-D Financial'!$D$7)^(AL5-1)/4</f>
        <v>154653.64923582005</v>
      </c>
      <c r="AM45" s="228">
        <f>'2-D Financial'!$D$5*(1+'2-D Financial'!$D$7)^(AM5-1)/4</f>
        <v>154653.64923582005</v>
      </c>
      <c r="AN45" s="228">
        <f>'2-D Financial'!$D$5*(1+'2-D Financial'!$D$7)^(AN5-1)/4</f>
        <v>154653.64923582005</v>
      </c>
      <c r="AO45" s="228">
        <f>'2-D Financial'!$D$5*(1+'2-D Financial'!$D$7)^(AO5-1)/4</f>
        <v>162386.33169761105</v>
      </c>
      <c r="AP45" s="228">
        <f>'2-D Financial'!$D$5*(1+'2-D Financial'!$D$7)^(AP5-1)/4</f>
        <v>162386.33169761105</v>
      </c>
      <c r="AQ45" s="228">
        <f>'2-D Financial'!$D$5*(1+'2-D Financial'!$D$7)^(AQ5-1)/4</f>
        <v>162386.33169761105</v>
      </c>
      <c r="AR45" s="229">
        <f>'2-D Financial'!$D$5*(1+'2-D Financial'!$D$7)^(AR5-1)/4</f>
        <v>162386.33169761105</v>
      </c>
      <c r="AS45" s="228"/>
      <c r="AT45" s="228"/>
      <c r="AU45" s="228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  <c r="BH45" s="230"/>
      <c r="BI45" s="230"/>
      <c r="BJ45" s="230"/>
      <c r="BK45" s="230"/>
      <c r="BL45" s="230"/>
      <c r="BM45" s="230"/>
      <c r="BN45" s="230"/>
      <c r="BO45" s="230"/>
      <c r="BP45" s="230"/>
      <c r="BQ45" s="230"/>
      <c r="BR45" s="230"/>
      <c r="BS45" s="230"/>
      <c r="BT45" s="230"/>
      <c r="BU45" s="230"/>
    </row>
    <row r="46" spans="1:87" ht="20.25" customHeight="1">
      <c r="A46" s="207" t="s">
        <v>501</v>
      </c>
      <c r="B46" s="224">
        <f>SUM(E46:AR46)</f>
        <v>-2162483.1202847012</v>
      </c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 cm="1">
        <f t="array" ref="Y46">INDEX('2-D Amortization'!$J$4:$J$23,MATCH(1,('2-D Amortization'!$I$4:$I$23=Y7)*('2-D Amortization'!$H$4:$H$23=Y5),0),0)</f>
        <v>-92074.396918667364</v>
      </c>
      <c r="Z46" s="223" cm="1">
        <f t="array" ref="Z46">INDEX('2-D Amortization'!$J$4:$J$23,MATCH(1,('2-D Amortization'!$I$4:$I$23=Z7)*('2-D Amortization'!$H$4:$H$23=Z5),0),0)</f>
        <v>-92074.396918667364</v>
      </c>
      <c r="AA46" s="223" cm="1">
        <f t="array" ref="AA46">INDEX('2-D Amortization'!$J$4:$J$23,MATCH(1,('2-D Amortization'!$I$4:$I$23=AA7)*('2-D Amortization'!$H$4:$H$23=AA5),0),0)</f>
        <v>-92074.396918667364</v>
      </c>
      <c r="AB46" s="223" cm="1">
        <f t="array" ref="AB46">INDEX('2-D Amortization'!$J$4:$J$23,MATCH(1,('2-D Amortization'!$I$4:$I$23=AB7)*('2-D Amortization'!$H$4:$H$23=AB5),0),0)</f>
        <v>-92074.396918667364</v>
      </c>
      <c r="AC46" s="223" cm="1">
        <f t="array" ref="AC46">INDEX('2-D Amortization'!$J$4:$J$23,MATCH(1,('2-D Amortization'!$I$4:$I$23=AC7)*('2-D Amortization'!$H$4:$H$23=AC5),0),0)</f>
        <v>-112136.59578812697</v>
      </c>
      <c r="AD46" s="223" cm="1">
        <f t="array" ref="AD46">INDEX('2-D Amortization'!$J$4:$J$23,MATCH(1,('2-D Amortization'!$I$4:$I$23=AD7)*('2-D Amortization'!$H$4:$H$23=AD5),0),0)</f>
        <v>-112136.59578812697</v>
      </c>
      <c r="AE46" s="223" cm="1">
        <f t="array" ref="AE46">INDEX('2-D Amortization'!$J$4:$J$23,MATCH(1,('2-D Amortization'!$I$4:$I$23=AE7)*('2-D Amortization'!$H$4:$H$23=AE5),0),0)</f>
        <v>-112136.59578812697</v>
      </c>
      <c r="AF46" s="223" cm="1">
        <f t="array" ref="AF46">INDEX('2-D Amortization'!$J$4:$J$23,MATCH(1,('2-D Amortization'!$I$4:$I$23=AF7)*('2-D Amortization'!$H$4:$H$23=AF5),0),0)</f>
        <v>-112136.59578812697</v>
      </c>
      <c r="AG46" s="223" cm="1">
        <f t="array" ref="AG46">INDEX('2-D Amortization'!$J$4:$J$23,MATCH(1,('2-D Amortization'!$I$4:$I$23=AG7)*('2-D Amortization'!$H$4:$H$23=AG5),0),0)</f>
        <v>-112136.59578812697</v>
      </c>
      <c r="AH46" s="223" cm="1">
        <f t="array" ref="AH46">INDEX('2-D Amortization'!$J$4:$J$23,MATCH(1,('2-D Amortization'!$I$4:$I$23=AH7)*('2-D Amortization'!$H$4:$H$23=AH5),0),0)</f>
        <v>-112136.59578812697</v>
      </c>
      <c r="AI46" s="223" cm="1">
        <f t="array" ref="AI46">INDEX('2-D Amortization'!$J$4:$J$23,MATCH(1,('2-D Amortization'!$I$4:$I$23=AI7)*('2-D Amortization'!$H$4:$H$23=AI5),0),0)</f>
        <v>-112136.59578812697</v>
      </c>
      <c r="AJ46" s="223" cm="1">
        <f t="array" ref="AJ46">INDEX('2-D Amortization'!$J$4:$J$23,MATCH(1,('2-D Amortization'!$I$4:$I$23=AJ7)*('2-D Amortization'!$H$4:$H$23=AJ5),0),0)</f>
        <v>-112136.59578812697</v>
      </c>
      <c r="AK46" s="223" cm="1">
        <f t="array" ref="AK46">INDEX('2-D Amortization'!$J$4:$J$23,MATCH(1,('2-D Amortization'!$I$4:$I$23=AK7)*('2-D Amortization'!$H$4:$H$23=AK5),0),0)</f>
        <v>-112136.59578812697</v>
      </c>
      <c r="AL46" s="223" cm="1">
        <f t="array" ref="AL46">INDEX('2-D Amortization'!$J$4:$J$23,MATCH(1,('2-D Amortization'!$I$4:$I$23=AL7)*('2-D Amortization'!$H$4:$H$23=AL5),0),0)</f>
        <v>-112136.59578812697</v>
      </c>
      <c r="AM46" s="223" cm="1">
        <f t="array" ref="AM46">INDEX('2-D Amortization'!$J$4:$J$23,MATCH(1,('2-D Amortization'!$I$4:$I$23=AM7)*('2-D Amortization'!$H$4:$H$23=AM5),0),0)</f>
        <v>-112136.59578812697</v>
      </c>
      <c r="AN46" s="223" cm="1">
        <f t="array" ref="AN46">INDEX('2-D Amortization'!$J$4:$J$23,MATCH(1,('2-D Amortization'!$I$4:$I$23=AN7)*('2-D Amortization'!$H$4:$H$23=AN5),0),0)</f>
        <v>-112136.59578812697</v>
      </c>
      <c r="AO46" s="223" cm="1">
        <f t="array" ref="AO46">INDEX('2-D Amortization'!$J$4:$J$23,MATCH(1,('2-D Amortization'!$I$4:$I$23=AO7)*('2-D Amortization'!$H$4:$H$23=AO5),0),0)</f>
        <v>-112136.59578812699</v>
      </c>
      <c r="AP46" s="223" cm="1">
        <f t="array" ref="AP46">INDEX('2-D Amortization'!$J$4:$J$23,MATCH(1,('2-D Amortization'!$I$4:$I$23=AP7)*('2-D Amortization'!$H$4:$H$23=AP5),0),0)</f>
        <v>-112136.59578812697</v>
      </c>
      <c r="AQ46" s="223" cm="1">
        <f t="array" ref="AQ46">INDEX('2-D Amortization'!$J$4:$J$23,MATCH(1,('2-D Amortization'!$I$4:$I$23=AQ7)*('2-D Amortization'!$H$4:$H$23=AQ5),0),0)</f>
        <v>-112136.59578812699</v>
      </c>
      <c r="AR46" s="224" cm="1">
        <f t="array" ref="AR46">INDEX('2-D Amortization'!$J$4:$J$23,MATCH(1,('2-D Amortization'!$I$4:$I$23=AR7)*('2-D Amortization'!$H$4:$H$23=AR5),0),0)</f>
        <v>-112136.59578812699</v>
      </c>
      <c r="AS46" s="223"/>
      <c r="AT46" s="223"/>
      <c r="AU46" s="223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CH46" s="207"/>
      <c r="CI46" s="207"/>
    </row>
    <row r="47" spans="1:87" ht="20.25" customHeight="1">
      <c r="A47" s="207" t="s">
        <v>502</v>
      </c>
      <c r="B47" s="224">
        <f ca="1">-B42</f>
        <v>-6405175.4378203377</v>
      </c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N47" s="223"/>
      <c r="AO47" s="223"/>
      <c r="AP47" s="223"/>
      <c r="AQ47" s="223"/>
      <c r="AR47" s="224">
        <f>-'2-D Amortization'!$E$13</f>
        <v>-6045229.7706757039</v>
      </c>
      <c r="AS47" s="223"/>
      <c r="AT47" s="223"/>
      <c r="AU47" s="223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CH47" s="207"/>
      <c r="CI47" s="207"/>
    </row>
    <row r="48" spans="1:87" ht="20.25" customHeight="1">
      <c r="A48" s="207" t="s">
        <v>503</v>
      </c>
      <c r="B48" s="224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837">
        <f t="shared" ref="Y48:AR48" si="37">Y45/(-Y46)</f>
        <v>1.450953157781852</v>
      </c>
      <c r="Z48" s="837">
        <f t="shared" si="37"/>
        <v>1.450953157781852</v>
      </c>
      <c r="AA48" s="837">
        <f t="shared" si="37"/>
        <v>1.450953157781852</v>
      </c>
      <c r="AB48" s="837">
        <f t="shared" si="37"/>
        <v>1.450953157781852</v>
      </c>
      <c r="AC48" s="837">
        <f t="shared" si="37"/>
        <v>1.2509334514937398</v>
      </c>
      <c r="AD48" s="837">
        <f t="shared" si="37"/>
        <v>1.2509334514937398</v>
      </c>
      <c r="AE48" s="837">
        <f t="shared" si="37"/>
        <v>1.2509334514937398</v>
      </c>
      <c r="AF48" s="837">
        <f t="shared" si="37"/>
        <v>1.2509334514937398</v>
      </c>
      <c r="AG48" s="837">
        <f t="shared" si="37"/>
        <v>1.3134801240684268</v>
      </c>
      <c r="AH48" s="837">
        <f t="shared" si="37"/>
        <v>1.3134801240684268</v>
      </c>
      <c r="AI48" s="837">
        <f t="shared" si="37"/>
        <v>1.3134801240684268</v>
      </c>
      <c r="AJ48" s="837">
        <f t="shared" si="37"/>
        <v>1.3134801240684268</v>
      </c>
      <c r="AK48" s="837">
        <f t="shared" si="37"/>
        <v>1.3791541302718482</v>
      </c>
      <c r="AL48" s="837">
        <f t="shared" si="37"/>
        <v>1.3791541302718482</v>
      </c>
      <c r="AM48" s="837">
        <f t="shared" si="37"/>
        <v>1.3791541302718482</v>
      </c>
      <c r="AN48" s="837">
        <f t="shared" si="37"/>
        <v>1.3791541302718482</v>
      </c>
      <c r="AO48" s="837">
        <f t="shared" si="37"/>
        <v>1.4481118367854404</v>
      </c>
      <c r="AP48" s="837">
        <f t="shared" si="37"/>
        <v>1.4481118367854406</v>
      </c>
      <c r="AQ48" s="837">
        <f t="shared" si="37"/>
        <v>1.4481118367854404</v>
      </c>
      <c r="AR48" s="839">
        <f t="shared" si="37"/>
        <v>1.4481118367854404</v>
      </c>
      <c r="AS48" s="223"/>
      <c r="AT48" s="223"/>
      <c r="AU48" s="223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CH48" s="207"/>
      <c r="CI48" s="207"/>
    </row>
    <row r="49" spans="1:87" s="371" customFormat="1" ht="20.25" customHeight="1">
      <c r="A49" s="371" t="s">
        <v>504</v>
      </c>
      <c r="B49" s="372">
        <f>'2-D Financial'!$D$10</f>
        <v>15622379.116634971</v>
      </c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N49" s="373"/>
      <c r="AO49" s="373"/>
      <c r="AP49" s="373"/>
      <c r="AQ49" s="373"/>
      <c r="AR49" s="372">
        <f>B49</f>
        <v>15622379.116634971</v>
      </c>
      <c r="AS49" s="373"/>
      <c r="AT49" s="373"/>
      <c r="AU49" s="373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</row>
    <row r="50" spans="1:87" s="367" customFormat="1" ht="20.25" customHeight="1">
      <c r="A50" s="1092" t="s">
        <v>505</v>
      </c>
      <c r="B50" s="224">
        <f ca="1">SUM(E50:AR50)</f>
        <v>19474295.944161508</v>
      </c>
      <c r="C50" s="1095"/>
      <c r="D50" s="1095"/>
      <c r="E50" s="1095"/>
      <c r="F50" s="1095"/>
      <c r="G50" s="1095"/>
      <c r="H50" s="1095"/>
      <c r="I50" s="1095"/>
      <c r="J50" s="1095"/>
      <c r="K50" s="1095"/>
      <c r="L50" s="1095"/>
      <c r="M50" s="1095"/>
      <c r="N50" s="1095"/>
      <c r="O50" s="1095"/>
      <c r="P50" s="1095"/>
      <c r="Q50" s="1095"/>
      <c r="R50" s="1095"/>
      <c r="S50" s="1095"/>
      <c r="T50" s="1095"/>
      <c r="U50" s="1095">
        <f ca="1">SUM(U45,U44,U46,U47,U49)</f>
        <v>9106828.8126876187</v>
      </c>
      <c r="V50" s="1095"/>
      <c r="W50" s="1095"/>
      <c r="X50" s="1095"/>
      <c r="Y50" s="1095">
        <f t="shared" ref="Y50:AR50" si="38">SUM(Y45,Y44,Y46,Y47,Y49)</f>
        <v>41521.240041332669</v>
      </c>
      <c r="Z50" s="1095">
        <f t="shared" si="38"/>
        <v>41521.240041332669</v>
      </c>
      <c r="AA50" s="1095">
        <f t="shared" si="38"/>
        <v>41521.240041332669</v>
      </c>
      <c r="AB50" s="1095">
        <f t="shared" si="38"/>
        <v>41521.240041332669</v>
      </c>
      <c r="AC50" s="1095">
        <f t="shared" si="38"/>
        <v>28138.823019873074</v>
      </c>
      <c r="AD50" s="1095">
        <f t="shared" si="38"/>
        <v>28138.823019873074</v>
      </c>
      <c r="AE50" s="1095">
        <f t="shared" si="38"/>
        <v>28138.823019873074</v>
      </c>
      <c r="AF50" s="1095">
        <f t="shared" si="38"/>
        <v>28138.823019873074</v>
      </c>
      <c r="AG50" s="1095">
        <f t="shared" si="38"/>
        <v>35152.593960273065</v>
      </c>
      <c r="AH50" s="1095">
        <f t="shared" si="38"/>
        <v>35152.593960273065</v>
      </c>
      <c r="AI50" s="1095">
        <f t="shared" si="38"/>
        <v>35152.593960273065</v>
      </c>
      <c r="AJ50" s="1095">
        <f t="shared" si="38"/>
        <v>35152.593960273065</v>
      </c>
      <c r="AK50" s="1095">
        <f t="shared" si="38"/>
        <v>42517.053447693077</v>
      </c>
      <c r="AL50" s="1095">
        <f t="shared" si="38"/>
        <v>42517.053447693077</v>
      </c>
      <c r="AM50" s="1095">
        <f t="shared" si="38"/>
        <v>42517.053447693077</v>
      </c>
      <c r="AN50" s="1095">
        <f t="shared" si="38"/>
        <v>42517.053447693077</v>
      </c>
      <c r="AO50" s="1095">
        <f t="shared" si="38"/>
        <v>50249.735909484065</v>
      </c>
      <c r="AP50" s="1095">
        <f t="shared" si="38"/>
        <v>50249.735909484079</v>
      </c>
      <c r="AQ50" s="1095">
        <f t="shared" si="38"/>
        <v>50249.735909484065</v>
      </c>
      <c r="AR50" s="764">
        <f t="shared" si="38"/>
        <v>9627399.081868751</v>
      </c>
      <c r="AS50" s="1095"/>
      <c r="AT50" s="1095"/>
      <c r="AU50" s="1095"/>
      <c r="AV50" s="1093"/>
      <c r="AW50" s="1093"/>
      <c r="AX50" s="1093"/>
      <c r="AY50" s="1093"/>
      <c r="AZ50" s="1093"/>
      <c r="BA50" s="1093"/>
      <c r="BB50" s="1093"/>
      <c r="BC50" s="1093"/>
      <c r="BD50" s="1093"/>
      <c r="BE50" s="1093"/>
      <c r="BF50" s="1093"/>
      <c r="BG50" s="1093"/>
      <c r="BH50" s="1093"/>
      <c r="BI50" s="1093"/>
      <c r="BJ50" s="1093"/>
      <c r="BK50" s="1093"/>
      <c r="BL50" s="1093"/>
      <c r="BM50" s="1093"/>
      <c r="BN50" s="1093"/>
      <c r="BO50" s="1093"/>
      <c r="BP50" s="1093"/>
      <c r="BQ50" s="1093"/>
      <c r="BR50" s="1093"/>
      <c r="BS50" s="1093"/>
      <c r="BT50" s="1093"/>
      <c r="BU50" s="1093"/>
      <c r="BV50" s="1092"/>
      <c r="BW50" s="1092"/>
      <c r="BX50" s="1092"/>
      <c r="BY50" s="1092"/>
      <c r="BZ50" s="1092"/>
      <c r="CA50" s="1092"/>
      <c r="CB50" s="1092"/>
      <c r="CC50" s="1092"/>
      <c r="CD50" s="1092"/>
      <c r="CE50" s="1092"/>
      <c r="CF50" s="1092"/>
      <c r="CG50" s="1092"/>
      <c r="CH50" s="1092"/>
      <c r="CI50" s="1092"/>
    </row>
    <row r="51" spans="1:87" ht="20.25" customHeight="1">
      <c r="B51" s="224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4"/>
      <c r="AS51" s="223"/>
      <c r="AT51" s="223"/>
      <c r="AU51" s="223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CH51" s="207"/>
      <c r="CI51" s="207"/>
    </row>
    <row r="52" spans="1:87" s="238" customFormat="1" ht="20.25" customHeight="1">
      <c r="A52" s="241" t="s">
        <v>506</v>
      </c>
      <c r="B52" s="253"/>
      <c r="C52" s="242"/>
      <c r="D52" s="242"/>
      <c r="E52" s="242"/>
      <c r="F52" s="242"/>
      <c r="G52" s="242"/>
      <c r="H52" s="242"/>
      <c r="I52" s="242"/>
      <c r="J52" s="242"/>
      <c r="K52" s="243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4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T52" s="239"/>
      <c r="BU52" s="239"/>
    </row>
    <row r="53" spans="1:87" ht="20.25" customHeight="1">
      <c r="A53" s="207" t="s">
        <v>507</v>
      </c>
      <c r="B53" s="224">
        <f ca="1">SUM(F53:AR53)</f>
        <v>-60298127.171419635</v>
      </c>
      <c r="C53" s="223"/>
      <c r="D53" s="223"/>
      <c r="E53" s="223">
        <f t="shared" ref="E53:AR53" si="39">SUM(-E36,E45,E49)</f>
        <v>0</v>
      </c>
      <c r="F53" s="223">
        <f t="shared" ca="1" si="39"/>
        <v>-305097.30239999999</v>
      </c>
      <c r="G53" s="223">
        <f t="shared" ca="1" si="39"/>
        <v>-305097.30239999999</v>
      </c>
      <c r="H53" s="223">
        <f t="shared" ca="1" si="39"/>
        <v>-305097.30239999999</v>
      </c>
      <c r="I53" s="223">
        <f t="shared" ca="1" si="39"/>
        <v>-305097.30239999999</v>
      </c>
      <c r="J53" s="223">
        <f t="shared" ca="1" si="39"/>
        <v>-1134229.2324000001</v>
      </c>
      <c r="K53" s="223">
        <f t="shared" ca="1" si="39"/>
        <v>-3487535.0732250186</v>
      </c>
      <c r="L53" s="223">
        <f t="shared" ca="1" si="39"/>
        <v>-4728610.6539502181</v>
      </c>
      <c r="M53" s="223">
        <f t="shared" ca="1" si="39"/>
        <v>-9140354.1617973484</v>
      </c>
      <c r="N53" s="223">
        <f t="shared" ca="1" si="39"/>
        <v>-13358641.932937773</v>
      </c>
      <c r="O53" s="223">
        <f t="shared" ca="1" si="39"/>
        <v>-15360008.577993229</v>
      </c>
      <c r="P53" s="223">
        <f t="shared" ca="1" si="39"/>
        <v>-13358641.932937773</v>
      </c>
      <c r="Q53" s="223">
        <f t="shared" ca="1" si="39"/>
        <v>-8732042.9731306862</v>
      </c>
      <c r="R53" s="223">
        <f t="shared" ca="1" si="39"/>
        <v>-4892546.3469502144</v>
      </c>
      <c r="S53" s="223">
        <f t="shared" ca="1" si="39"/>
        <v>-2888727.5102250185</v>
      </c>
      <c r="T53" s="223">
        <f t="shared" ca="1" si="39"/>
        <v>-453701.08550666663</v>
      </c>
      <c r="U53" s="223">
        <f t="shared" ca="1" si="39"/>
        <v>-117878.50320000001</v>
      </c>
      <c r="V53" s="223">
        <f t="shared" ca="1" si="39"/>
        <v>0</v>
      </c>
      <c r="W53" s="223">
        <f t="shared" ca="1" si="39"/>
        <v>0</v>
      </c>
      <c r="X53" s="223">
        <f t="shared" ca="1" si="39"/>
        <v>0</v>
      </c>
      <c r="Y53" s="223">
        <f t="shared" si="39"/>
        <v>133595.63696000003</v>
      </c>
      <c r="Z53" s="223">
        <f t="shared" si="39"/>
        <v>133595.63696000003</v>
      </c>
      <c r="AA53" s="223">
        <f t="shared" si="39"/>
        <v>133595.63696000003</v>
      </c>
      <c r="AB53" s="223">
        <f t="shared" si="39"/>
        <v>133595.63696000003</v>
      </c>
      <c r="AC53" s="223">
        <f t="shared" si="39"/>
        <v>140275.41880800005</v>
      </c>
      <c r="AD53" s="223">
        <f t="shared" si="39"/>
        <v>140275.41880800005</v>
      </c>
      <c r="AE53" s="223">
        <f t="shared" si="39"/>
        <v>140275.41880800005</v>
      </c>
      <c r="AF53" s="223">
        <f t="shared" si="39"/>
        <v>140275.41880800005</v>
      </c>
      <c r="AG53" s="223">
        <f t="shared" si="39"/>
        <v>147289.18974840004</v>
      </c>
      <c r="AH53" s="223">
        <f t="shared" si="39"/>
        <v>147289.18974840004</v>
      </c>
      <c r="AI53" s="223">
        <f t="shared" si="39"/>
        <v>147289.18974840004</v>
      </c>
      <c r="AJ53" s="223">
        <f t="shared" si="39"/>
        <v>147289.18974840004</v>
      </c>
      <c r="AK53" s="223">
        <f t="shared" si="39"/>
        <v>154653.64923582005</v>
      </c>
      <c r="AL53" s="223">
        <f t="shared" si="39"/>
        <v>154653.64923582005</v>
      </c>
      <c r="AM53" s="223">
        <f t="shared" si="39"/>
        <v>154653.64923582005</v>
      </c>
      <c r="AN53" s="223">
        <f t="shared" si="39"/>
        <v>154653.64923582005</v>
      </c>
      <c r="AO53" s="223">
        <f t="shared" si="39"/>
        <v>162386.33169761105</v>
      </c>
      <c r="AP53" s="223">
        <f t="shared" si="39"/>
        <v>162386.33169761105</v>
      </c>
      <c r="AQ53" s="223">
        <f t="shared" si="39"/>
        <v>162386.33169761105</v>
      </c>
      <c r="AR53" s="224">
        <f t="shared" si="39"/>
        <v>15784765.448332582</v>
      </c>
      <c r="AS53" s="231"/>
      <c r="BT53" s="209"/>
      <c r="BU53" s="209"/>
      <c r="CH53" s="207"/>
      <c r="CI53" s="207"/>
    </row>
    <row r="54" spans="1:87" ht="20.25" customHeight="1">
      <c r="A54" s="207" t="s">
        <v>508</v>
      </c>
      <c r="B54" s="777">
        <f ca="1">IF(B53&lt;0,0,IRR(F53:AR53))</f>
        <v>0</v>
      </c>
      <c r="G54" s="223"/>
      <c r="BT54" s="209"/>
      <c r="BU54" s="209"/>
      <c r="CH54" s="207"/>
      <c r="CI54" s="207"/>
    </row>
    <row r="55" spans="1:87" ht="20.25" customHeight="1">
      <c r="A55" s="207" t="s">
        <v>509</v>
      </c>
      <c r="B55" s="368">
        <f ca="1">POWER((1+B54),4)-1</f>
        <v>0</v>
      </c>
      <c r="G55" s="223"/>
      <c r="BT55" s="209"/>
      <c r="BU55" s="209"/>
      <c r="CH55" s="207"/>
      <c r="CI55" s="207"/>
    </row>
    <row r="56" spans="1:87" s="238" customFormat="1" ht="20.25" customHeight="1">
      <c r="A56" s="241" t="s">
        <v>510</v>
      </c>
      <c r="B56" s="253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6"/>
      <c r="AS56" s="240"/>
      <c r="AT56" s="225"/>
      <c r="AU56" s="225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</row>
    <row r="57" spans="1:87" ht="20.25" customHeight="1">
      <c r="A57" s="207" t="s">
        <v>511</v>
      </c>
      <c r="B57" s="224">
        <f ca="1">SUM(F57:AR57)</f>
        <v>-7342628.501748817</v>
      </c>
      <c r="C57" s="223"/>
      <c r="D57" s="223"/>
      <c r="E57" s="223">
        <f t="shared" ref="E57:AR57" si="40">SUM(-E37,E50)</f>
        <v>0</v>
      </c>
      <c r="F57" s="223">
        <f t="shared" ca="1" si="40"/>
        <v>-305097.30239999999</v>
      </c>
      <c r="G57" s="223">
        <f t="shared" ca="1" si="40"/>
        <v>-305097.30239999999</v>
      </c>
      <c r="H57" s="223">
        <f t="shared" ca="1" si="40"/>
        <v>-305097.30239999999</v>
      </c>
      <c r="I57" s="223">
        <f t="shared" ca="1" si="40"/>
        <v>-305097.30239999999</v>
      </c>
      <c r="J57" s="223">
        <f t="shared" ca="1" si="40"/>
        <v>-1134229.2324000001</v>
      </c>
      <c r="K57" s="223">
        <f t="shared" ca="1" si="40"/>
        <v>-3487535.0732250186</v>
      </c>
      <c r="L57" s="223">
        <f t="shared" ca="1" si="40"/>
        <v>-4728610.6539502181</v>
      </c>
      <c r="M57" s="223">
        <f t="shared" ca="1" si="40"/>
        <v>-9140354.1617973484</v>
      </c>
      <c r="N57" s="223">
        <f t="shared" ca="1" si="40"/>
        <v>-7105806.1149377525</v>
      </c>
      <c r="O57" s="223">
        <f t="shared" ca="1" si="40"/>
        <v>0</v>
      </c>
      <c r="P57" s="223">
        <f t="shared" ca="1" si="40"/>
        <v>0</v>
      </c>
      <c r="Q57" s="223">
        <f t="shared" ca="1" si="40"/>
        <v>0</v>
      </c>
      <c r="R57" s="223">
        <f t="shared" ca="1" si="40"/>
        <v>0</v>
      </c>
      <c r="S57" s="223">
        <f t="shared" ca="1" si="40"/>
        <v>0</v>
      </c>
      <c r="T57" s="223">
        <f t="shared" ca="1" si="40"/>
        <v>0</v>
      </c>
      <c r="U57" s="223">
        <f t="shared" ca="1" si="40"/>
        <v>9106828.8126876187</v>
      </c>
      <c r="V57" s="223">
        <f t="shared" ca="1" si="40"/>
        <v>0</v>
      </c>
      <c r="W57" s="223">
        <f t="shared" ca="1" si="40"/>
        <v>0</v>
      </c>
      <c r="X57" s="223">
        <f t="shared" ca="1" si="40"/>
        <v>0</v>
      </c>
      <c r="Y57" s="223">
        <f t="shared" si="40"/>
        <v>41521.240041332669</v>
      </c>
      <c r="Z57" s="223">
        <f t="shared" si="40"/>
        <v>41521.240041332669</v>
      </c>
      <c r="AA57" s="223">
        <f t="shared" si="40"/>
        <v>41521.240041332669</v>
      </c>
      <c r="AB57" s="223">
        <f t="shared" si="40"/>
        <v>41521.240041332669</v>
      </c>
      <c r="AC57" s="223">
        <f t="shared" si="40"/>
        <v>28138.823019873074</v>
      </c>
      <c r="AD57" s="223">
        <f t="shared" si="40"/>
        <v>28138.823019873074</v>
      </c>
      <c r="AE57" s="223">
        <f t="shared" si="40"/>
        <v>28138.823019873074</v>
      </c>
      <c r="AF57" s="223">
        <f t="shared" si="40"/>
        <v>28138.823019873074</v>
      </c>
      <c r="AG57" s="223">
        <f t="shared" si="40"/>
        <v>35152.593960273065</v>
      </c>
      <c r="AH57" s="223">
        <f t="shared" si="40"/>
        <v>35152.593960273065</v>
      </c>
      <c r="AI57" s="223">
        <f t="shared" si="40"/>
        <v>35152.593960273065</v>
      </c>
      <c r="AJ57" s="223">
        <f t="shared" si="40"/>
        <v>35152.593960273065</v>
      </c>
      <c r="AK57" s="223">
        <f t="shared" si="40"/>
        <v>42517.053447693077</v>
      </c>
      <c r="AL57" s="223">
        <f t="shared" si="40"/>
        <v>42517.053447693077</v>
      </c>
      <c r="AM57" s="223">
        <f t="shared" si="40"/>
        <v>42517.053447693077</v>
      </c>
      <c r="AN57" s="223">
        <f t="shared" si="40"/>
        <v>42517.053447693077</v>
      </c>
      <c r="AO57" s="223">
        <f t="shared" si="40"/>
        <v>50249.735909484065</v>
      </c>
      <c r="AP57" s="223">
        <f t="shared" si="40"/>
        <v>50249.735909484079</v>
      </c>
      <c r="AQ57" s="223">
        <f t="shared" si="40"/>
        <v>50249.735909484065</v>
      </c>
      <c r="AR57" s="224">
        <f t="shared" si="40"/>
        <v>9627399.081868751</v>
      </c>
      <c r="AS57" s="233"/>
      <c r="AT57" s="223"/>
      <c r="AU57" s="223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CH57" s="207"/>
      <c r="CI57" s="207"/>
    </row>
    <row r="58" spans="1:87" ht="20.25" customHeight="1">
      <c r="A58" s="207" t="s">
        <v>512</v>
      </c>
      <c r="B58" s="777">
        <f ca="1">IF(B57&lt;0,0,IRR(F57:AR57))</f>
        <v>0</v>
      </c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2"/>
      <c r="AT58" s="231"/>
      <c r="AU58" s="231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CH58" s="207"/>
      <c r="CI58" s="207"/>
    </row>
    <row r="59" spans="1:87" ht="20.25" customHeight="1">
      <c r="A59" s="207" t="s">
        <v>377</v>
      </c>
      <c r="B59" s="368">
        <f ca="1">POWER((1+B58),4)-1</f>
        <v>0</v>
      </c>
      <c r="C59" s="234"/>
      <c r="D59" s="234"/>
      <c r="E59" s="234"/>
      <c r="F59" s="234"/>
      <c r="G59" s="234"/>
      <c r="H59" s="234"/>
      <c r="I59" s="234"/>
      <c r="J59" s="234"/>
      <c r="K59" s="235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6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T59" s="209"/>
      <c r="BU59" s="209"/>
      <c r="CH59" s="207"/>
      <c r="CI59" s="207"/>
    </row>
    <row r="160" spans="2:2">
      <c r="B160" s="370">
        <v>0.06</v>
      </c>
    </row>
    <row r="181" spans="1:7">
      <c r="E181" s="207">
        <f>A98</f>
        <v>0</v>
      </c>
    </row>
    <row r="182" spans="1:7">
      <c r="E182" s="207" t="s">
        <v>513</v>
      </c>
      <c r="F182" s="207" t="s">
        <v>514</v>
      </c>
    </row>
    <row r="183" spans="1:7">
      <c r="A183" s="207" t="s">
        <v>515</v>
      </c>
      <c r="B183" s="208">
        <f>IFERROR(G183/$B$100,0)</f>
        <v>0</v>
      </c>
      <c r="E183" s="207">
        <f>IFERROR(G183/$B$99,0)</f>
        <v>0</v>
      </c>
      <c r="G183" s="207">
        <f>G106</f>
        <v>0</v>
      </c>
    </row>
    <row r="184" spans="1:7">
      <c r="A184" s="207" t="s">
        <v>516</v>
      </c>
      <c r="F184" s="237">
        <f>IFERROR(G184/$B$166,0)</f>
        <v>0</v>
      </c>
      <c r="G184" s="207">
        <f>G166</f>
        <v>0</v>
      </c>
    </row>
    <row r="185" spans="1:7">
      <c r="G185" s="207">
        <f>SUM(G183:G184)</f>
        <v>0</v>
      </c>
    </row>
  </sheetData>
  <mergeCells count="6">
    <mergeCell ref="BG4:BI4"/>
    <mergeCell ref="A2:A4"/>
    <mergeCell ref="E2:G2"/>
    <mergeCell ref="H2:J2"/>
    <mergeCell ref="K2:M2"/>
    <mergeCell ref="BA4:BE4"/>
  </mergeCells>
  <conditionalFormatting sqref="C9:D10">
    <cfRule type="cellIs" dxfId="89" priority="1" operator="equal">
      <formula>#REF!</formula>
    </cfRule>
    <cfRule type="cellIs" dxfId="88" priority="2" operator="equal">
      <formula>#REF!</formula>
    </cfRule>
    <cfRule type="cellIs" dxfId="87" priority="3" operator="equal">
      <formula>#REF!</formula>
    </cfRule>
    <cfRule type="cellIs" dxfId="86" priority="4" operator="equal">
      <formula>#REF!</formula>
    </cfRule>
  </conditionalFormatting>
  <pageMargins left="0.7" right="0.7" top="0.75" bottom="0.75" header="0.3" footer="0.3"/>
  <pageSetup paperSize="3" orientation="landscape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8E53E-7EEB-4278-8B42-B382F11FA617}">
  <dimension ref="A1:T86"/>
  <sheetViews>
    <sheetView workbookViewId="0">
      <selection activeCell="E4" sqref="E4"/>
    </sheetView>
  </sheetViews>
  <sheetFormatPr defaultRowHeight="14.45"/>
  <cols>
    <col min="2" max="2" width="2" customWidth="1"/>
    <col min="4" max="4" width="10.42578125" bestFit="1" customWidth="1"/>
    <col min="5" max="5" width="15" bestFit="1" customWidth="1"/>
    <col min="6" max="6" width="15" customWidth="1"/>
    <col min="7" max="7" width="15.7109375" bestFit="1" customWidth="1"/>
    <col min="8" max="8" width="15" bestFit="1" customWidth="1"/>
    <col min="9" max="9" width="17.140625" bestFit="1" customWidth="1"/>
    <col min="10" max="10" width="13.5703125" bestFit="1" customWidth="1"/>
    <col min="11" max="11" width="13.5703125" customWidth="1"/>
    <col min="12" max="12" width="15" bestFit="1" customWidth="1"/>
    <col min="13" max="15" width="13.5703125" bestFit="1" customWidth="1"/>
    <col min="18" max="18" width="13.5703125" bestFit="1" customWidth="1"/>
    <col min="20" max="20" width="13.5703125" bestFit="1" customWidth="1"/>
  </cols>
  <sheetData>
    <row r="1" spans="1:13">
      <c r="A1" t="s">
        <v>105</v>
      </c>
    </row>
    <row r="3" spans="1:13">
      <c r="B3" s="778" t="s">
        <v>90</v>
      </c>
      <c r="C3" s="842"/>
      <c r="D3" s="842"/>
      <c r="E3" s="914">
        <f>IFERROR(INDEX(Assumptions!$J$27:$L$36,MATCH(A1,Assumptions!$J$27:$J$36,0),3),0)</f>
        <v>0.41</v>
      </c>
      <c r="H3" s="778" t="s">
        <v>518</v>
      </c>
      <c r="I3" s="1098"/>
      <c r="J3" s="827"/>
      <c r="L3" s="804" t="s">
        <v>519</v>
      </c>
      <c r="M3" s="805"/>
    </row>
    <row r="4" spans="1:13">
      <c r="B4" s="778" t="s">
        <v>520</v>
      </c>
      <c r="C4" s="1099"/>
      <c r="D4" s="779"/>
      <c r="E4" s="780">
        <f>'2-D Financial'!$D$10*E3</f>
        <v>6405175.4378203377</v>
      </c>
      <c r="F4" s="823"/>
      <c r="H4" s="832">
        <v>1</v>
      </c>
      <c r="I4" s="831">
        <v>1</v>
      </c>
      <c r="J4" s="791">
        <f>SUMIFS('2-D Amortization'!$K$26:$K$86,'2-D Amortization'!$E$26:$E$86,H4,'2-D Amortization'!$F$26:$F$86,I4)</f>
        <v>-92074.396918667364</v>
      </c>
      <c r="L4" s="806">
        <v>1</v>
      </c>
      <c r="M4" s="791">
        <f t="shared" ref="M4:M13" si="0">SUMIF($E$26:$E$386,L4,$K$26:$K$386)</f>
        <v>-368297.5876746694</v>
      </c>
    </row>
    <row r="5" spans="1:13">
      <c r="B5" s="1026" t="s">
        <v>521</v>
      </c>
      <c r="C5" s="781"/>
      <c r="D5" s="782"/>
      <c r="E5" s="783">
        <f>'2-D DRAW'!U9+1</f>
        <v>48214</v>
      </c>
      <c r="F5" s="824"/>
      <c r="H5" s="832">
        <v>1</v>
      </c>
      <c r="I5" s="831">
        <v>2</v>
      </c>
      <c r="J5" s="791">
        <f>SUMIFS('2-D Amortization'!$K$26:$K$86,'2-D Amortization'!$E$26:$E$86,H5,'2-D Amortization'!$F$26:$F$86,I5)</f>
        <v>-92074.396918667364</v>
      </c>
      <c r="L5" s="806">
        <f>L4+1</f>
        <v>2</v>
      </c>
      <c r="M5" s="791">
        <f t="shared" si="0"/>
        <v>-448546.38315250777</v>
      </c>
    </row>
    <row r="6" spans="1:13">
      <c r="B6" s="1026" t="s">
        <v>522</v>
      </c>
      <c r="C6" s="781"/>
      <c r="D6" s="782"/>
      <c r="E6" s="784">
        <f>Assumptions!$L$41</f>
        <v>5</v>
      </c>
      <c r="F6" s="825"/>
      <c r="G6" s="785"/>
      <c r="H6" s="832">
        <v>1</v>
      </c>
      <c r="I6" s="831">
        <v>3</v>
      </c>
      <c r="J6" s="791">
        <f>SUMIFS('2-D Amortization'!$K$26:$K$86,'2-D Amortization'!$E$26:$E$86,H6,'2-D Amortization'!$F$26:$F$86,I6)</f>
        <v>-92074.396918667364</v>
      </c>
      <c r="L6" s="806">
        <f t="shared" ref="L6:L13" si="1">L5+1</f>
        <v>3</v>
      </c>
      <c r="M6" s="791">
        <f t="shared" si="0"/>
        <v>-448546.38315250777</v>
      </c>
    </row>
    <row r="7" spans="1:13">
      <c r="B7" s="1026" t="s">
        <v>523</v>
      </c>
      <c r="C7" s="781"/>
      <c r="D7" s="782"/>
      <c r="E7" s="803">
        <v>360</v>
      </c>
      <c r="F7" s="826"/>
      <c r="H7" s="832">
        <v>1</v>
      </c>
      <c r="I7" s="831">
        <v>4</v>
      </c>
      <c r="J7" s="791">
        <f>SUMIFS('2-D Amortization'!$K$26:$K$86,'2-D Amortization'!$E$26:$E$86,H7,'2-D Amortization'!$F$26:$F$86,I7)</f>
        <v>-92074.396918667364</v>
      </c>
      <c r="L7" s="806">
        <f t="shared" si="1"/>
        <v>4</v>
      </c>
      <c r="M7" s="791">
        <f t="shared" si="0"/>
        <v>-448546.38315250777</v>
      </c>
    </row>
    <row r="8" spans="1:13">
      <c r="B8" s="1026" t="s">
        <v>524</v>
      </c>
      <c r="C8" s="781"/>
      <c r="D8" s="782"/>
      <c r="E8" s="801">
        <v>1</v>
      </c>
      <c r="F8" s="786">
        <f>IF(E8="","",VLOOKUP(E8,$C$26:$D$386,2,FALSE))</f>
        <v>48244</v>
      </c>
      <c r="H8" s="832">
        <v>2</v>
      </c>
      <c r="I8" s="831">
        <v>1</v>
      </c>
      <c r="J8" s="791">
        <f>SUMIFS('2-D Amortization'!$K$26:$K$86,'2-D Amortization'!$E$26:$E$86,H8,'2-D Amortization'!$F$26:$F$86,I8)</f>
        <v>-112136.59578812697</v>
      </c>
      <c r="L8" s="806">
        <f t="shared" si="1"/>
        <v>5</v>
      </c>
      <c r="M8" s="791">
        <f t="shared" si="0"/>
        <v>-448546.38315250783</v>
      </c>
    </row>
    <row r="9" spans="1:13">
      <c r="B9" s="1026" t="s">
        <v>525</v>
      </c>
      <c r="C9" s="781"/>
      <c r="D9" s="782"/>
      <c r="E9" s="802">
        <v>12</v>
      </c>
      <c r="F9" s="787">
        <f>IF(E9="","",VLOOKUP(E9,$C$26:$D$386,2,FALSE))</f>
        <v>48579</v>
      </c>
      <c r="H9" s="832">
        <v>2</v>
      </c>
      <c r="I9" s="831">
        <v>2</v>
      </c>
      <c r="J9" s="791">
        <f>SUMIFS('2-D Amortization'!$K$26:$K$86,'2-D Amortization'!$E$26:$E$86,H9,'2-D Amortization'!$F$26:$F$86,I9)</f>
        <v>-112136.59578812697</v>
      </c>
      <c r="L9" s="806">
        <f t="shared" si="1"/>
        <v>6</v>
      </c>
      <c r="M9" s="791">
        <f t="shared" si="0"/>
        <v>0</v>
      </c>
    </row>
    <row r="10" spans="1:13">
      <c r="B10" s="1026" t="s">
        <v>526</v>
      </c>
      <c r="C10" s="781"/>
      <c r="D10" s="782"/>
      <c r="E10" s="788">
        <f>Assumptions!$L6</f>
        <v>5.7500000000000002E-2</v>
      </c>
      <c r="H10" s="832">
        <v>2</v>
      </c>
      <c r="I10" s="831">
        <v>3</v>
      </c>
      <c r="J10" s="791">
        <f>SUMIFS('2-D Amortization'!$K$26:$K$86,'2-D Amortization'!$E$26:$E$86,H10,'2-D Amortization'!$F$26:$F$86,I10)</f>
        <v>-112136.59578812697</v>
      </c>
      <c r="L10" s="806">
        <f t="shared" si="1"/>
        <v>7</v>
      </c>
      <c r="M10" s="791">
        <f t="shared" si="0"/>
        <v>0</v>
      </c>
    </row>
    <row r="11" spans="1:13">
      <c r="B11" s="1026" t="s">
        <v>527</v>
      </c>
      <c r="C11" s="781"/>
      <c r="D11" s="782"/>
      <c r="E11" s="788">
        <f>Assumptions!$L7</f>
        <v>5.0000000000000001E-3</v>
      </c>
      <c r="F11" s="789">
        <f>E11*E4</f>
        <v>32025.877189101688</v>
      </c>
      <c r="H11" s="832">
        <v>2</v>
      </c>
      <c r="I11" s="831">
        <v>4</v>
      </c>
      <c r="J11" s="791">
        <f>SUMIFS('2-D Amortization'!$K$26:$K$86,'2-D Amortization'!$E$26:$E$86,H11,'2-D Amortization'!$F$26:$F$86,I11)</f>
        <v>-112136.59578812697</v>
      </c>
      <c r="L11" s="806">
        <f t="shared" si="1"/>
        <v>8</v>
      </c>
      <c r="M11" s="791">
        <f t="shared" si="0"/>
        <v>0</v>
      </c>
    </row>
    <row r="12" spans="1:13">
      <c r="B12" s="1026" t="s">
        <v>528</v>
      </c>
      <c r="C12" s="781"/>
      <c r="D12" s="782"/>
      <c r="E12" s="1027" t="s">
        <v>529</v>
      </c>
      <c r="H12" s="832">
        <v>3</v>
      </c>
      <c r="I12" s="831">
        <v>1</v>
      </c>
      <c r="J12" s="791">
        <f>SUMIFS('2-D Amortization'!$K$26:$K$86,'2-D Amortization'!$E$26:$E$86,H12,'2-D Amortization'!$F$26:$F$86,I12)</f>
        <v>-112136.59578812697</v>
      </c>
      <c r="L12" s="806">
        <f t="shared" si="1"/>
        <v>9</v>
      </c>
      <c r="M12" s="791">
        <f t="shared" si="0"/>
        <v>0</v>
      </c>
    </row>
    <row r="13" spans="1:13">
      <c r="B13" s="1026" t="s">
        <v>530</v>
      </c>
      <c r="C13" s="781"/>
      <c r="D13" s="782"/>
      <c r="E13" s="791">
        <f>VLOOKUP(MIN(E6*12,E14),$C$26:$L$386,10,FALSE)</f>
        <v>6045229.7706757039</v>
      </c>
      <c r="H13" s="832">
        <v>3</v>
      </c>
      <c r="I13" s="831">
        <v>2</v>
      </c>
      <c r="J13" s="791">
        <f>SUMIFS('2-D Amortization'!$K$26:$K$86,'2-D Amortization'!$E$26:$E$86,H13,'2-D Amortization'!$F$26:$F$86,I13)</f>
        <v>-112136.59578812697</v>
      </c>
      <c r="L13" s="807">
        <f t="shared" si="1"/>
        <v>10</v>
      </c>
      <c r="M13" s="808">
        <f t="shared" si="0"/>
        <v>0</v>
      </c>
    </row>
    <row r="14" spans="1:13">
      <c r="B14" s="792" t="s">
        <v>531</v>
      </c>
      <c r="C14" s="793"/>
      <c r="D14" s="794"/>
      <c r="E14" s="790">
        <f>E6*12</f>
        <v>60</v>
      </c>
      <c r="F14" s="795"/>
      <c r="H14" s="832">
        <v>3</v>
      </c>
      <c r="I14" s="831">
        <v>3</v>
      </c>
      <c r="J14" s="791">
        <f>SUMIFS('2-D Amortization'!$K$26:$K$86,'2-D Amortization'!$E$26:$E$86,H14,'2-D Amortization'!$F$26:$F$86,I14)</f>
        <v>-112136.59578812697</v>
      </c>
      <c r="K14" s="809"/>
    </row>
    <row r="15" spans="1:13">
      <c r="H15" s="832">
        <v>3</v>
      </c>
      <c r="I15" s="831">
        <v>4</v>
      </c>
      <c r="J15" s="791">
        <f>SUMIFS('2-D Amortization'!$K$26:$K$86,'2-D Amortization'!$E$26:$E$86,H15,'2-D Amortization'!$F$26:$F$86,I15)</f>
        <v>-112136.59578812697</v>
      </c>
      <c r="K15" s="809"/>
    </row>
    <row r="16" spans="1:13">
      <c r="H16" s="832">
        <v>4</v>
      </c>
      <c r="I16" s="831">
        <v>1</v>
      </c>
      <c r="J16" s="791">
        <f>SUMIFS('2-D Amortization'!$K$26:$K$86,'2-D Amortization'!$E$26:$E$86,H16,'2-D Amortization'!$F$26:$F$86,I16)</f>
        <v>-112136.59578812697</v>
      </c>
      <c r="K16" s="809"/>
    </row>
    <row r="17" spans="3:20">
      <c r="H17" s="832">
        <v>4</v>
      </c>
      <c r="I17" s="831">
        <v>2</v>
      </c>
      <c r="J17" s="791">
        <f>SUMIFS('2-D Amortization'!$K$26:$K$86,'2-D Amortization'!$E$26:$E$86,H17,'2-D Amortization'!$F$26:$F$86,I17)</f>
        <v>-112136.59578812697</v>
      </c>
      <c r="K17" s="809"/>
    </row>
    <row r="18" spans="3:20">
      <c r="H18" s="832">
        <v>4</v>
      </c>
      <c r="I18" s="831">
        <v>3</v>
      </c>
      <c r="J18" s="791">
        <f>SUMIFS('2-D Amortization'!$K$26:$K$86,'2-D Amortization'!$E$26:$E$86,H18,'2-D Amortization'!$F$26:$F$86,I18)</f>
        <v>-112136.59578812697</v>
      </c>
      <c r="K18" s="809"/>
    </row>
    <row r="19" spans="3:20">
      <c r="H19" s="832">
        <v>4</v>
      </c>
      <c r="I19" s="831">
        <v>4</v>
      </c>
      <c r="J19" s="791">
        <f>SUMIFS('2-D Amortization'!$K$26:$K$86,'2-D Amortization'!$E$26:$E$86,H19,'2-D Amortization'!$F$26:$F$86,I19)</f>
        <v>-112136.59578812697</v>
      </c>
      <c r="K19" s="809"/>
    </row>
    <row r="20" spans="3:20">
      <c r="H20" s="832">
        <v>5</v>
      </c>
      <c r="I20" s="831">
        <v>1</v>
      </c>
      <c r="J20" s="791">
        <f>SUMIFS('2-D Amortization'!$K$26:$K$86,'2-D Amortization'!$E$26:$E$86,H20,'2-D Amortization'!$F$26:$F$86,I20)</f>
        <v>-112136.59578812699</v>
      </c>
      <c r="K20" s="809"/>
    </row>
    <row r="21" spans="3:20">
      <c r="H21" s="832">
        <v>5</v>
      </c>
      <c r="I21" s="831">
        <v>2</v>
      </c>
      <c r="J21" s="791">
        <f>SUMIFS('2-D Amortization'!$K$26:$K$86,'2-D Amortization'!$E$26:$E$86,H21,'2-D Amortization'!$F$26:$F$86,I21)</f>
        <v>-112136.59578812697</v>
      </c>
      <c r="K21" s="809"/>
    </row>
    <row r="22" spans="3:20">
      <c r="H22" s="832">
        <v>5</v>
      </c>
      <c r="I22" s="831">
        <v>3</v>
      </c>
      <c r="J22" s="791">
        <f>SUMIFS('2-D Amortization'!$K$26:$K$86,'2-D Amortization'!$E$26:$E$86,H22,'2-D Amortization'!$F$26:$F$86,I22)</f>
        <v>-112136.59578812699</v>
      </c>
      <c r="K22" s="809"/>
    </row>
    <row r="23" spans="3:20">
      <c r="H23" s="833">
        <v>5</v>
      </c>
      <c r="I23" s="834">
        <v>4</v>
      </c>
      <c r="J23" s="808">
        <f>SUMIFS('2-D Amortization'!$K$26:$K$86,'2-D Amortization'!$E$26:$E$86,H23,'2-D Amortization'!$F$26:$F$86,I23)</f>
        <v>-112136.59578812699</v>
      </c>
      <c r="K23" s="809"/>
    </row>
    <row r="24" spans="3:20">
      <c r="R24" s="809"/>
      <c r="T24" s="809"/>
    </row>
    <row r="25" spans="3:20" ht="15" thickBot="1">
      <c r="C25" s="811" t="s">
        <v>532</v>
      </c>
      <c r="D25" s="812" t="s">
        <v>533</v>
      </c>
      <c r="E25" s="812" t="s">
        <v>534</v>
      </c>
      <c r="F25" s="1100" t="s">
        <v>535</v>
      </c>
      <c r="G25" s="1100" t="s">
        <v>536</v>
      </c>
      <c r="H25" s="812" t="s">
        <v>537</v>
      </c>
      <c r="I25" s="812" t="s">
        <v>538</v>
      </c>
      <c r="J25" s="812" t="s">
        <v>520</v>
      </c>
      <c r="K25" s="812" t="s">
        <v>539</v>
      </c>
      <c r="L25" s="813" t="s">
        <v>540</v>
      </c>
    </row>
    <row r="26" spans="3:20">
      <c r="C26" s="796">
        <v>0</v>
      </c>
      <c r="D26" s="797">
        <f>E5</f>
        <v>48214</v>
      </c>
      <c r="E26" s="798">
        <f>ROUNDUP(C26/12,0)</f>
        <v>0</v>
      </c>
      <c r="F26" s="798"/>
      <c r="G26" s="799"/>
      <c r="I26" s="809"/>
      <c r="K26" s="809">
        <f t="shared" ref="K26:K86" si="2">SUM(I26:J26)</f>
        <v>0</v>
      </c>
      <c r="L26" s="791">
        <f t="shared" ref="L26:L57" si="3">IF(C26=0,$E$4,H26+J26)</f>
        <v>6405175.4378203377</v>
      </c>
    </row>
    <row r="27" spans="3:20" ht="15" customHeight="1">
      <c r="C27" s="814">
        <f>C26+1</f>
        <v>1</v>
      </c>
      <c r="D27" s="815">
        <f t="shared" ref="D27:D58" si="4">EOMONTH($E$5,C27-1)</f>
        <v>48244</v>
      </c>
      <c r="E27" s="800">
        <f t="shared" ref="E27:E86" si="5">ROUNDUP(C27/12,0)</f>
        <v>1</v>
      </c>
      <c r="F27" s="800">
        <f>CHOOSE(MONTH(D27), 1, 1, 1, 2, 2, 2, 3, 3, 3, 4, 4, 4)</f>
        <v>1</v>
      </c>
      <c r="G27" s="816" t="str">
        <f>IF($E$12="NO",G26+1,
IF(OR(D27&lt;$F$8,D27&gt;$F$9),MAX($G$26:G26)+1,""))</f>
        <v/>
      </c>
      <c r="H27" s="809">
        <f t="shared" ref="H27:H58" si="6">IF(OR(E27&gt;$E$6,C27&gt;$E$14),0,L26)</f>
        <v>6405175.4378203377</v>
      </c>
      <c r="I27" s="809">
        <f t="shared" ref="I27:I58" si="7">IF(OR(E27&gt;$E$6*12,C27&gt;$E$14),0,-H27*$E$10/12)</f>
        <v>-30691.465639555787</v>
      </c>
      <c r="J27" s="817">
        <f t="shared" ref="J27:J58" si="8">IF(OR(E27&gt;$E$6,C27&gt;$E$14),0,
IF(AND($E$8&lt;&gt;OR(0,""),$E$9&lt;&gt;OR(0,""),C27&gt;=$E$8,C27&lt;=$E$9),0,PPMT($E$10/12,IF($E$12="YES",G27,C27),$E$7,$E$4)))</f>
        <v>0</v>
      </c>
      <c r="K27" s="809">
        <f t="shared" si="2"/>
        <v>-30691.465639555787</v>
      </c>
      <c r="L27" s="791">
        <f t="shared" si="3"/>
        <v>6405175.4378203377</v>
      </c>
    </row>
    <row r="28" spans="3:20">
      <c r="C28" s="814">
        <f t="shared" ref="C28:C86" si="9">C27+1</f>
        <v>2</v>
      </c>
      <c r="D28" s="815">
        <f t="shared" si="4"/>
        <v>48273</v>
      </c>
      <c r="E28" s="800">
        <f t="shared" si="5"/>
        <v>1</v>
      </c>
      <c r="F28" s="800">
        <f t="shared" ref="F28:F86" si="10">CHOOSE(MONTH(D28), 1, 1, 1, 2, 2, 2, 3, 3, 3, 4, 4, 4)</f>
        <v>1</v>
      </c>
      <c r="G28" s="816" t="str">
        <f>IF($E$12="NO",G27+1,
IF(OR(D28&lt;$F$8,D28&gt;$F$9),MAX($G$26:G27)+1,""))</f>
        <v/>
      </c>
      <c r="H28" s="809">
        <f t="shared" si="6"/>
        <v>6405175.4378203377</v>
      </c>
      <c r="I28" s="809">
        <f t="shared" si="7"/>
        <v>-30691.465639555787</v>
      </c>
      <c r="J28" s="817">
        <f t="shared" si="8"/>
        <v>0</v>
      </c>
      <c r="K28" s="809">
        <f t="shared" si="2"/>
        <v>-30691.465639555787</v>
      </c>
      <c r="L28" s="791">
        <f t="shared" si="3"/>
        <v>6405175.4378203377</v>
      </c>
    </row>
    <row r="29" spans="3:20">
      <c r="C29" s="814">
        <f t="shared" si="9"/>
        <v>3</v>
      </c>
      <c r="D29" s="815">
        <f t="shared" si="4"/>
        <v>48304</v>
      </c>
      <c r="E29" s="800">
        <f t="shared" si="5"/>
        <v>1</v>
      </c>
      <c r="F29" s="800">
        <f t="shared" si="10"/>
        <v>1</v>
      </c>
      <c r="G29" s="816" t="str">
        <f>IF($E$12="NO",G28+1,
IF(OR(D29&lt;$F$8,D29&gt;$F$9),MAX($G$26:G28)+1,""))</f>
        <v/>
      </c>
      <c r="H29" s="809">
        <f t="shared" si="6"/>
        <v>6405175.4378203377</v>
      </c>
      <c r="I29" s="809">
        <f t="shared" si="7"/>
        <v>-30691.465639555787</v>
      </c>
      <c r="J29" s="817">
        <f t="shared" si="8"/>
        <v>0</v>
      </c>
      <c r="K29" s="809">
        <f t="shared" si="2"/>
        <v>-30691.465639555787</v>
      </c>
      <c r="L29" s="791">
        <f t="shared" si="3"/>
        <v>6405175.4378203377</v>
      </c>
    </row>
    <row r="30" spans="3:20">
      <c r="C30" s="814">
        <f t="shared" si="9"/>
        <v>4</v>
      </c>
      <c r="D30" s="815">
        <f t="shared" si="4"/>
        <v>48334</v>
      </c>
      <c r="E30" s="800">
        <f t="shared" si="5"/>
        <v>1</v>
      </c>
      <c r="F30" s="800">
        <f t="shared" si="10"/>
        <v>2</v>
      </c>
      <c r="G30" s="816" t="str">
        <f>IF($E$12="NO",G29+1,
IF(OR(D30&lt;$F$8,D30&gt;$F$9),MAX($G$26:G29)+1,""))</f>
        <v/>
      </c>
      <c r="H30" s="809">
        <f t="shared" si="6"/>
        <v>6405175.4378203377</v>
      </c>
      <c r="I30" s="809">
        <f t="shared" si="7"/>
        <v>-30691.465639555787</v>
      </c>
      <c r="J30" s="817">
        <f t="shared" si="8"/>
        <v>0</v>
      </c>
      <c r="K30" s="809">
        <f t="shared" si="2"/>
        <v>-30691.465639555787</v>
      </c>
      <c r="L30" s="791">
        <f t="shared" si="3"/>
        <v>6405175.4378203377</v>
      </c>
    </row>
    <row r="31" spans="3:20">
      <c r="C31" s="814">
        <f t="shared" si="9"/>
        <v>5</v>
      </c>
      <c r="D31" s="815">
        <f t="shared" si="4"/>
        <v>48365</v>
      </c>
      <c r="E31" s="800">
        <f t="shared" si="5"/>
        <v>1</v>
      </c>
      <c r="F31" s="800">
        <f t="shared" si="10"/>
        <v>2</v>
      </c>
      <c r="G31" s="816" t="str">
        <f>IF($E$12="NO",G30+1,
IF(OR(D31&lt;$F$8,D31&gt;$F$9),MAX($G$26:G30)+1,""))</f>
        <v/>
      </c>
      <c r="H31" s="809">
        <f t="shared" si="6"/>
        <v>6405175.4378203377</v>
      </c>
      <c r="I31" s="809">
        <f t="shared" si="7"/>
        <v>-30691.465639555787</v>
      </c>
      <c r="J31" s="817">
        <f t="shared" si="8"/>
        <v>0</v>
      </c>
      <c r="K31" s="809">
        <f t="shared" si="2"/>
        <v>-30691.465639555787</v>
      </c>
      <c r="L31" s="791">
        <f t="shared" si="3"/>
        <v>6405175.4378203377</v>
      </c>
    </row>
    <row r="32" spans="3:20">
      <c r="C32" s="814">
        <f t="shared" si="9"/>
        <v>6</v>
      </c>
      <c r="D32" s="815">
        <f t="shared" si="4"/>
        <v>48395</v>
      </c>
      <c r="E32" s="800">
        <f t="shared" si="5"/>
        <v>1</v>
      </c>
      <c r="F32" s="800">
        <f t="shared" si="10"/>
        <v>2</v>
      </c>
      <c r="G32" s="816" t="str">
        <f>IF($E$12="NO",G31+1,
IF(OR(D32&lt;$F$8,D32&gt;$F$9),MAX($G$26:G31)+1,""))</f>
        <v/>
      </c>
      <c r="H32" s="809">
        <f t="shared" si="6"/>
        <v>6405175.4378203377</v>
      </c>
      <c r="I32" s="809">
        <f t="shared" si="7"/>
        <v>-30691.465639555787</v>
      </c>
      <c r="J32" s="817">
        <f t="shared" si="8"/>
        <v>0</v>
      </c>
      <c r="K32" s="809">
        <f t="shared" si="2"/>
        <v>-30691.465639555787</v>
      </c>
      <c r="L32" s="791">
        <f t="shared" si="3"/>
        <v>6405175.4378203377</v>
      </c>
    </row>
    <row r="33" spans="3:12">
      <c r="C33" s="814">
        <f t="shared" si="9"/>
        <v>7</v>
      </c>
      <c r="D33" s="815">
        <f t="shared" si="4"/>
        <v>48426</v>
      </c>
      <c r="E33" s="800">
        <f t="shared" si="5"/>
        <v>1</v>
      </c>
      <c r="F33" s="800">
        <f t="shared" si="10"/>
        <v>3</v>
      </c>
      <c r="G33" s="816" t="str">
        <f>IF($E$12="NO",G32+1,
IF(OR(D33&lt;$F$8,D33&gt;$F$9),MAX($G$26:G32)+1,""))</f>
        <v/>
      </c>
      <c r="H33" s="809">
        <f t="shared" si="6"/>
        <v>6405175.4378203377</v>
      </c>
      <c r="I33" s="809">
        <f t="shared" si="7"/>
        <v>-30691.465639555787</v>
      </c>
      <c r="J33" s="817">
        <f t="shared" si="8"/>
        <v>0</v>
      </c>
      <c r="K33" s="809">
        <f t="shared" si="2"/>
        <v>-30691.465639555787</v>
      </c>
      <c r="L33" s="791">
        <f t="shared" si="3"/>
        <v>6405175.4378203377</v>
      </c>
    </row>
    <row r="34" spans="3:12">
      <c r="C34" s="814">
        <f t="shared" si="9"/>
        <v>8</v>
      </c>
      <c r="D34" s="815">
        <f t="shared" si="4"/>
        <v>48457</v>
      </c>
      <c r="E34" s="800">
        <f t="shared" si="5"/>
        <v>1</v>
      </c>
      <c r="F34" s="800">
        <f t="shared" si="10"/>
        <v>3</v>
      </c>
      <c r="G34" s="816" t="str">
        <f>IF($E$12="NO",G33+1,
IF(OR(D34&lt;$F$8,D34&gt;$F$9),MAX($G$26:G33)+1,""))</f>
        <v/>
      </c>
      <c r="H34" s="809">
        <f t="shared" si="6"/>
        <v>6405175.4378203377</v>
      </c>
      <c r="I34" s="809">
        <f t="shared" si="7"/>
        <v>-30691.465639555787</v>
      </c>
      <c r="J34" s="817">
        <f t="shared" si="8"/>
        <v>0</v>
      </c>
      <c r="K34" s="809">
        <f t="shared" si="2"/>
        <v>-30691.465639555787</v>
      </c>
      <c r="L34" s="791">
        <f t="shared" si="3"/>
        <v>6405175.4378203377</v>
      </c>
    </row>
    <row r="35" spans="3:12">
      <c r="C35" s="814">
        <f t="shared" si="9"/>
        <v>9</v>
      </c>
      <c r="D35" s="815">
        <f t="shared" si="4"/>
        <v>48487</v>
      </c>
      <c r="E35" s="800">
        <f t="shared" si="5"/>
        <v>1</v>
      </c>
      <c r="F35" s="800">
        <f t="shared" si="10"/>
        <v>3</v>
      </c>
      <c r="G35" s="816" t="str">
        <f>IF($E$12="NO",G34+1,
IF(OR(D35&lt;$F$8,D35&gt;$F$9),MAX($G$26:G34)+1,""))</f>
        <v/>
      </c>
      <c r="H35" s="809">
        <f t="shared" si="6"/>
        <v>6405175.4378203377</v>
      </c>
      <c r="I35" s="809">
        <f t="shared" si="7"/>
        <v>-30691.465639555787</v>
      </c>
      <c r="J35" s="817">
        <f t="shared" si="8"/>
        <v>0</v>
      </c>
      <c r="K35" s="809">
        <f t="shared" si="2"/>
        <v>-30691.465639555787</v>
      </c>
      <c r="L35" s="791">
        <f t="shared" si="3"/>
        <v>6405175.4378203377</v>
      </c>
    </row>
    <row r="36" spans="3:12">
      <c r="C36" s="814">
        <f t="shared" si="9"/>
        <v>10</v>
      </c>
      <c r="D36" s="815">
        <f t="shared" si="4"/>
        <v>48518</v>
      </c>
      <c r="E36" s="800">
        <f t="shared" si="5"/>
        <v>1</v>
      </c>
      <c r="F36" s="800">
        <f t="shared" si="10"/>
        <v>4</v>
      </c>
      <c r="G36" s="816" t="str">
        <f>IF($E$12="NO",G35+1,
IF(OR(D36&lt;$F$8,D36&gt;$F$9),MAX($G$26:G35)+1,""))</f>
        <v/>
      </c>
      <c r="H36" s="809">
        <f t="shared" si="6"/>
        <v>6405175.4378203377</v>
      </c>
      <c r="I36" s="809">
        <f t="shared" si="7"/>
        <v>-30691.465639555787</v>
      </c>
      <c r="J36" s="817">
        <f t="shared" si="8"/>
        <v>0</v>
      </c>
      <c r="K36" s="809">
        <f t="shared" si="2"/>
        <v>-30691.465639555787</v>
      </c>
      <c r="L36" s="791">
        <f t="shared" si="3"/>
        <v>6405175.4378203377</v>
      </c>
    </row>
    <row r="37" spans="3:12">
      <c r="C37" s="814">
        <f t="shared" si="9"/>
        <v>11</v>
      </c>
      <c r="D37" s="815">
        <f t="shared" si="4"/>
        <v>48548</v>
      </c>
      <c r="E37" s="800">
        <f t="shared" si="5"/>
        <v>1</v>
      </c>
      <c r="F37" s="800">
        <f t="shared" si="10"/>
        <v>4</v>
      </c>
      <c r="G37" s="816" t="str">
        <f>IF($E$12="NO",G36+1,
IF(OR(D37&lt;$F$8,D37&gt;$F$9),MAX($G$26:G36)+1,""))</f>
        <v/>
      </c>
      <c r="H37" s="809">
        <f t="shared" si="6"/>
        <v>6405175.4378203377</v>
      </c>
      <c r="I37" s="809">
        <f t="shared" si="7"/>
        <v>-30691.465639555787</v>
      </c>
      <c r="J37" s="817">
        <f t="shared" si="8"/>
        <v>0</v>
      </c>
      <c r="K37" s="809">
        <f t="shared" si="2"/>
        <v>-30691.465639555787</v>
      </c>
      <c r="L37" s="791">
        <f t="shared" si="3"/>
        <v>6405175.4378203377</v>
      </c>
    </row>
    <row r="38" spans="3:12">
      <c r="C38" s="814">
        <f t="shared" si="9"/>
        <v>12</v>
      </c>
      <c r="D38" s="815">
        <f t="shared" si="4"/>
        <v>48579</v>
      </c>
      <c r="E38" s="800">
        <f t="shared" si="5"/>
        <v>1</v>
      </c>
      <c r="F38" s="800">
        <f t="shared" si="10"/>
        <v>4</v>
      </c>
      <c r="G38" s="816" t="str">
        <f>IF($E$12="NO",G37+1,
IF(OR(D38&lt;$F$8,D38&gt;$F$9),MAX($G$26:G37)+1,""))</f>
        <v/>
      </c>
      <c r="H38" s="809">
        <f t="shared" si="6"/>
        <v>6405175.4378203377</v>
      </c>
      <c r="I38" s="809">
        <f t="shared" si="7"/>
        <v>-30691.465639555787</v>
      </c>
      <c r="J38" s="817">
        <f t="shared" si="8"/>
        <v>0</v>
      </c>
      <c r="K38" s="809">
        <f t="shared" si="2"/>
        <v>-30691.465639555787</v>
      </c>
      <c r="L38" s="791">
        <f t="shared" si="3"/>
        <v>6405175.4378203377</v>
      </c>
    </row>
    <row r="39" spans="3:12">
      <c r="C39" s="814">
        <f t="shared" si="9"/>
        <v>13</v>
      </c>
      <c r="D39" s="815">
        <f t="shared" si="4"/>
        <v>48610</v>
      </c>
      <c r="E39" s="800">
        <f t="shared" si="5"/>
        <v>2</v>
      </c>
      <c r="F39" s="800">
        <f t="shared" si="10"/>
        <v>1</v>
      </c>
      <c r="G39" s="816">
        <f>IF($E$12="NO",G38+1,
IF(OR(D39&lt;$F$8,D39&gt;$F$9),MAX($G$26:G38)+1,""))</f>
        <v>1</v>
      </c>
      <c r="H39" s="809">
        <f t="shared" si="6"/>
        <v>6405175.4378203377</v>
      </c>
      <c r="I39" s="809">
        <f t="shared" si="7"/>
        <v>-30691.465639555787</v>
      </c>
      <c r="J39" s="817">
        <f t="shared" si="8"/>
        <v>-6687.3996231532055</v>
      </c>
      <c r="K39" s="809">
        <f t="shared" si="2"/>
        <v>-37378.86526270899</v>
      </c>
      <c r="L39" s="791">
        <f t="shared" si="3"/>
        <v>6398488.0381971849</v>
      </c>
    </row>
    <row r="40" spans="3:12">
      <c r="C40" s="814">
        <f t="shared" si="9"/>
        <v>14</v>
      </c>
      <c r="D40" s="815">
        <f t="shared" si="4"/>
        <v>48638</v>
      </c>
      <c r="E40" s="800">
        <f t="shared" si="5"/>
        <v>2</v>
      </c>
      <c r="F40" s="800">
        <f t="shared" si="10"/>
        <v>1</v>
      </c>
      <c r="G40" s="816">
        <f>IF($E$12="NO",G39+1,
IF(OR(D40&lt;$F$8,D40&gt;$F$9),MAX($G$26:G39)+1,""))</f>
        <v>2</v>
      </c>
      <c r="H40" s="809">
        <f t="shared" si="6"/>
        <v>6398488.0381971849</v>
      </c>
      <c r="I40" s="809">
        <f t="shared" si="7"/>
        <v>-30659.421849694845</v>
      </c>
      <c r="J40" s="817">
        <f t="shared" si="8"/>
        <v>-6719.4434130141472</v>
      </c>
      <c r="K40" s="809">
        <f t="shared" si="2"/>
        <v>-37378.86526270899</v>
      </c>
      <c r="L40" s="791">
        <f t="shared" si="3"/>
        <v>6391768.5947841704</v>
      </c>
    </row>
    <row r="41" spans="3:12">
      <c r="C41" s="814">
        <f t="shared" si="9"/>
        <v>15</v>
      </c>
      <c r="D41" s="815">
        <f t="shared" si="4"/>
        <v>48669</v>
      </c>
      <c r="E41" s="800">
        <f t="shared" si="5"/>
        <v>2</v>
      </c>
      <c r="F41" s="800">
        <f t="shared" si="10"/>
        <v>1</v>
      </c>
      <c r="G41" s="816">
        <f>IF($E$12="NO",G40+1,
IF(OR(D41&lt;$F$8,D41&gt;$F$9),MAX($G$26:G40)+1,""))</f>
        <v>3</v>
      </c>
      <c r="H41" s="809">
        <f t="shared" si="6"/>
        <v>6391768.5947841704</v>
      </c>
      <c r="I41" s="809">
        <f t="shared" si="7"/>
        <v>-30627.224516674152</v>
      </c>
      <c r="J41" s="817">
        <f t="shared" si="8"/>
        <v>-6751.640746034841</v>
      </c>
      <c r="K41" s="809">
        <f t="shared" si="2"/>
        <v>-37378.86526270899</v>
      </c>
      <c r="L41" s="791">
        <f t="shared" si="3"/>
        <v>6385016.9540381357</v>
      </c>
    </row>
    <row r="42" spans="3:12">
      <c r="C42" s="814">
        <f t="shared" si="9"/>
        <v>16</v>
      </c>
      <c r="D42" s="815">
        <f t="shared" si="4"/>
        <v>48699</v>
      </c>
      <c r="E42" s="800">
        <f t="shared" si="5"/>
        <v>2</v>
      </c>
      <c r="F42" s="800">
        <f t="shared" si="10"/>
        <v>2</v>
      </c>
      <c r="G42" s="816">
        <f>IF($E$12="NO",G41+1,
IF(OR(D42&lt;$F$8,D42&gt;$F$9),MAX($G$26:G41)+1,""))</f>
        <v>4</v>
      </c>
      <c r="H42" s="809">
        <f t="shared" si="6"/>
        <v>6385016.9540381357</v>
      </c>
      <c r="I42" s="809">
        <f t="shared" si="7"/>
        <v>-30594.872904766071</v>
      </c>
      <c r="J42" s="817">
        <f t="shared" si="8"/>
        <v>-6783.992357942926</v>
      </c>
      <c r="K42" s="809">
        <f t="shared" si="2"/>
        <v>-37378.865262708998</v>
      </c>
      <c r="L42" s="791">
        <f t="shared" si="3"/>
        <v>6378232.9616801925</v>
      </c>
    </row>
    <row r="43" spans="3:12">
      <c r="C43" s="814">
        <f t="shared" si="9"/>
        <v>17</v>
      </c>
      <c r="D43" s="815">
        <f t="shared" si="4"/>
        <v>48730</v>
      </c>
      <c r="E43" s="800">
        <f t="shared" si="5"/>
        <v>2</v>
      </c>
      <c r="F43" s="800">
        <f t="shared" si="10"/>
        <v>2</v>
      </c>
      <c r="G43" s="816">
        <f>IF($E$12="NO",G42+1,
IF(OR(D43&lt;$F$8,D43&gt;$F$9),MAX($G$26:G42)+1,""))</f>
        <v>5</v>
      </c>
      <c r="H43" s="809">
        <f t="shared" si="6"/>
        <v>6378232.9616801925</v>
      </c>
      <c r="I43" s="809">
        <f t="shared" si="7"/>
        <v>-30562.366274717588</v>
      </c>
      <c r="J43" s="817">
        <f t="shared" si="8"/>
        <v>-6816.4989879914001</v>
      </c>
      <c r="K43" s="809">
        <f t="shared" si="2"/>
        <v>-37378.86526270899</v>
      </c>
      <c r="L43" s="791">
        <f t="shared" si="3"/>
        <v>6371416.4626922011</v>
      </c>
    </row>
    <row r="44" spans="3:12">
      <c r="C44" s="814">
        <f t="shared" si="9"/>
        <v>18</v>
      </c>
      <c r="D44" s="815">
        <f t="shared" si="4"/>
        <v>48760</v>
      </c>
      <c r="E44" s="800">
        <f t="shared" si="5"/>
        <v>2</v>
      </c>
      <c r="F44" s="800">
        <f t="shared" si="10"/>
        <v>2</v>
      </c>
      <c r="G44" s="816">
        <f>IF($E$12="NO",G43+1,
IF(OR(D44&lt;$F$8,D44&gt;$F$9),MAX($G$26:G43)+1,""))</f>
        <v>6</v>
      </c>
      <c r="H44" s="809">
        <f t="shared" si="6"/>
        <v>6371416.4626922011</v>
      </c>
      <c r="I44" s="809">
        <f t="shared" si="7"/>
        <v>-30529.703883733466</v>
      </c>
      <c r="J44" s="817">
        <f t="shared" si="8"/>
        <v>-6849.1613789755256</v>
      </c>
      <c r="K44" s="809">
        <f t="shared" si="2"/>
        <v>-37378.86526270899</v>
      </c>
      <c r="L44" s="791">
        <f t="shared" si="3"/>
        <v>6364567.3013132252</v>
      </c>
    </row>
    <row r="45" spans="3:12">
      <c r="C45" s="814">
        <f t="shared" si="9"/>
        <v>19</v>
      </c>
      <c r="D45" s="815">
        <f t="shared" si="4"/>
        <v>48791</v>
      </c>
      <c r="E45" s="800">
        <f t="shared" si="5"/>
        <v>2</v>
      </c>
      <c r="F45" s="800">
        <f t="shared" si="10"/>
        <v>3</v>
      </c>
      <c r="G45" s="816">
        <f>IF($E$12="NO",G44+1,
IF(OR(D45&lt;$F$8,D45&gt;$F$9),MAX($G$26:G44)+1,""))</f>
        <v>7</v>
      </c>
      <c r="H45" s="809">
        <f t="shared" si="6"/>
        <v>6364567.3013132252</v>
      </c>
      <c r="I45" s="809">
        <f t="shared" si="7"/>
        <v>-30496.884985459208</v>
      </c>
      <c r="J45" s="817">
        <f t="shared" si="8"/>
        <v>-6881.9802772497842</v>
      </c>
      <c r="K45" s="809">
        <f t="shared" si="2"/>
        <v>-37378.86526270899</v>
      </c>
      <c r="L45" s="791">
        <f t="shared" si="3"/>
        <v>6357685.3210359756</v>
      </c>
    </row>
    <row r="46" spans="3:12">
      <c r="C46" s="814">
        <f t="shared" si="9"/>
        <v>20</v>
      </c>
      <c r="D46" s="815">
        <f t="shared" si="4"/>
        <v>48822</v>
      </c>
      <c r="E46" s="800">
        <f t="shared" si="5"/>
        <v>2</v>
      </c>
      <c r="F46" s="800">
        <f t="shared" si="10"/>
        <v>3</v>
      </c>
      <c r="G46" s="816">
        <f>IF($E$12="NO",G45+1,
IF(OR(D46&lt;$F$8,D46&gt;$F$9),MAX($G$26:G45)+1,""))</f>
        <v>8</v>
      </c>
      <c r="H46" s="809">
        <f t="shared" si="6"/>
        <v>6357685.3210359756</v>
      </c>
      <c r="I46" s="809">
        <f t="shared" si="7"/>
        <v>-30463.908829964053</v>
      </c>
      <c r="J46" s="817">
        <f t="shared" si="8"/>
        <v>-6914.956432744938</v>
      </c>
      <c r="K46" s="809">
        <f t="shared" si="2"/>
        <v>-37378.86526270899</v>
      </c>
      <c r="L46" s="791">
        <f t="shared" si="3"/>
        <v>6350770.3646032307</v>
      </c>
    </row>
    <row r="47" spans="3:12">
      <c r="C47" s="814">
        <f t="shared" si="9"/>
        <v>21</v>
      </c>
      <c r="D47" s="815">
        <f t="shared" si="4"/>
        <v>48852</v>
      </c>
      <c r="E47" s="800">
        <f t="shared" si="5"/>
        <v>2</v>
      </c>
      <c r="F47" s="800">
        <f t="shared" si="10"/>
        <v>3</v>
      </c>
      <c r="G47" s="816">
        <f>IF($E$12="NO",G46+1,
IF(OR(D47&lt;$F$8,D47&gt;$F$9),MAX($G$26:G46)+1,""))</f>
        <v>9</v>
      </c>
      <c r="H47" s="809">
        <f t="shared" si="6"/>
        <v>6350770.3646032307</v>
      </c>
      <c r="I47" s="809">
        <f t="shared" si="7"/>
        <v>-30430.774663723816</v>
      </c>
      <c r="J47" s="817">
        <f t="shared" si="8"/>
        <v>-6948.0905989851753</v>
      </c>
      <c r="K47" s="809">
        <f t="shared" si="2"/>
        <v>-37378.86526270899</v>
      </c>
      <c r="L47" s="791">
        <f t="shared" si="3"/>
        <v>6343822.2740042452</v>
      </c>
    </row>
    <row r="48" spans="3:12">
      <c r="C48" s="814">
        <f t="shared" si="9"/>
        <v>22</v>
      </c>
      <c r="D48" s="815">
        <f t="shared" si="4"/>
        <v>48883</v>
      </c>
      <c r="E48" s="800">
        <f t="shared" si="5"/>
        <v>2</v>
      </c>
      <c r="F48" s="800">
        <f t="shared" si="10"/>
        <v>4</v>
      </c>
      <c r="G48" s="816">
        <f>IF($E$12="NO",G47+1,
IF(OR(D48&lt;$F$8,D48&gt;$F$9),MAX($G$26:G47)+1,""))</f>
        <v>10</v>
      </c>
      <c r="H48" s="809">
        <f t="shared" si="6"/>
        <v>6343822.2740042452</v>
      </c>
      <c r="I48" s="809">
        <f t="shared" si="7"/>
        <v>-30397.481729603678</v>
      </c>
      <c r="J48" s="817">
        <f t="shared" si="8"/>
        <v>-6981.3835331053133</v>
      </c>
      <c r="K48" s="809">
        <f t="shared" si="2"/>
        <v>-37378.86526270899</v>
      </c>
      <c r="L48" s="791">
        <f t="shared" si="3"/>
        <v>6336840.8904711399</v>
      </c>
    </row>
    <row r="49" spans="3:12">
      <c r="C49" s="814">
        <f t="shared" si="9"/>
        <v>23</v>
      </c>
      <c r="D49" s="815">
        <f t="shared" si="4"/>
        <v>48913</v>
      </c>
      <c r="E49" s="800">
        <f t="shared" si="5"/>
        <v>2</v>
      </c>
      <c r="F49" s="800">
        <f t="shared" si="10"/>
        <v>4</v>
      </c>
      <c r="G49" s="816">
        <f>IF($E$12="NO",G48+1,
IF(OR(D49&lt;$F$8,D49&gt;$F$9),MAX($G$26:G48)+1,""))</f>
        <v>11</v>
      </c>
      <c r="H49" s="809">
        <f t="shared" si="6"/>
        <v>6336840.8904711399</v>
      </c>
      <c r="I49" s="809">
        <f t="shared" si="7"/>
        <v>-30364.02926684088</v>
      </c>
      <c r="J49" s="817">
        <f t="shared" si="8"/>
        <v>-7014.8359958681085</v>
      </c>
      <c r="K49" s="809">
        <f t="shared" si="2"/>
        <v>-37378.86526270899</v>
      </c>
      <c r="L49" s="791">
        <f t="shared" si="3"/>
        <v>6329826.0544752721</v>
      </c>
    </row>
    <row r="50" spans="3:12">
      <c r="C50" s="814">
        <f t="shared" si="9"/>
        <v>24</v>
      </c>
      <c r="D50" s="815">
        <f t="shared" si="4"/>
        <v>48944</v>
      </c>
      <c r="E50" s="800">
        <f t="shared" si="5"/>
        <v>2</v>
      </c>
      <c r="F50" s="800">
        <f t="shared" si="10"/>
        <v>4</v>
      </c>
      <c r="G50" s="816">
        <f>IF($E$12="NO",G49+1,
IF(OR(D50&lt;$F$8,D50&gt;$F$9),MAX($G$26:G49)+1,""))</f>
        <v>12</v>
      </c>
      <c r="H50" s="809">
        <f t="shared" si="6"/>
        <v>6329826.0544752721</v>
      </c>
      <c r="I50" s="809">
        <f t="shared" si="7"/>
        <v>-30330.416511027346</v>
      </c>
      <c r="J50" s="817">
        <f t="shared" si="8"/>
        <v>-7048.4487516816425</v>
      </c>
      <c r="K50" s="809">
        <f t="shared" si="2"/>
        <v>-37378.86526270899</v>
      </c>
      <c r="L50" s="791">
        <f t="shared" si="3"/>
        <v>6322777.6057235906</v>
      </c>
    </row>
    <row r="51" spans="3:12">
      <c r="C51" s="814">
        <f t="shared" si="9"/>
        <v>25</v>
      </c>
      <c r="D51" s="815">
        <f t="shared" si="4"/>
        <v>48975</v>
      </c>
      <c r="E51" s="800">
        <f t="shared" si="5"/>
        <v>3</v>
      </c>
      <c r="F51" s="800">
        <f t="shared" si="10"/>
        <v>1</v>
      </c>
      <c r="G51" s="816">
        <f>IF($E$12="NO",G50+1,
IF(OR(D51&lt;$F$8,D51&gt;$F$9),MAX($G$26:G50)+1,""))</f>
        <v>13</v>
      </c>
      <c r="H51" s="809">
        <f t="shared" si="6"/>
        <v>6322777.6057235906</v>
      </c>
      <c r="I51" s="809">
        <f t="shared" si="7"/>
        <v>-30296.642694092207</v>
      </c>
      <c r="J51" s="817">
        <f t="shared" si="8"/>
        <v>-7082.2225686167858</v>
      </c>
      <c r="K51" s="809">
        <f t="shared" si="2"/>
        <v>-37378.86526270899</v>
      </c>
      <c r="L51" s="791">
        <f t="shared" si="3"/>
        <v>6315695.3831549734</v>
      </c>
    </row>
    <row r="52" spans="3:12">
      <c r="C52" s="814">
        <f t="shared" si="9"/>
        <v>26</v>
      </c>
      <c r="D52" s="815">
        <f t="shared" si="4"/>
        <v>49003</v>
      </c>
      <c r="E52" s="800">
        <f t="shared" si="5"/>
        <v>3</v>
      </c>
      <c r="F52" s="800">
        <f t="shared" si="10"/>
        <v>1</v>
      </c>
      <c r="G52" s="816">
        <f>IF($E$12="NO",G51+1,
IF(OR(D52&lt;$F$8,D52&gt;$F$9),MAX($G$26:G51)+1,""))</f>
        <v>14</v>
      </c>
      <c r="H52" s="809">
        <f t="shared" si="6"/>
        <v>6315695.3831549734</v>
      </c>
      <c r="I52" s="809">
        <f t="shared" si="7"/>
        <v>-30262.707044284249</v>
      </c>
      <c r="J52" s="817">
        <f t="shared" si="8"/>
        <v>-7116.1582184247418</v>
      </c>
      <c r="K52" s="809">
        <f t="shared" si="2"/>
        <v>-37378.86526270899</v>
      </c>
      <c r="L52" s="791">
        <f t="shared" si="3"/>
        <v>6308579.2249365486</v>
      </c>
    </row>
    <row r="53" spans="3:12">
      <c r="C53" s="814">
        <f t="shared" si="9"/>
        <v>27</v>
      </c>
      <c r="D53" s="815">
        <f t="shared" si="4"/>
        <v>49034</v>
      </c>
      <c r="E53" s="800">
        <f t="shared" si="5"/>
        <v>3</v>
      </c>
      <c r="F53" s="800">
        <f t="shared" si="10"/>
        <v>1</v>
      </c>
      <c r="G53" s="816">
        <f>IF($E$12="NO",G52+1,
IF(OR(D53&lt;$F$8,D53&gt;$F$9),MAX($G$26:G52)+1,""))</f>
        <v>15</v>
      </c>
      <c r="H53" s="809">
        <f t="shared" si="6"/>
        <v>6308579.2249365486</v>
      </c>
      <c r="I53" s="809">
        <f t="shared" si="7"/>
        <v>-30228.608786154295</v>
      </c>
      <c r="J53" s="817">
        <f t="shared" si="8"/>
        <v>-7150.2564765546922</v>
      </c>
      <c r="K53" s="809">
        <f t="shared" si="2"/>
        <v>-37378.86526270899</v>
      </c>
      <c r="L53" s="791">
        <f t="shared" si="3"/>
        <v>6301428.9684599936</v>
      </c>
    </row>
    <row r="54" spans="3:12">
      <c r="C54" s="814">
        <f t="shared" si="9"/>
        <v>28</v>
      </c>
      <c r="D54" s="815">
        <f t="shared" si="4"/>
        <v>49064</v>
      </c>
      <c r="E54" s="800">
        <f t="shared" si="5"/>
        <v>3</v>
      </c>
      <c r="F54" s="800">
        <f t="shared" si="10"/>
        <v>2</v>
      </c>
      <c r="G54" s="816">
        <f>IF($E$12="NO",G53+1,
IF(OR(D54&lt;$F$8,D54&gt;$F$9),MAX($G$26:G53)+1,""))</f>
        <v>16</v>
      </c>
      <c r="H54" s="809">
        <f t="shared" si="6"/>
        <v>6301428.9684599936</v>
      </c>
      <c r="I54" s="809">
        <f t="shared" si="7"/>
        <v>-30194.347140537473</v>
      </c>
      <c r="J54" s="817">
        <f t="shared" si="8"/>
        <v>-7184.5181221715166</v>
      </c>
      <c r="K54" s="809">
        <f t="shared" si="2"/>
        <v>-37378.86526270899</v>
      </c>
      <c r="L54" s="791">
        <f t="shared" si="3"/>
        <v>6294244.4503378225</v>
      </c>
    </row>
    <row r="55" spans="3:12">
      <c r="C55" s="814">
        <f t="shared" si="9"/>
        <v>29</v>
      </c>
      <c r="D55" s="815">
        <f t="shared" si="4"/>
        <v>49095</v>
      </c>
      <c r="E55" s="800">
        <f t="shared" si="5"/>
        <v>3</v>
      </c>
      <c r="F55" s="800">
        <f t="shared" si="10"/>
        <v>2</v>
      </c>
      <c r="G55" s="816">
        <f>IF($E$12="NO",G54+1,
IF(OR(D55&lt;$F$8,D55&gt;$F$9),MAX($G$26:G54)+1,""))</f>
        <v>17</v>
      </c>
      <c r="H55" s="809">
        <f t="shared" si="6"/>
        <v>6294244.4503378225</v>
      </c>
      <c r="I55" s="809">
        <f t="shared" si="7"/>
        <v>-30159.9213245354</v>
      </c>
      <c r="J55" s="817">
        <f t="shared" si="8"/>
        <v>-7218.9439381735883</v>
      </c>
      <c r="K55" s="809">
        <f t="shared" si="2"/>
        <v>-37378.86526270899</v>
      </c>
      <c r="L55" s="791">
        <f t="shared" si="3"/>
        <v>6287025.5063996492</v>
      </c>
    </row>
    <row r="56" spans="3:12">
      <c r="C56" s="814">
        <f t="shared" si="9"/>
        <v>30</v>
      </c>
      <c r="D56" s="815">
        <f t="shared" si="4"/>
        <v>49125</v>
      </c>
      <c r="E56" s="800">
        <f t="shared" si="5"/>
        <v>3</v>
      </c>
      <c r="F56" s="800">
        <f t="shared" si="10"/>
        <v>2</v>
      </c>
      <c r="G56" s="816">
        <f>IF($E$12="NO",G55+1,
IF(OR(D56&lt;$F$8,D56&gt;$F$9),MAX($G$26:G55)+1,""))</f>
        <v>18</v>
      </c>
      <c r="H56" s="809">
        <f t="shared" si="6"/>
        <v>6287025.5063996492</v>
      </c>
      <c r="I56" s="809">
        <f t="shared" si="7"/>
        <v>-30125.330551498322</v>
      </c>
      <c r="J56" s="817">
        <f t="shared" si="8"/>
        <v>-7253.5347112106701</v>
      </c>
      <c r="K56" s="809">
        <f t="shared" si="2"/>
        <v>-37378.86526270899</v>
      </c>
      <c r="L56" s="791">
        <f t="shared" si="3"/>
        <v>6279771.9716884382</v>
      </c>
    </row>
    <row r="57" spans="3:12">
      <c r="C57" s="814">
        <f t="shared" si="9"/>
        <v>31</v>
      </c>
      <c r="D57" s="815">
        <f t="shared" si="4"/>
        <v>49156</v>
      </c>
      <c r="E57" s="800">
        <f t="shared" si="5"/>
        <v>3</v>
      </c>
      <c r="F57" s="800">
        <f t="shared" si="10"/>
        <v>3</v>
      </c>
      <c r="G57" s="816">
        <f>IF($E$12="NO",G56+1,
IF(OR(D57&lt;$F$8,D57&gt;$F$9),MAX($G$26:G56)+1,""))</f>
        <v>19</v>
      </c>
      <c r="H57" s="809">
        <f t="shared" si="6"/>
        <v>6279771.9716884382</v>
      </c>
      <c r="I57" s="809">
        <f t="shared" si="7"/>
        <v>-30090.574031007101</v>
      </c>
      <c r="J57" s="817">
        <f t="shared" si="8"/>
        <v>-7288.2912317018881</v>
      </c>
      <c r="K57" s="809">
        <f t="shared" si="2"/>
        <v>-37378.86526270899</v>
      </c>
      <c r="L57" s="791">
        <f t="shared" si="3"/>
        <v>6272483.6804567361</v>
      </c>
    </row>
    <row r="58" spans="3:12">
      <c r="C58" s="814">
        <f t="shared" si="9"/>
        <v>32</v>
      </c>
      <c r="D58" s="815">
        <f t="shared" si="4"/>
        <v>49187</v>
      </c>
      <c r="E58" s="800">
        <f t="shared" si="5"/>
        <v>3</v>
      </c>
      <c r="F58" s="800">
        <f t="shared" si="10"/>
        <v>3</v>
      </c>
      <c r="G58" s="816">
        <f>IF($E$12="NO",G57+1,
IF(OR(D58&lt;$F$8,D58&gt;$F$9),MAX($G$26:G57)+1,""))</f>
        <v>20</v>
      </c>
      <c r="H58" s="809">
        <f t="shared" si="6"/>
        <v>6272483.6804567361</v>
      </c>
      <c r="I58" s="809">
        <f t="shared" si="7"/>
        <v>-30055.650968855192</v>
      </c>
      <c r="J58" s="817">
        <f t="shared" si="8"/>
        <v>-7323.2142938537945</v>
      </c>
      <c r="K58" s="809">
        <f t="shared" si="2"/>
        <v>-37378.86526270899</v>
      </c>
      <c r="L58" s="791">
        <f t="shared" ref="L58:L86" si="11">IF(C58=0,$E$4,H58+J58)</f>
        <v>6265160.4661628827</v>
      </c>
    </row>
    <row r="59" spans="3:12">
      <c r="C59" s="814">
        <f t="shared" si="9"/>
        <v>33</v>
      </c>
      <c r="D59" s="815">
        <f t="shared" ref="D59:D86" si="12">EOMONTH($E$5,C59-1)</f>
        <v>49217</v>
      </c>
      <c r="E59" s="800">
        <f t="shared" si="5"/>
        <v>3</v>
      </c>
      <c r="F59" s="800">
        <f t="shared" si="10"/>
        <v>3</v>
      </c>
      <c r="G59" s="816">
        <f>IF($E$12="NO",G58+1,
IF(OR(D59&lt;$F$8,D59&gt;$F$9),MAX($G$26:G58)+1,""))</f>
        <v>21</v>
      </c>
      <c r="H59" s="809">
        <f t="shared" ref="H59:H86" si="13">IF(OR(E59&gt;$E$6,C59&gt;$E$14),0,L58)</f>
        <v>6265160.4661628827</v>
      </c>
      <c r="I59" s="809">
        <f t="shared" ref="I59:I86" si="14">IF(OR(E59&gt;$E$6*12,C59&gt;$E$14),0,-H59*$E$10/12)</f>
        <v>-30020.560567030479</v>
      </c>
      <c r="J59" s="817">
        <f t="shared" ref="J59:J86" si="15">IF(OR(E59&gt;$E$6,C59&gt;$E$14),0,
IF(AND($E$8&lt;&gt;OR(0,""),$E$9&lt;&gt;OR(0,""),C59&gt;=$E$8,C59&lt;=$E$9),0,PPMT($E$10/12,IF($E$12="YES",G59,C59),$E$7,$E$4)))</f>
        <v>-7358.3046956785092</v>
      </c>
      <c r="K59" s="809">
        <f t="shared" si="2"/>
        <v>-37378.86526270899</v>
      </c>
      <c r="L59" s="791">
        <f t="shared" si="11"/>
        <v>6257802.1614672039</v>
      </c>
    </row>
    <row r="60" spans="3:12">
      <c r="C60" s="814">
        <f t="shared" si="9"/>
        <v>34</v>
      </c>
      <c r="D60" s="815">
        <f t="shared" si="12"/>
        <v>49248</v>
      </c>
      <c r="E60" s="800">
        <f t="shared" si="5"/>
        <v>3</v>
      </c>
      <c r="F60" s="800">
        <f t="shared" si="10"/>
        <v>4</v>
      </c>
      <c r="G60" s="816">
        <f>IF($E$12="NO",G59+1,
IF(OR(D60&lt;$F$8,D60&gt;$F$9),MAX($G$26:G59)+1,""))</f>
        <v>22</v>
      </c>
      <c r="H60" s="809">
        <f t="shared" si="13"/>
        <v>6257802.1614672039</v>
      </c>
      <c r="I60" s="809">
        <f t="shared" si="14"/>
        <v>-29985.302023697019</v>
      </c>
      <c r="J60" s="817">
        <f t="shared" si="15"/>
        <v>-7393.5632390119681</v>
      </c>
      <c r="K60" s="809">
        <f t="shared" si="2"/>
        <v>-37378.86526270899</v>
      </c>
      <c r="L60" s="791">
        <f t="shared" si="11"/>
        <v>6250408.598228192</v>
      </c>
    </row>
    <row r="61" spans="3:12">
      <c r="C61" s="814">
        <f t="shared" si="9"/>
        <v>35</v>
      </c>
      <c r="D61" s="815">
        <f t="shared" si="12"/>
        <v>49278</v>
      </c>
      <c r="E61" s="800">
        <f t="shared" si="5"/>
        <v>3</v>
      </c>
      <c r="F61" s="800">
        <f t="shared" si="10"/>
        <v>4</v>
      </c>
      <c r="G61" s="816">
        <f>IF($E$12="NO",G60+1,
IF(OR(D61&lt;$F$8,D61&gt;$F$9),MAX($G$26:G60)+1,""))</f>
        <v>23</v>
      </c>
      <c r="H61" s="809">
        <f t="shared" si="13"/>
        <v>6250408.598228192</v>
      </c>
      <c r="I61" s="809">
        <f t="shared" si="14"/>
        <v>-29949.874533176757</v>
      </c>
      <c r="J61" s="817">
        <f t="shared" si="15"/>
        <v>-7428.9907295322346</v>
      </c>
      <c r="K61" s="809">
        <f t="shared" si="2"/>
        <v>-37378.86526270899</v>
      </c>
      <c r="L61" s="791">
        <f t="shared" si="11"/>
        <v>6242979.6074986598</v>
      </c>
    </row>
    <row r="62" spans="3:12">
      <c r="C62" s="814">
        <f t="shared" si="9"/>
        <v>36</v>
      </c>
      <c r="D62" s="815">
        <f t="shared" si="12"/>
        <v>49309</v>
      </c>
      <c r="E62" s="800">
        <f t="shared" si="5"/>
        <v>3</v>
      </c>
      <c r="F62" s="800">
        <f t="shared" si="10"/>
        <v>4</v>
      </c>
      <c r="G62" s="816">
        <f>IF($E$12="NO",G61+1,
IF(OR(D62&lt;$F$8,D62&gt;$F$9),MAX($G$26:G61)+1,""))</f>
        <v>24</v>
      </c>
      <c r="H62" s="809">
        <f t="shared" si="13"/>
        <v>6242979.6074986598</v>
      </c>
      <c r="I62" s="809">
        <f t="shared" si="14"/>
        <v>-29914.277285931079</v>
      </c>
      <c r="J62" s="817">
        <f t="shared" si="15"/>
        <v>-7464.5879767779088</v>
      </c>
      <c r="K62" s="809">
        <f t="shared" si="2"/>
        <v>-37378.86526270899</v>
      </c>
      <c r="L62" s="791">
        <f t="shared" si="11"/>
        <v>6235515.0195218818</v>
      </c>
    </row>
    <row r="63" spans="3:12">
      <c r="C63" s="814">
        <f t="shared" si="9"/>
        <v>37</v>
      </c>
      <c r="D63" s="815">
        <f t="shared" si="12"/>
        <v>49340</v>
      </c>
      <c r="E63" s="800">
        <f t="shared" si="5"/>
        <v>4</v>
      </c>
      <c r="F63" s="800">
        <f t="shared" si="10"/>
        <v>1</v>
      </c>
      <c r="G63" s="816">
        <f>IF($E$12="NO",G62+1,
IF(OR(D63&lt;$F$8,D63&gt;$F$9),MAX($G$26:G62)+1,""))</f>
        <v>25</v>
      </c>
      <c r="H63" s="809">
        <f t="shared" si="13"/>
        <v>6235515.0195218818</v>
      </c>
      <c r="I63" s="809">
        <f t="shared" si="14"/>
        <v>-29878.509468542354</v>
      </c>
      <c r="J63" s="817">
        <f t="shared" si="15"/>
        <v>-7500.3557941666377</v>
      </c>
      <c r="K63" s="809">
        <f t="shared" si="2"/>
        <v>-37378.86526270899</v>
      </c>
      <c r="L63" s="791">
        <f t="shared" si="11"/>
        <v>6228014.6637277156</v>
      </c>
    </row>
    <row r="64" spans="3:12">
      <c r="C64" s="814">
        <f t="shared" si="9"/>
        <v>38</v>
      </c>
      <c r="D64" s="815">
        <f t="shared" si="12"/>
        <v>49368</v>
      </c>
      <c r="E64" s="800">
        <f t="shared" si="5"/>
        <v>4</v>
      </c>
      <c r="F64" s="800">
        <f t="shared" si="10"/>
        <v>1</v>
      </c>
      <c r="G64" s="816">
        <f>IF($E$12="NO",G63+1,
IF(OR(D64&lt;$F$8,D64&gt;$F$9),MAX($G$26:G63)+1,""))</f>
        <v>26</v>
      </c>
      <c r="H64" s="809">
        <f t="shared" si="13"/>
        <v>6228014.6637277156</v>
      </c>
      <c r="I64" s="809">
        <f t="shared" si="14"/>
        <v>-29842.570263695306</v>
      </c>
      <c r="J64" s="817">
        <f t="shared" si="15"/>
        <v>-7536.2949990136867</v>
      </c>
      <c r="K64" s="809">
        <f t="shared" si="2"/>
        <v>-37378.86526270899</v>
      </c>
      <c r="L64" s="791">
        <f t="shared" si="11"/>
        <v>6220478.368728702</v>
      </c>
    </row>
    <row r="65" spans="3:12">
      <c r="C65" s="814">
        <f t="shared" si="9"/>
        <v>39</v>
      </c>
      <c r="D65" s="815">
        <f t="shared" si="12"/>
        <v>49399</v>
      </c>
      <c r="E65" s="800">
        <f t="shared" si="5"/>
        <v>4</v>
      </c>
      <c r="F65" s="800">
        <f t="shared" si="10"/>
        <v>1</v>
      </c>
      <c r="G65" s="816">
        <f>IF($E$12="NO",G64+1,
IF(OR(D65&lt;$F$8,D65&gt;$F$9),MAX($G$26:G64)+1,""))</f>
        <v>27</v>
      </c>
      <c r="H65" s="809">
        <f t="shared" si="13"/>
        <v>6220478.368728702</v>
      </c>
      <c r="I65" s="809">
        <f t="shared" si="14"/>
        <v>-29806.458850158364</v>
      </c>
      <c r="J65" s="817">
        <f t="shared" si="15"/>
        <v>-7572.4064125506256</v>
      </c>
      <c r="K65" s="809">
        <f t="shared" si="2"/>
        <v>-37378.86526270899</v>
      </c>
      <c r="L65" s="791">
        <f t="shared" si="11"/>
        <v>6212905.9623161517</v>
      </c>
    </row>
    <row r="66" spans="3:12">
      <c r="C66" s="814">
        <f t="shared" si="9"/>
        <v>40</v>
      </c>
      <c r="D66" s="815">
        <f t="shared" si="12"/>
        <v>49429</v>
      </c>
      <c r="E66" s="800">
        <f t="shared" si="5"/>
        <v>4</v>
      </c>
      <c r="F66" s="800">
        <f t="shared" si="10"/>
        <v>2</v>
      </c>
      <c r="G66" s="816">
        <f>IF($E$12="NO",G65+1,
IF(OR(D66&lt;$F$8,D66&gt;$F$9),MAX($G$26:G65)+1,""))</f>
        <v>28</v>
      </c>
      <c r="H66" s="809">
        <f t="shared" si="13"/>
        <v>6212905.9623161517</v>
      </c>
      <c r="I66" s="809">
        <f t="shared" si="14"/>
        <v>-29770.174402764897</v>
      </c>
      <c r="J66" s="817">
        <f t="shared" si="15"/>
        <v>-7608.6908599440976</v>
      </c>
      <c r="K66" s="809">
        <f t="shared" si="2"/>
        <v>-37378.86526270899</v>
      </c>
      <c r="L66" s="791">
        <f t="shared" si="11"/>
        <v>6205297.2714562071</v>
      </c>
    </row>
    <row r="67" spans="3:12">
      <c r="C67" s="814">
        <f t="shared" si="9"/>
        <v>41</v>
      </c>
      <c r="D67" s="815">
        <f t="shared" si="12"/>
        <v>49460</v>
      </c>
      <c r="E67" s="800">
        <f t="shared" si="5"/>
        <v>4</v>
      </c>
      <c r="F67" s="800">
        <f t="shared" si="10"/>
        <v>2</v>
      </c>
      <c r="G67" s="816">
        <f>IF($E$12="NO",G66+1,
IF(OR(D67&lt;$F$8,D67&gt;$F$9),MAX($G$26:G66)+1,""))</f>
        <v>29</v>
      </c>
      <c r="H67" s="809">
        <f t="shared" si="13"/>
        <v>6205297.2714562071</v>
      </c>
      <c r="I67" s="809">
        <f t="shared" si="14"/>
        <v>-29733.716092394327</v>
      </c>
      <c r="J67" s="817">
        <f t="shared" si="15"/>
        <v>-7645.1491703146648</v>
      </c>
      <c r="K67" s="809">
        <f t="shared" si="2"/>
        <v>-37378.86526270899</v>
      </c>
      <c r="L67" s="791">
        <f t="shared" si="11"/>
        <v>6197652.1222858923</v>
      </c>
    </row>
    <row r="68" spans="3:12">
      <c r="C68" s="814">
        <f t="shared" si="9"/>
        <v>42</v>
      </c>
      <c r="D68" s="815">
        <f t="shared" si="12"/>
        <v>49490</v>
      </c>
      <c r="E68" s="800">
        <f t="shared" si="5"/>
        <v>4</v>
      </c>
      <c r="F68" s="800">
        <f t="shared" si="10"/>
        <v>2</v>
      </c>
      <c r="G68" s="816">
        <f>IF($E$12="NO",G67+1,
IF(OR(D68&lt;$F$8,D68&gt;$F$9),MAX($G$26:G67)+1,""))</f>
        <v>30</v>
      </c>
      <c r="H68" s="809">
        <f t="shared" si="13"/>
        <v>6197652.1222858923</v>
      </c>
      <c r="I68" s="809">
        <f t="shared" si="14"/>
        <v>-29697.083085953233</v>
      </c>
      <c r="J68" s="817">
        <f t="shared" si="15"/>
        <v>-7681.7821767557543</v>
      </c>
      <c r="K68" s="809">
        <f t="shared" si="2"/>
        <v>-37378.86526270899</v>
      </c>
      <c r="L68" s="791">
        <f t="shared" si="11"/>
        <v>6189970.3401091369</v>
      </c>
    </row>
    <row r="69" spans="3:12">
      <c r="C69" s="814">
        <f t="shared" si="9"/>
        <v>43</v>
      </c>
      <c r="D69" s="815">
        <f t="shared" si="12"/>
        <v>49521</v>
      </c>
      <c r="E69" s="800">
        <f t="shared" si="5"/>
        <v>4</v>
      </c>
      <c r="F69" s="800">
        <f t="shared" si="10"/>
        <v>3</v>
      </c>
      <c r="G69" s="816">
        <f>IF($E$12="NO",G68+1,
IF(OR(D69&lt;$F$8,D69&gt;$F$9),MAX($G$26:G68)+1,""))</f>
        <v>31</v>
      </c>
      <c r="H69" s="809">
        <f t="shared" si="13"/>
        <v>6189970.3401091369</v>
      </c>
      <c r="I69" s="809">
        <f t="shared" si="14"/>
        <v>-29660.274546356279</v>
      </c>
      <c r="J69" s="817">
        <f t="shared" si="15"/>
        <v>-7718.5907163527099</v>
      </c>
      <c r="K69" s="809">
        <f t="shared" si="2"/>
        <v>-37378.86526270899</v>
      </c>
      <c r="L69" s="791">
        <f t="shared" si="11"/>
        <v>6182251.7493927842</v>
      </c>
    </row>
    <row r="70" spans="3:12">
      <c r="C70" s="814">
        <f t="shared" si="9"/>
        <v>44</v>
      </c>
      <c r="D70" s="815">
        <f t="shared" si="12"/>
        <v>49552</v>
      </c>
      <c r="E70" s="800">
        <f t="shared" si="5"/>
        <v>4</v>
      </c>
      <c r="F70" s="800">
        <f t="shared" si="10"/>
        <v>3</v>
      </c>
      <c r="G70" s="816">
        <f>IF($E$12="NO",G69+1,
IF(OR(D70&lt;$F$8,D70&gt;$F$9),MAX($G$26:G69)+1,""))</f>
        <v>32</v>
      </c>
      <c r="H70" s="809">
        <f t="shared" si="13"/>
        <v>6182251.7493927842</v>
      </c>
      <c r="I70" s="809">
        <f t="shared" si="14"/>
        <v>-29623.289632507091</v>
      </c>
      <c r="J70" s="817">
        <f t="shared" si="15"/>
        <v>-7755.5756302019008</v>
      </c>
      <c r="K70" s="809">
        <f t="shared" si="2"/>
        <v>-37378.86526270899</v>
      </c>
      <c r="L70" s="791">
        <f t="shared" si="11"/>
        <v>6174496.1737625822</v>
      </c>
    </row>
    <row r="71" spans="3:12">
      <c r="C71" s="814">
        <f t="shared" si="9"/>
        <v>45</v>
      </c>
      <c r="D71" s="815">
        <f t="shared" si="12"/>
        <v>49582</v>
      </c>
      <c r="E71" s="800">
        <f t="shared" si="5"/>
        <v>4</v>
      </c>
      <c r="F71" s="800">
        <f t="shared" si="10"/>
        <v>3</v>
      </c>
      <c r="G71" s="816">
        <f>IF($E$12="NO",G70+1,
IF(OR(D71&lt;$F$8,D71&gt;$F$9),MAX($G$26:G70)+1,""))</f>
        <v>33</v>
      </c>
      <c r="H71" s="809">
        <f t="shared" si="13"/>
        <v>6174496.1737625822</v>
      </c>
      <c r="I71" s="809">
        <f t="shared" si="14"/>
        <v>-29586.127499279042</v>
      </c>
      <c r="J71" s="817">
        <f t="shared" si="15"/>
        <v>-7792.7377634299492</v>
      </c>
      <c r="K71" s="809">
        <f t="shared" si="2"/>
        <v>-37378.86526270899</v>
      </c>
      <c r="L71" s="791">
        <f t="shared" si="11"/>
        <v>6166703.4359991523</v>
      </c>
    </row>
    <row r="72" spans="3:12">
      <c r="C72" s="814">
        <f t="shared" si="9"/>
        <v>46</v>
      </c>
      <c r="D72" s="815">
        <f t="shared" si="12"/>
        <v>49613</v>
      </c>
      <c r="E72" s="800">
        <f t="shared" si="5"/>
        <v>4</v>
      </c>
      <c r="F72" s="800">
        <f t="shared" si="10"/>
        <v>4</v>
      </c>
      <c r="G72" s="816">
        <f>IF($E$12="NO",G71+1,
IF(OR(D72&lt;$F$8,D72&gt;$F$9),MAX($G$26:G71)+1,""))</f>
        <v>34</v>
      </c>
      <c r="H72" s="809">
        <f t="shared" si="13"/>
        <v>6166703.4359991523</v>
      </c>
      <c r="I72" s="809">
        <f t="shared" si="14"/>
        <v>-29548.787297495943</v>
      </c>
      <c r="J72" s="817">
        <f t="shared" si="15"/>
        <v>-7830.0779652130514</v>
      </c>
      <c r="K72" s="809">
        <f t="shared" si="2"/>
        <v>-37378.86526270899</v>
      </c>
      <c r="L72" s="791">
        <f t="shared" si="11"/>
        <v>6158873.3580339393</v>
      </c>
    </row>
    <row r="73" spans="3:12">
      <c r="C73" s="814">
        <f t="shared" si="9"/>
        <v>47</v>
      </c>
      <c r="D73" s="815">
        <f t="shared" si="12"/>
        <v>49643</v>
      </c>
      <c r="E73" s="800">
        <f t="shared" si="5"/>
        <v>4</v>
      </c>
      <c r="F73" s="800">
        <f t="shared" si="10"/>
        <v>4</v>
      </c>
      <c r="G73" s="816">
        <f>IF($E$12="NO",G72+1,
IF(OR(D73&lt;$F$8,D73&gt;$F$9),MAX($G$26:G72)+1,""))</f>
        <v>35</v>
      </c>
      <c r="H73" s="809">
        <f t="shared" si="13"/>
        <v>6158873.3580339393</v>
      </c>
      <c r="I73" s="809">
        <f t="shared" si="14"/>
        <v>-29511.268173912627</v>
      </c>
      <c r="J73" s="817">
        <f t="shared" si="15"/>
        <v>-7867.5970887963649</v>
      </c>
      <c r="K73" s="809">
        <f t="shared" si="2"/>
        <v>-37378.86526270899</v>
      </c>
      <c r="L73" s="791">
        <f t="shared" si="11"/>
        <v>6151005.7609451432</v>
      </c>
    </row>
    <row r="74" spans="3:12">
      <c r="C74" s="814">
        <f t="shared" si="9"/>
        <v>48</v>
      </c>
      <c r="D74" s="815">
        <f t="shared" si="12"/>
        <v>49674</v>
      </c>
      <c r="E74" s="800">
        <f t="shared" si="5"/>
        <v>4</v>
      </c>
      <c r="F74" s="800">
        <f t="shared" si="10"/>
        <v>4</v>
      </c>
      <c r="G74" s="816">
        <f>IF($E$12="NO",G73+1,
IF(OR(D74&lt;$F$8,D74&gt;$F$9),MAX($G$26:G73)+1,""))</f>
        <v>36</v>
      </c>
      <c r="H74" s="809">
        <f t="shared" si="13"/>
        <v>6151005.7609451432</v>
      </c>
      <c r="I74" s="809">
        <f t="shared" si="14"/>
        <v>-29473.56927119548</v>
      </c>
      <c r="J74" s="817">
        <f t="shared" si="15"/>
        <v>-7905.2959915135125</v>
      </c>
      <c r="K74" s="809">
        <f t="shared" si="2"/>
        <v>-37378.86526270899</v>
      </c>
      <c r="L74" s="791">
        <f t="shared" si="11"/>
        <v>6143100.4649536293</v>
      </c>
    </row>
    <row r="75" spans="3:12">
      <c r="C75" s="814">
        <f t="shared" si="9"/>
        <v>49</v>
      </c>
      <c r="D75" s="815">
        <f t="shared" si="12"/>
        <v>49705</v>
      </c>
      <c r="E75" s="800">
        <f t="shared" si="5"/>
        <v>5</v>
      </c>
      <c r="F75" s="800">
        <f t="shared" si="10"/>
        <v>1</v>
      </c>
      <c r="G75" s="816">
        <f>IF($E$12="NO",G74+1,
IF(OR(D75&lt;$F$8,D75&gt;$F$9),MAX($G$26:G74)+1,""))</f>
        <v>37</v>
      </c>
      <c r="H75" s="809">
        <f t="shared" si="13"/>
        <v>6143100.4649536293</v>
      </c>
      <c r="I75" s="809">
        <f t="shared" si="14"/>
        <v>-29435.689727902809</v>
      </c>
      <c r="J75" s="817">
        <f t="shared" si="15"/>
        <v>-7943.1755348061834</v>
      </c>
      <c r="K75" s="809">
        <f t="shared" si="2"/>
        <v>-37378.86526270899</v>
      </c>
      <c r="L75" s="791">
        <f t="shared" si="11"/>
        <v>6135157.2894188231</v>
      </c>
    </row>
    <row r="76" spans="3:12">
      <c r="C76" s="814">
        <f t="shared" si="9"/>
        <v>50</v>
      </c>
      <c r="D76" s="815">
        <f t="shared" si="12"/>
        <v>49734</v>
      </c>
      <c r="E76" s="800">
        <f t="shared" si="5"/>
        <v>5</v>
      </c>
      <c r="F76" s="800">
        <f t="shared" si="10"/>
        <v>1</v>
      </c>
      <c r="G76" s="816">
        <f>IF($E$12="NO",G75+1,
IF(OR(D76&lt;$F$8,D76&gt;$F$9),MAX($G$26:G75)+1,""))</f>
        <v>38</v>
      </c>
      <c r="H76" s="809">
        <f t="shared" si="13"/>
        <v>6135157.2894188231</v>
      </c>
      <c r="I76" s="809">
        <f t="shared" si="14"/>
        <v>-29397.628678465193</v>
      </c>
      <c r="J76" s="817">
        <f t="shared" si="15"/>
        <v>-7981.2365842437966</v>
      </c>
      <c r="K76" s="809">
        <f t="shared" si="2"/>
        <v>-37378.86526270899</v>
      </c>
      <c r="L76" s="791">
        <f t="shared" si="11"/>
        <v>6127176.0528345797</v>
      </c>
    </row>
    <row r="77" spans="3:12">
      <c r="C77" s="814">
        <f t="shared" si="9"/>
        <v>51</v>
      </c>
      <c r="D77" s="815">
        <f t="shared" si="12"/>
        <v>49765</v>
      </c>
      <c r="E77" s="800">
        <f t="shared" si="5"/>
        <v>5</v>
      </c>
      <c r="F77" s="800">
        <f t="shared" si="10"/>
        <v>1</v>
      </c>
      <c r="G77" s="816">
        <f>IF($E$12="NO",G76+1,
IF(OR(D77&lt;$F$8,D77&gt;$F$9),MAX($G$26:G76)+1,""))</f>
        <v>39</v>
      </c>
      <c r="H77" s="809">
        <f t="shared" si="13"/>
        <v>6127176.0528345797</v>
      </c>
      <c r="I77" s="809">
        <f t="shared" si="14"/>
        <v>-29359.385253165699</v>
      </c>
      <c r="J77" s="817">
        <f t="shared" si="15"/>
        <v>-8019.4800095432956</v>
      </c>
      <c r="K77" s="809">
        <f t="shared" si="2"/>
        <v>-37378.865262708998</v>
      </c>
      <c r="L77" s="791">
        <f t="shared" si="11"/>
        <v>6119156.572825036</v>
      </c>
    </row>
    <row r="78" spans="3:12">
      <c r="C78" s="814">
        <f t="shared" si="9"/>
        <v>52</v>
      </c>
      <c r="D78" s="815">
        <f t="shared" si="12"/>
        <v>49795</v>
      </c>
      <c r="E78" s="800">
        <f t="shared" si="5"/>
        <v>5</v>
      </c>
      <c r="F78" s="800">
        <f t="shared" si="10"/>
        <v>2</v>
      </c>
      <c r="G78" s="816">
        <f>IF($E$12="NO",G77+1,
IF(OR(D78&lt;$F$8,D78&gt;$F$9),MAX($G$26:G77)+1,""))</f>
        <v>40</v>
      </c>
      <c r="H78" s="809">
        <f t="shared" si="13"/>
        <v>6119156.572825036</v>
      </c>
      <c r="I78" s="809">
        <f t="shared" si="14"/>
        <v>-29320.958578119968</v>
      </c>
      <c r="J78" s="817">
        <f t="shared" si="15"/>
        <v>-8057.9066845890247</v>
      </c>
      <c r="K78" s="809">
        <f t="shared" si="2"/>
        <v>-37378.86526270899</v>
      </c>
      <c r="L78" s="791">
        <f t="shared" si="11"/>
        <v>6111098.6661404474</v>
      </c>
    </row>
    <row r="79" spans="3:12">
      <c r="C79" s="814">
        <f t="shared" si="9"/>
        <v>53</v>
      </c>
      <c r="D79" s="815">
        <f t="shared" si="12"/>
        <v>49826</v>
      </c>
      <c r="E79" s="800">
        <f t="shared" si="5"/>
        <v>5</v>
      </c>
      <c r="F79" s="800">
        <f t="shared" si="10"/>
        <v>2</v>
      </c>
      <c r="G79" s="816">
        <f>IF($E$12="NO",G78+1,
IF(OR(D79&lt;$F$8,D79&gt;$F$9),MAX($G$26:G78)+1,""))</f>
        <v>41</v>
      </c>
      <c r="H79" s="809">
        <f t="shared" si="13"/>
        <v>6111098.6661404474</v>
      </c>
      <c r="I79" s="809">
        <f t="shared" si="14"/>
        <v>-29282.347775256309</v>
      </c>
      <c r="J79" s="817">
        <f t="shared" si="15"/>
        <v>-8096.5174874526811</v>
      </c>
      <c r="K79" s="809">
        <f t="shared" si="2"/>
        <v>-37378.86526270899</v>
      </c>
      <c r="L79" s="791">
        <f t="shared" si="11"/>
        <v>6103002.148652995</v>
      </c>
    </row>
    <row r="80" spans="3:12">
      <c r="C80" s="814">
        <f t="shared" si="9"/>
        <v>54</v>
      </c>
      <c r="D80" s="815">
        <f t="shared" si="12"/>
        <v>49856</v>
      </c>
      <c r="E80" s="800">
        <f t="shared" si="5"/>
        <v>5</v>
      </c>
      <c r="F80" s="800">
        <f t="shared" si="10"/>
        <v>2</v>
      </c>
      <c r="G80" s="816">
        <f>IF($E$12="NO",G79+1,
IF(OR(D80&lt;$F$8,D80&gt;$F$9),MAX($G$26:G79)+1,""))</f>
        <v>42</v>
      </c>
      <c r="H80" s="809">
        <f t="shared" si="13"/>
        <v>6103002.148652995</v>
      </c>
      <c r="I80" s="809">
        <f t="shared" si="14"/>
        <v>-29243.551962295602</v>
      </c>
      <c r="J80" s="817">
        <f t="shared" si="15"/>
        <v>-8135.3133004133906</v>
      </c>
      <c r="K80" s="809">
        <f t="shared" si="2"/>
        <v>-37378.86526270899</v>
      </c>
      <c r="L80" s="791">
        <f t="shared" si="11"/>
        <v>6094866.8353525819</v>
      </c>
    </row>
    <row r="81" spans="3:12">
      <c r="C81" s="814">
        <f t="shared" si="9"/>
        <v>55</v>
      </c>
      <c r="D81" s="815">
        <f t="shared" si="12"/>
        <v>49887</v>
      </c>
      <c r="E81" s="800">
        <f t="shared" si="5"/>
        <v>5</v>
      </c>
      <c r="F81" s="800">
        <f t="shared" si="10"/>
        <v>3</v>
      </c>
      <c r="G81" s="816">
        <f>IF($E$12="NO",G80+1,
IF(OR(D81&lt;$F$8,D81&gt;$F$9),MAX($G$26:G80)+1,""))</f>
        <v>43</v>
      </c>
      <c r="H81" s="809">
        <f t="shared" si="13"/>
        <v>6094866.8353525819</v>
      </c>
      <c r="I81" s="809">
        <f t="shared" si="14"/>
        <v>-29204.570252731122</v>
      </c>
      <c r="J81" s="817">
        <f t="shared" si="15"/>
        <v>-8174.2950099778736</v>
      </c>
      <c r="K81" s="809">
        <f t="shared" si="2"/>
        <v>-37378.865262708998</v>
      </c>
      <c r="L81" s="791">
        <f t="shared" si="11"/>
        <v>6086692.5403426038</v>
      </c>
    </row>
    <row r="82" spans="3:12">
      <c r="C82" s="814">
        <f t="shared" si="9"/>
        <v>56</v>
      </c>
      <c r="D82" s="815">
        <f t="shared" si="12"/>
        <v>49918</v>
      </c>
      <c r="E82" s="800">
        <f t="shared" si="5"/>
        <v>5</v>
      </c>
      <c r="F82" s="800">
        <f t="shared" si="10"/>
        <v>3</v>
      </c>
      <c r="G82" s="816">
        <f>IF($E$12="NO",G81+1,
IF(OR(D82&lt;$F$8,D82&gt;$F$9),MAX($G$26:G81)+1,""))</f>
        <v>44</v>
      </c>
      <c r="H82" s="809">
        <f t="shared" si="13"/>
        <v>6086692.5403426038</v>
      </c>
      <c r="I82" s="809">
        <f t="shared" si="14"/>
        <v>-29165.401755808311</v>
      </c>
      <c r="J82" s="817">
        <f t="shared" si="15"/>
        <v>-8213.4635069006836</v>
      </c>
      <c r="K82" s="809">
        <f t="shared" si="2"/>
        <v>-37378.86526270899</v>
      </c>
      <c r="L82" s="791">
        <f t="shared" si="11"/>
        <v>6078479.0768357031</v>
      </c>
    </row>
    <row r="83" spans="3:12">
      <c r="C83" s="814">
        <f t="shared" si="9"/>
        <v>57</v>
      </c>
      <c r="D83" s="815">
        <f t="shared" si="12"/>
        <v>49948</v>
      </c>
      <c r="E83" s="800">
        <f t="shared" si="5"/>
        <v>5</v>
      </c>
      <c r="F83" s="800">
        <f t="shared" si="10"/>
        <v>3</v>
      </c>
      <c r="G83" s="816">
        <f>IF($E$12="NO",G82+1,
IF(OR(D83&lt;$F$8,D83&gt;$F$9),MAX($G$26:G82)+1,""))</f>
        <v>45</v>
      </c>
      <c r="H83" s="809">
        <f t="shared" si="13"/>
        <v>6078479.0768357031</v>
      </c>
      <c r="I83" s="809">
        <f t="shared" si="14"/>
        <v>-29126.045576504413</v>
      </c>
      <c r="J83" s="817">
        <f t="shared" si="15"/>
        <v>-8252.8196862045825</v>
      </c>
      <c r="K83" s="809">
        <f t="shared" si="2"/>
        <v>-37378.865262708998</v>
      </c>
      <c r="L83" s="791">
        <f t="shared" si="11"/>
        <v>6070226.2571494989</v>
      </c>
    </row>
    <row r="84" spans="3:12">
      <c r="C84" s="814">
        <f t="shared" si="9"/>
        <v>58</v>
      </c>
      <c r="D84" s="815">
        <f t="shared" si="12"/>
        <v>49979</v>
      </c>
      <c r="E84" s="800">
        <f t="shared" si="5"/>
        <v>5</v>
      </c>
      <c r="F84" s="800">
        <f t="shared" si="10"/>
        <v>4</v>
      </c>
      <c r="G84" s="816">
        <f>IF($E$12="NO",G83+1,
IF(OR(D84&lt;$F$8,D84&gt;$F$9),MAX($G$26:G83)+1,""))</f>
        <v>46</v>
      </c>
      <c r="H84" s="809">
        <f t="shared" si="13"/>
        <v>6070226.2571494989</v>
      </c>
      <c r="I84" s="809">
        <f t="shared" si="14"/>
        <v>-29086.500815508018</v>
      </c>
      <c r="J84" s="817">
        <f t="shared" si="15"/>
        <v>-8292.3644472009801</v>
      </c>
      <c r="K84" s="809">
        <f t="shared" si="2"/>
        <v>-37378.865262708998</v>
      </c>
      <c r="L84" s="791">
        <f t="shared" si="11"/>
        <v>6061933.8927022982</v>
      </c>
    </row>
    <row r="85" spans="3:12">
      <c r="C85" s="814">
        <f t="shared" si="9"/>
        <v>59</v>
      </c>
      <c r="D85" s="815">
        <f t="shared" si="12"/>
        <v>50009</v>
      </c>
      <c r="E85" s="800">
        <f t="shared" si="5"/>
        <v>5</v>
      </c>
      <c r="F85" s="800">
        <f t="shared" si="10"/>
        <v>4</v>
      </c>
      <c r="G85" s="816">
        <f>IF($E$12="NO",G84+1,
IF(OR(D85&lt;$F$8,D85&gt;$F$9),MAX($G$26:G84)+1,""))</f>
        <v>47</v>
      </c>
      <c r="H85" s="809">
        <f t="shared" si="13"/>
        <v>6061933.8927022982</v>
      </c>
      <c r="I85" s="809">
        <f t="shared" si="14"/>
        <v>-29046.766569198513</v>
      </c>
      <c r="J85" s="817">
        <f t="shared" si="15"/>
        <v>-8332.0986935104847</v>
      </c>
      <c r="K85" s="809">
        <f t="shared" si="2"/>
        <v>-37378.865262708998</v>
      </c>
      <c r="L85" s="791">
        <f t="shared" si="11"/>
        <v>6053601.7940087877</v>
      </c>
    </row>
    <row r="86" spans="3:12">
      <c r="C86" s="818">
        <f t="shared" si="9"/>
        <v>60</v>
      </c>
      <c r="D86" s="819">
        <f t="shared" si="12"/>
        <v>50040</v>
      </c>
      <c r="E86" s="820">
        <f t="shared" si="5"/>
        <v>5</v>
      </c>
      <c r="F86" s="821">
        <f t="shared" si="10"/>
        <v>4</v>
      </c>
      <c r="G86" s="821">
        <f>IF($E$12="NO",G85+1,
IF(OR(D86&lt;$F$8,D86&gt;$F$9),MAX($G$26:G85)+1,""))</f>
        <v>48</v>
      </c>
      <c r="H86" s="810">
        <f t="shared" si="13"/>
        <v>6053601.7940087877</v>
      </c>
      <c r="I86" s="810">
        <f t="shared" si="14"/>
        <v>-29006.841929625443</v>
      </c>
      <c r="J86" s="822">
        <f t="shared" si="15"/>
        <v>-8372.0233330835545</v>
      </c>
      <c r="K86" s="810">
        <f t="shared" si="2"/>
        <v>-37378.865262708998</v>
      </c>
      <c r="L86" s="808">
        <f t="shared" si="11"/>
        <v>6045229.7706757039</v>
      </c>
    </row>
  </sheetData>
  <conditionalFormatting sqref="F10">
    <cfRule type="expression" dxfId="85" priority="2">
      <formula>#REF!=#REF!</formula>
    </cfRule>
  </conditionalFormatting>
  <conditionalFormatting sqref="E10:E11">
    <cfRule type="expression" dxfId="84" priority="1">
      <formula>#REF!=#REF!</formula>
    </cfRule>
  </conditionalFormatting>
  <dataValidations disablePrompts="1" count="1">
    <dataValidation type="list" allowBlank="1" showInputMessage="1" showErrorMessage="1" sqref="E12:F12" xr:uid="{BC4D9D1A-C205-430F-B49F-7C8E693B8352}">
      <formula1>"YES, NO"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D6F70-E31E-4986-A0AB-94395CF179CE}">
  <sheetPr>
    <tabColor rgb="FF92D050"/>
    <pageSetUpPr fitToPage="1"/>
  </sheetPr>
  <dimension ref="A1:AC184"/>
  <sheetViews>
    <sheetView showGridLines="0" topLeftCell="B1" zoomScale="70" zoomScaleNormal="70" zoomScaleSheetLayoutView="90" workbookViewId="0">
      <selection activeCell="D8" sqref="D8"/>
    </sheetView>
  </sheetViews>
  <sheetFormatPr defaultColWidth="8.85546875" defaultRowHeight="23.25" customHeight="1"/>
  <cols>
    <col min="1" max="1" width="46.140625" style="5" bestFit="1" customWidth="1"/>
    <col min="2" max="2" width="28.85546875" style="5" bestFit="1" customWidth="1"/>
    <col min="3" max="3" width="35.5703125" style="5" customWidth="1"/>
    <col min="4" max="4" width="19.42578125" style="5" bestFit="1" customWidth="1"/>
    <col min="5" max="5" width="15.5703125" style="5" bestFit="1" customWidth="1"/>
    <col min="6" max="6" width="12.42578125" style="5" bestFit="1" customWidth="1"/>
    <col min="7" max="7" width="32.85546875" style="5" bestFit="1" customWidth="1"/>
    <col min="8" max="8" width="28.85546875" style="5" bestFit="1" customWidth="1"/>
    <col min="9" max="9" width="35.5703125" style="5" customWidth="1"/>
    <col min="10" max="11" width="26.85546875" style="5" customWidth="1"/>
    <col min="12" max="12" width="1.5703125" style="5" customWidth="1"/>
    <col min="13" max="13" width="32.85546875" style="5" bestFit="1" customWidth="1"/>
    <col min="14" max="14" width="28.85546875" style="5" bestFit="1" customWidth="1"/>
    <col min="15" max="15" width="35.5703125" style="5" customWidth="1"/>
    <col min="16" max="17" width="26.85546875" style="5" customWidth="1"/>
    <col min="18" max="18" width="1.5703125" style="5" customWidth="1"/>
    <col min="19" max="19" width="32.85546875" style="5" bestFit="1" customWidth="1"/>
    <col min="20" max="20" width="28.85546875" style="5" bestFit="1" customWidth="1"/>
    <col min="21" max="21" width="35.5703125" style="5" customWidth="1"/>
    <col min="22" max="23" width="26.85546875" style="5" customWidth="1"/>
    <col min="24" max="24" width="21.42578125" style="5" bestFit="1" customWidth="1"/>
    <col min="25" max="26" width="24.42578125" style="5" customWidth="1"/>
    <col min="27" max="27" width="32.42578125" style="5" customWidth="1"/>
    <col min="28" max="28" width="20.140625" style="5" customWidth="1"/>
    <col min="29" max="29" width="13.42578125" style="5" bestFit="1" customWidth="1"/>
    <col min="30" max="16384" width="8.85546875" style="5"/>
  </cols>
  <sheetData>
    <row r="1" spans="1:29" ht="23.25" customHeight="1" thickBot="1">
      <c r="A1" s="2"/>
      <c r="B1" s="75"/>
      <c r="C1" s="3"/>
      <c r="D1" s="4"/>
      <c r="Y1" s="124"/>
    </row>
    <row r="2" spans="1:29" ht="30" customHeight="1" thickBot="1">
      <c r="A2" s="1000" t="s">
        <v>381</v>
      </c>
      <c r="B2" s="142"/>
      <c r="C2" s="142" t="s">
        <v>89</v>
      </c>
      <c r="D2" s="1075" t="s">
        <v>108</v>
      </c>
      <c r="E2" s="1076"/>
      <c r="Y2" s="99"/>
    </row>
    <row r="3" spans="1:29" ht="20.25" customHeight="1">
      <c r="B3" s="55"/>
      <c r="C3" s="55"/>
      <c r="D3" s="55"/>
      <c r="E3" s="55"/>
      <c r="Y3" s="137"/>
    </row>
    <row r="4" spans="1:29" ht="24.95" customHeight="1" thickBot="1">
      <c r="A4" s="181" t="s">
        <v>382</v>
      </c>
      <c r="B4" s="117"/>
      <c r="Y4" s="123"/>
      <c r="Z4" s="135"/>
      <c r="AA4" s="55"/>
      <c r="AB4" s="55"/>
      <c r="AC4" s="55"/>
    </row>
    <row r="5" spans="1:29" ht="15" customHeight="1" thickBot="1">
      <c r="A5" s="750" t="s">
        <v>383</v>
      </c>
      <c r="B5" s="751"/>
      <c r="C5" s="180" t="s">
        <v>384</v>
      </c>
      <c r="D5" s="170">
        <f>SUM(E129,K129,Q129)</f>
        <v>7325700.6349999979</v>
      </c>
      <c r="E5" s="568">
        <f>B28-B10-B11+B25</f>
        <v>137012526.95388126</v>
      </c>
      <c r="J5" s="168"/>
      <c r="Y5" s="123"/>
      <c r="Z5" s="135"/>
      <c r="AA5" s="55"/>
      <c r="AB5" s="135"/>
      <c r="AC5" s="55"/>
    </row>
    <row r="6" spans="1:29" ht="15" customHeight="1" thickBot="1">
      <c r="A6" s="752" t="s">
        <v>33</v>
      </c>
      <c r="B6" s="753" t="s">
        <v>385</v>
      </c>
      <c r="C6" s="180" t="s">
        <v>386</v>
      </c>
      <c r="D6" s="170">
        <f>SUM(B171,H171,N171)</f>
        <v>9269348.3372737244</v>
      </c>
      <c r="E6" s="274"/>
      <c r="J6" s="168"/>
      <c r="Y6" s="123"/>
      <c r="Z6" s="135"/>
      <c r="AA6" s="55"/>
      <c r="AB6" s="135"/>
      <c r="AC6" s="55"/>
    </row>
    <row r="7" spans="1:29" ht="15" customHeight="1">
      <c r="A7" s="754" t="s">
        <v>387</v>
      </c>
      <c r="B7" s="755">
        <f>SUM(C133,I133,O133)</f>
        <v>102625200</v>
      </c>
      <c r="C7" s="180" t="s">
        <v>388</v>
      </c>
      <c r="D7" s="364">
        <f>IFERROR((D6/D5)^(1/(D8+1))-1,0)</f>
        <v>4.0000000000000036E-2</v>
      </c>
      <c r="G7" s="278"/>
      <c r="J7" s="168"/>
      <c r="Y7" s="123"/>
      <c r="Z7" s="135"/>
      <c r="AA7" s="55"/>
      <c r="AB7" s="135"/>
      <c r="AC7" s="55"/>
    </row>
    <row r="8" spans="1:29" ht="15" customHeight="1">
      <c r="A8" s="17" t="s">
        <v>77</v>
      </c>
      <c r="B8" s="143">
        <f>SUM(C134,I134,O134)</f>
        <v>5131260</v>
      </c>
      <c r="C8" s="180" t="s">
        <v>125</v>
      </c>
      <c r="D8" s="362">
        <f>Assumptions!$L$41</f>
        <v>5</v>
      </c>
      <c r="E8" s="274"/>
      <c r="F8" s="361"/>
      <c r="J8" s="168"/>
      <c r="Y8" s="123"/>
      <c r="Z8" s="135"/>
      <c r="AA8" s="55"/>
      <c r="AB8" s="135"/>
      <c r="AC8" s="55"/>
    </row>
    <row r="9" spans="1:29" ht="15" customHeight="1">
      <c r="A9" s="17" t="s">
        <v>389</v>
      </c>
      <c r="B9" s="143">
        <f>SUM(C135,I135,O135)</f>
        <v>0</v>
      </c>
      <c r="C9" s="272" t="s">
        <v>390</v>
      </c>
      <c r="D9" s="170">
        <f>SUM(B$164,H$164,N$164)</f>
        <v>0</v>
      </c>
      <c r="J9" s="168"/>
      <c r="Y9" s="123"/>
      <c r="Z9" s="135"/>
      <c r="AA9" s="55"/>
      <c r="AB9" s="135"/>
      <c r="AC9" s="55"/>
    </row>
    <row r="10" spans="1:29" ht="15" customHeight="1">
      <c r="A10" s="17" t="s">
        <v>391</v>
      </c>
      <c r="B10" s="143">
        <f t="shared" ref="B10:B23" si="0">SUM(C136,I136,O136)</f>
        <v>808909.2</v>
      </c>
      <c r="C10" s="180" t="s">
        <v>392</v>
      </c>
      <c r="D10" s="170">
        <f>SUM(B$175,H$175,N$175)</f>
        <v>181724116.42797452</v>
      </c>
      <c r="J10" s="168"/>
      <c r="Y10" s="123"/>
      <c r="Z10" s="135"/>
      <c r="AA10" s="55"/>
      <c r="AB10" s="135"/>
      <c r="AC10" s="55"/>
    </row>
    <row r="11" spans="1:29" ht="15" customHeight="1" thickBot="1">
      <c r="A11" s="17" t="s">
        <v>393</v>
      </c>
      <c r="B11" s="143">
        <f t="shared" si="0"/>
        <v>2480000</v>
      </c>
      <c r="C11" s="180" t="s">
        <v>394</v>
      </c>
      <c r="D11" s="543" t="str">
        <f>IF(OR(B35="YES",H35="YES",N35="YES"),"YES","NO")</f>
        <v>NO</v>
      </c>
      <c r="J11" s="168"/>
      <c r="Y11" s="123"/>
      <c r="Z11" s="135"/>
      <c r="AA11" s="55"/>
      <c r="AB11" s="135"/>
      <c r="AC11" s="55"/>
    </row>
    <row r="12" spans="1:29" ht="15" customHeight="1">
      <c r="A12" s="17" t="s">
        <v>79</v>
      </c>
      <c r="B12" s="143">
        <f t="shared" si="0"/>
        <v>2052504</v>
      </c>
      <c r="C12" s="749" t="s">
        <v>395</v>
      </c>
      <c r="D12" s="757"/>
      <c r="E12" s="758"/>
      <c r="G12" s="124"/>
      <c r="H12" s="124"/>
      <c r="J12" s="117"/>
      <c r="Y12" s="123"/>
      <c r="Z12" s="135"/>
      <c r="AA12" s="55"/>
      <c r="AB12" s="135"/>
      <c r="AC12" s="55"/>
    </row>
    <row r="13" spans="1:29" ht="15" customHeight="1">
      <c r="A13" s="377" t="s">
        <v>83</v>
      </c>
      <c r="B13" s="143">
        <f t="shared" si="0"/>
        <v>1539378</v>
      </c>
      <c r="C13" s="844"/>
      <c r="D13" s="541" t="s">
        <v>12</v>
      </c>
      <c r="E13" s="542" t="s">
        <v>396</v>
      </c>
      <c r="G13" s="289"/>
      <c r="H13" s="554"/>
      <c r="Y13" s="123"/>
      <c r="Z13" s="135"/>
      <c r="AA13" s="55"/>
      <c r="AB13" s="135"/>
      <c r="AC13" s="55"/>
    </row>
    <row r="14" spans="1:29" ht="15" customHeight="1">
      <c r="A14" s="377" t="s">
        <v>84</v>
      </c>
      <c r="B14" s="143">
        <f t="shared" si="0"/>
        <v>20222.73</v>
      </c>
      <c r="C14" s="845" t="s">
        <v>9</v>
      </c>
      <c r="D14" s="546">
        <f>SUM(B157,H157,N157)</f>
        <v>83404832.969251126</v>
      </c>
      <c r="E14" s="759">
        <f>D14/$D$17</f>
        <v>0.56621873585890015</v>
      </c>
      <c r="G14" s="283"/>
      <c r="H14" s="130"/>
      <c r="Y14" s="123"/>
      <c r="Z14" s="135"/>
      <c r="AA14" s="55"/>
      <c r="AB14" s="135"/>
      <c r="AC14" s="55"/>
    </row>
    <row r="15" spans="1:29" ht="15" customHeight="1">
      <c r="A15" s="377" t="s">
        <v>85</v>
      </c>
      <c r="B15" s="143">
        <f t="shared" si="0"/>
        <v>2052504</v>
      </c>
      <c r="C15" s="846" t="s">
        <v>11</v>
      </c>
      <c r="D15" s="546">
        <f>SUM(B158,H158,N158)</f>
        <v>60396603.184630133</v>
      </c>
      <c r="E15" s="759">
        <f>D15/$D$17</f>
        <v>0.41002046389782426</v>
      </c>
      <c r="G15" s="283"/>
      <c r="H15" s="130"/>
      <c r="Y15" s="123"/>
      <c r="Z15" s="135"/>
      <c r="AA15" s="55"/>
      <c r="AB15" s="135"/>
      <c r="AC15" s="55"/>
    </row>
    <row r="16" spans="1:29" ht="15" customHeight="1">
      <c r="A16" s="377" t="s">
        <v>86</v>
      </c>
      <c r="B16" s="143">
        <f t="shared" si="0"/>
        <v>3591882.0000000005</v>
      </c>
      <c r="C16" s="847" t="s">
        <v>10</v>
      </c>
      <c r="D16" s="547">
        <f>-B25</f>
        <v>3500000</v>
      </c>
      <c r="E16" s="759">
        <f>D16/$D$17</f>
        <v>2.376080024327569E-2</v>
      </c>
      <c r="Y16" s="123"/>
      <c r="Z16" s="135"/>
      <c r="AA16" s="55"/>
      <c r="AB16" s="135"/>
      <c r="AC16" s="55"/>
    </row>
    <row r="17" spans="1:29" ht="15" customHeight="1" thickBot="1">
      <c r="A17" s="377" t="s">
        <v>88</v>
      </c>
      <c r="B17" s="143">
        <f t="shared" si="0"/>
        <v>2052504</v>
      </c>
      <c r="C17" s="848" t="s">
        <v>397</v>
      </c>
      <c r="D17" s="552">
        <f>SUM(D14:D16)</f>
        <v>147301436.15388125</v>
      </c>
      <c r="E17" s="561">
        <f>SUM(E14:E16)</f>
        <v>1</v>
      </c>
      <c r="Y17" s="123"/>
      <c r="Z17" s="135"/>
      <c r="AA17" s="55"/>
      <c r="AB17" s="135"/>
      <c r="AC17" s="55"/>
    </row>
    <row r="18" spans="1:29" ht="15" customHeight="1" thickTop="1" thickBot="1">
      <c r="A18" s="377" t="s">
        <v>93</v>
      </c>
      <c r="B18" s="143">
        <f t="shared" si="0"/>
        <v>5131260</v>
      </c>
      <c r="C18" s="849" t="s">
        <v>398</v>
      </c>
      <c r="D18" s="550" t="str">
        <f>IF(B29=D17,"YES","NO")</f>
        <v>YES</v>
      </c>
      <c r="E18" s="551"/>
      <c r="G18" s="356"/>
      <c r="H18" s="555"/>
      <c r="Y18" s="123"/>
      <c r="Z18" s="135"/>
      <c r="AA18" s="55"/>
      <c r="AB18" s="135"/>
      <c r="AC18" s="55"/>
    </row>
    <row r="19" spans="1:29" ht="15" customHeight="1">
      <c r="A19" s="377" t="s">
        <v>97</v>
      </c>
      <c r="B19" s="143">
        <f t="shared" si="0"/>
        <v>1539378</v>
      </c>
      <c r="C19" s="854" t="s">
        <v>399</v>
      </c>
      <c r="D19" s="853"/>
      <c r="G19" s="124"/>
      <c r="H19" s="124"/>
      <c r="Y19" s="123"/>
      <c r="Z19" s="135"/>
      <c r="AA19" s="55"/>
      <c r="AB19" s="135"/>
      <c r="AC19" s="55"/>
    </row>
    <row r="20" spans="1:29" ht="15" customHeight="1">
      <c r="A20" s="377" t="s">
        <v>100</v>
      </c>
      <c r="B20" s="143">
        <f t="shared" si="0"/>
        <v>500000</v>
      </c>
      <c r="C20" s="377" t="s">
        <v>400</v>
      </c>
      <c r="D20" s="413">
        <f ca="1">'2-E DRAW'!B50</f>
        <v>113014014.37175882</v>
      </c>
      <c r="F20" s="363"/>
      <c r="G20" s="12"/>
      <c r="H20" s="556"/>
      <c r="Y20" s="123"/>
      <c r="Z20" s="135"/>
      <c r="AA20" s="55"/>
      <c r="AB20" s="135"/>
      <c r="AC20" s="55"/>
    </row>
    <row r="21" spans="1:29" ht="15" customHeight="1">
      <c r="A21" s="377" t="s">
        <v>103</v>
      </c>
      <c r="B21" s="143">
        <f t="shared" si="0"/>
        <v>3055373.6624999992</v>
      </c>
      <c r="C21" s="377" t="s">
        <v>401</v>
      </c>
      <c r="D21" s="549">
        <f ca="1">(D20+D15)/D15</f>
        <v>2.8711981868629142</v>
      </c>
      <c r="G21" s="12"/>
      <c r="H21" s="556"/>
      <c r="Y21" s="123"/>
      <c r="Z21" s="135"/>
      <c r="AA21" s="55"/>
      <c r="AB21" s="135"/>
      <c r="AC21" s="55"/>
    </row>
    <row r="22" spans="1:29" ht="15" customHeight="1">
      <c r="A22" s="377" t="s">
        <v>106</v>
      </c>
      <c r="B22" s="143">
        <f t="shared" si="0"/>
        <v>6789719.2499999991</v>
      </c>
      <c r="C22" s="860" t="s">
        <v>402</v>
      </c>
      <c r="D22" s="861">
        <f ca="1">'2-E DRAW'!B59</f>
        <v>8.9446256109407374E-2</v>
      </c>
      <c r="G22" s="12"/>
      <c r="H22" s="556"/>
      <c r="Y22" s="123"/>
      <c r="Z22" s="135"/>
      <c r="AA22" s="55"/>
      <c r="AB22" s="135"/>
      <c r="AC22" s="55"/>
    </row>
    <row r="23" spans="1:29" ht="15" customHeight="1">
      <c r="A23" s="377" t="s">
        <v>403</v>
      </c>
      <c r="B23" s="143">
        <f t="shared" si="0"/>
        <v>305537.3662499999</v>
      </c>
      <c r="C23" s="860" t="s">
        <v>404</v>
      </c>
      <c r="D23" s="861">
        <f ca="1">'2-E DRAW'!B55</f>
        <v>6.5730551433145212E-2</v>
      </c>
      <c r="G23" s="12"/>
      <c r="H23" s="556"/>
      <c r="Y23" s="123"/>
      <c r="Z23" s="135"/>
      <c r="AA23" s="55"/>
      <c r="AB23" s="135"/>
      <c r="AC23" s="55"/>
    </row>
    <row r="24" spans="1:29" ht="15" customHeight="1">
      <c r="A24" s="377" t="s">
        <v>112</v>
      </c>
      <c r="B24" s="143">
        <f>SUM(C150,I150,O150)</f>
        <v>535803.94513124996</v>
      </c>
      <c r="C24" s="860" t="s">
        <v>405</v>
      </c>
      <c r="D24" s="865">
        <f>IF(OR(B$35="YES",H35="YES",N35="YES"),"-",D5/B28)</f>
        <v>5.0943167404536902E-2</v>
      </c>
      <c r="E24" s="18"/>
      <c r="G24" s="328"/>
      <c r="H24" s="560"/>
      <c r="Y24" s="123"/>
      <c r="Z24" s="135"/>
      <c r="AA24" s="55"/>
      <c r="AB24" s="135"/>
      <c r="AC24" s="55"/>
    </row>
    <row r="25" spans="1:29" ht="15" customHeight="1">
      <c r="A25" s="17" t="s">
        <v>165</v>
      </c>
      <c r="B25" s="143">
        <f>SUM(C151,I151,O151)</f>
        <v>-3500000</v>
      </c>
      <c r="C25" s="860" t="s">
        <v>158</v>
      </c>
      <c r="D25" s="865">
        <f>SUM(D9,D10)/B28</f>
        <v>1.2637155878854534</v>
      </c>
      <c r="F25" s="348"/>
      <c r="G25" s="124"/>
      <c r="H25" s="124"/>
      <c r="Y25" s="123"/>
      <c r="Z25" s="135"/>
      <c r="AA25" s="55"/>
      <c r="AB25" s="135"/>
      <c r="AC25" s="55"/>
    </row>
    <row r="26" spans="1:29" ht="15" customHeight="1" thickBot="1">
      <c r="A26" s="408" t="s">
        <v>38</v>
      </c>
      <c r="B26" s="756">
        <f>SUM(C152,I152,O152)</f>
        <v>410000</v>
      </c>
      <c r="C26" s="863" t="s">
        <v>406</v>
      </c>
      <c r="D26" s="864">
        <f>IF((D5/D14)=0,"-",D5/D14)</f>
        <v>8.783304724920156E-2</v>
      </c>
      <c r="G26" s="12"/>
      <c r="H26" s="557"/>
      <c r="Y26" s="123"/>
      <c r="Z26" s="135"/>
      <c r="AA26" s="55"/>
      <c r="AB26" s="135"/>
      <c r="AC26" s="55"/>
    </row>
    <row r="27" spans="1:29" ht="15" customHeight="1" thickBot="1">
      <c r="A27" s="762" t="s">
        <v>407</v>
      </c>
      <c r="B27" s="763">
        <f>SUM(C153,I153,O153)</f>
        <v>6680000</v>
      </c>
      <c r="G27" s="328"/>
      <c r="H27" s="558"/>
      <c r="Y27" s="123"/>
      <c r="Z27" s="135"/>
      <c r="AA27" s="55"/>
      <c r="AB27" s="135"/>
      <c r="AC27" s="55"/>
    </row>
    <row r="28" spans="1:29" ht="15" customHeight="1" thickTop="1">
      <c r="A28" s="760" t="s">
        <v>408</v>
      </c>
      <c r="B28" s="761">
        <f>SUM(B7:B27)</f>
        <v>143801436.15388125</v>
      </c>
      <c r="C28" s="328"/>
      <c r="D28" s="851"/>
      <c r="G28" s="328"/>
      <c r="H28" s="558"/>
      <c r="Y28" s="123"/>
      <c r="Z28" s="135"/>
      <c r="AA28" s="55"/>
      <c r="AB28" s="135"/>
      <c r="AC28" s="55"/>
    </row>
    <row r="29" spans="1:29" ht="15" customHeight="1" thickBot="1">
      <c r="A29" s="850" t="s">
        <v>409</v>
      </c>
      <c r="B29" s="862">
        <f>B28-B25</f>
        <v>147301436.15388125</v>
      </c>
      <c r="C29" s="12"/>
      <c r="D29" s="852"/>
      <c r="E29" s="12"/>
      <c r="G29" s="12"/>
      <c r="H29" s="132"/>
      <c r="Y29" s="123"/>
      <c r="Z29" s="135"/>
      <c r="AA29" s="55"/>
      <c r="AB29" s="135"/>
      <c r="AC29" s="55"/>
    </row>
    <row r="30" spans="1:29" ht="15" customHeight="1">
      <c r="A30" s="328"/>
      <c r="B30" s="843"/>
      <c r="G30" s="12"/>
      <c r="H30" s="548"/>
      <c r="Y30" s="123"/>
      <c r="Z30" s="135"/>
      <c r="AA30" s="55"/>
      <c r="AB30" s="135"/>
      <c r="AC30" s="55"/>
    </row>
    <row r="31" spans="1:29" ht="15" customHeight="1">
      <c r="A31" s="328"/>
      <c r="B31" s="843"/>
      <c r="E31" s="131"/>
      <c r="Y31" s="123"/>
      <c r="Z31" s="135"/>
      <c r="AA31" s="55"/>
      <c r="AB31" s="135"/>
      <c r="AC31" s="55"/>
    </row>
    <row r="32" spans="1:29" ht="15" customHeight="1">
      <c r="E32" s="132"/>
      <c r="Y32" s="123"/>
      <c r="Z32" s="135"/>
      <c r="AA32" s="55"/>
      <c r="AB32" s="135"/>
      <c r="AC32" s="55"/>
    </row>
    <row r="33" spans="1:29" ht="24.95" customHeight="1" thickBot="1">
      <c r="A33" s="169" t="s">
        <v>410</v>
      </c>
      <c r="M33" s="293"/>
      <c r="AB33" s="55"/>
      <c r="AC33" s="136"/>
    </row>
    <row r="34" spans="1:29" ht="20.25" customHeight="1">
      <c r="A34" s="1001" t="s">
        <v>219</v>
      </c>
      <c r="B34" s="1002" t="s">
        <v>62</v>
      </c>
      <c r="C34" s="1003" t="s">
        <v>411</v>
      </c>
      <c r="D34" s="1004">
        <f>IFERROR(INDEX('Building Configuration'!$B$2:$AA$34,MATCH(B$34,'Building Configuration'!$D$2:$D$34,0),MATCH("Total",'Building Configuration'!$B$2:$AA$2,0)),0)</f>
        <v>342084</v>
      </c>
      <c r="E34" s="1005"/>
      <c r="G34" s="1001" t="s">
        <v>219</v>
      </c>
      <c r="H34" s="1002"/>
      <c r="I34" s="1003" t="s">
        <v>411</v>
      </c>
      <c r="J34" s="1004">
        <f>IFERROR(INDEX('Building Configuration'!$B$2:$AA$34,MATCH(H$34,'Building Configuration'!$D$2:$D$34,0),MATCH("Total",'Building Configuration'!$B$2:$AA$2,0)),0)</f>
        <v>0</v>
      </c>
      <c r="K34" s="1005"/>
      <c r="L34" s="123"/>
      <c r="M34" s="1001" t="s">
        <v>219</v>
      </c>
      <c r="N34" s="1002"/>
      <c r="O34" s="1003" t="s">
        <v>411</v>
      </c>
      <c r="P34" s="1004">
        <f>IFERROR(INDEX('Building Configuration'!$B$2:$AA$34,MATCH(N$34,'Building Configuration'!$D$2:$D$34,0),MATCH("Total",'Building Configuration'!$B$2:$AA$2,0)),0)</f>
        <v>0</v>
      </c>
      <c r="Q34" s="1005"/>
      <c r="R34" s="123"/>
      <c r="S34" s="304"/>
      <c r="T34" s="285"/>
      <c r="V34" s="168"/>
      <c r="W34" s="123"/>
      <c r="X34" s="124"/>
    </row>
    <row r="35" spans="1:29" ht="15" customHeight="1">
      <c r="A35" s="6" t="s">
        <v>412</v>
      </c>
      <c r="B35" s="137" t="str">
        <f>IF(OR(D$37&gt;0,D$39&gt;0,D$43&gt;0),"YES","NO")</f>
        <v>NO</v>
      </c>
      <c r="D35" s="119"/>
      <c r="E35" s="103"/>
      <c r="G35" s="6" t="s">
        <v>412</v>
      </c>
      <c r="H35" s="137" t="str">
        <f>IF(OR(J$37&gt;0,J$39&gt;0,J$43&gt;0),"YES","NO")</f>
        <v>NO</v>
      </c>
      <c r="J35" s="119"/>
      <c r="K35" s="103"/>
      <c r="L35" s="123"/>
      <c r="M35" s="6" t="s">
        <v>412</v>
      </c>
      <c r="N35" s="137" t="str">
        <f>IF(OR(P$37&gt;0,P$39&gt;0,P$43&gt;0),"YES","NO")</f>
        <v>NO</v>
      </c>
      <c r="P35" s="119"/>
      <c r="Q35" s="103"/>
      <c r="R35" s="123"/>
      <c r="S35" s="123"/>
      <c r="T35" s="137"/>
      <c r="V35" s="168"/>
      <c r="W35" s="123"/>
      <c r="X35" s="124"/>
    </row>
    <row r="36" spans="1:29" ht="15" customHeight="1">
      <c r="A36" s="6" t="s">
        <v>222</v>
      </c>
      <c r="B36" s="118" t="str">
        <f>IFERROR(INDEX('Building Configuration'!$B$2:$AA$34,MATCH(B$34,'Building Configuration'!$D$2:$D$34,0),MATCH(A36,'Building Configuration'!$B$2:$AA$2,0)),"-")</f>
        <v>-</v>
      </c>
      <c r="C36" s="5" t="s">
        <v>231</v>
      </c>
      <c r="D36" s="119">
        <f>IFERROR(INDEX('Building Configuration'!$B$2:$AA$34,MATCH(B$34,'Building Configuration'!$D$2:$D$34,0),MATCH(B36,'Building Configuration'!$B$2:$AA$2,0)),0)</f>
        <v>0</v>
      </c>
      <c r="E36" s="103"/>
      <c r="G36" s="6" t="s">
        <v>222</v>
      </c>
      <c r="H36" s="118" t="str">
        <f>IFERROR(INDEX('Building Configuration'!$B$2:$AA$34,MATCH(H$34,'Building Configuration'!$D$2:$D$34,0),MATCH(G36,'Building Configuration'!$B$2:$AA$2,0)),"-")</f>
        <v>-</v>
      </c>
      <c r="I36" s="5" t="s">
        <v>231</v>
      </c>
      <c r="J36" s="119">
        <f>IFERROR(INDEX('Building Configuration'!$B$2:$AA$34,MATCH(H$34,'Building Configuration'!$D$2:$D$34,0),MATCH(H36,'Building Configuration'!$B$2:$AA$2,0)),0)</f>
        <v>0</v>
      </c>
      <c r="K36" s="103"/>
      <c r="L36" s="123"/>
      <c r="M36" s="6" t="s">
        <v>222</v>
      </c>
      <c r="N36" s="118" t="str">
        <f>IFERROR(INDEX('Building Configuration'!$B$2:$AA$34,MATCH(N$34,'Building Configuration'!$D$2:$D$34,0),MATCH(M36,'Building Configuration'!$B$2:$AA$2,0)),"-")</f>
        <v>-</v>
      </c>
      <c r="O36" s="5" t="s">
        <v>231</v>
      </c>
      <c r="P36" s="119">
        <f>IFERROR(INDEX('Building Configuration'!$B$2:$AA$34,MATCH(N$34,'Building Configuration'!$D$2:$D$34,0),MATCH(N36,'Building Configuration'!$B$2:$AA$2,0)),0)</f>
        <v>0</v>
      </c>
      <c r="Q36" s="103"/>
      <c r="R36" s="123"/>
      <c r="S36" s="123"/>
      <c r="T36" s="118"/>
      <c r="V36" s="168"/>
      <c r="W36" s="123"/>
      <c r="X36" s="124"/>
    </row>
    <row r="37" spans="1:29" ht="15" customHeight="1">
      <c r="A37" s="6" t="s">
        <v>223</v>
      </c>
      <c r="B37" s="118" t="str">
        <f>IFERROR(INDEX('Building Configuration'!$B$2:$AA$34,MATCH(B$34,'Building Configuration'!$D$2:$D$34,0),MATCH(A37,'Building Configuration'!$B$2:$AA$2,0)),"-")</f>
        <v>-</v>
      </c>
      <c r="C37" s="5" t="s">
        <v>413</v>
      </c>
      <c r="D37" s="119">
        <f>IFERROR(INDEX('Building Configuration'!$B$2:$AA$34,MATCH(B$34,'Building Configuration'!$D$2:$D$34,0),MATCH(B37,'Building Configuration'!$B$2:$AA$2,0)),0)</f>
        <v>0</v>
      </c>
      <c r="E37" s="103"/>
      <c r="G37" s="6" t="s">
        <v>223</v>
      </c>
      <c r="H37" s="118" t="str">
        <f>IFERROR(INDEX('Building Configuration'!$B$2:$AA$34,MATCH(H$34,'Building Configuration'!$D$2:$D$34,0),MATCH(G37,'Building Configuration'!$B$2:$AA$2,0)),"-")</f>
        <v>-</v>
      </c>
      <c r="I37" s="5" t="s">
        <v>413</v>
      </c>
      <c r="J37" s="119">
        <f>IFERROR(INDEX('Building Configuration'!$B$2:$AA$34,MATCH(H$34,'Building Configuration'!$D$2:$D$34,0),MATCH(H37,'Building Configuration'!$B$2:$AA$2,0)),0)</f>
        <v>0</v>
      </c>
      <c r="K37" s="103"/>
      <c r="L37" s="123"/>
      <c r="M37" s="6" t="s">
        <v>223</v>
      </c>
      <c r="N37" s="118" t="str">
        <f>IFERROR(INDEX('Building Configuration'!$B$2:$AA$34,MATCH(N$34,'Building Configuration'!$D$2:$D$34,0),MATCH(M37,'Building Configuration'!$B$2:$AA$2,0)),"-")</f>
        <v>-</v>
      </c>
      <c r="O37" s="5" t="s">
        <v>413</v>
      </c>
      <c r="P37" s="119">
        <f>IFERROR(INDEX('Building Configuration'!$B$2:$AA$34,MATCH(N$34,'Building Configuration'!$D$2:$D$34,0),MATCH(N37,'Building Configuration'!$B$2:$AA$2,0)),0)</f>
        <v>0</v>
      </c>
      <c r="Q37" s="103"/>
      <c r="R37" s="123"/>
      <c r="S37" s="123"/>
      <c r="T37" s="118"/>
      <c r="V37" s="168"/>
      <c r="W37" s="123"/>
      <c r="X37" s="124"/>
    </row>
    <row r="38" spans="1:29" ht="15" customHeight="1">
      <c r="A38" s="6" t="s">
        <v>224</v>
      </c>
      <c r="B38" s="118" t="str">
        <f>IFERROR(INDEX('Building Configuration'!$B$2:$AA$34,MATCH(B$34,'Building Configuration'!$D$2:$D$34,0),MATCH(A38,'Building Configuration'!$B$2:$AA$2,0)),"-")</f>
        <v>-</v>
      </c>
      <c r="C38" s="5" t="s">
        <v>233</v>
      </c>
      <c r="D38" s="119">
        <f>IFERROR(INDEX('Building Configuration'!$B$2:$AA$34,MATCH(B$34,'Building Configuration'!$D$2:$D$34,0),MATCH(B38,'Building Configuration'!$B$2:$AA$2,0)),0)</f>
        <v>0</v>
      </c>
      <c r="E38" s="103"/>
      <c r="G38" s="6" t="s">
        <v>224</v>
      </c>
      <c r="H38" s="118" t="str">
        <f>IFERROR(INDEX('Building Configuration'!$B$2:$AA$34,MATCH(H$34,'Building Configuration'!$D$2:$D$34,0),MATCH(G38,'Building Configuration'!$B$2:$AA$2,0)),"-")</f>
        <v>-</v>
      </c>
      <c r="I38" s="5" t="s">
        <v>233</v>
      </c>
      <c r="J38" s="119">
        <f>IFERROR(INDEX('Building Configuration'!$B$2:$AA$34,MATCH(H$34,'Building Configuration'!$D$2:$D$34,0),MATCH(H38,'Building Configuration'!$B$2:$AA$2,0)),0)</f>
        <v>0</v>
      </c>
      <c r="K38" s="103"/>
      <c r="L38" s="123"/>
      <c r="M38" s="6" t="s">
        <v>224</v>
      </c>
      <c r="N38" s="118" t="str">
        <f>IFERROR(INDEX('Building Configuration'!$B$2:$AA$34,MATCH(N$34,'Building Configuration'!$D$2:$D$34,0),MATCH(M38,'Building Configuration'!$B$2:$AA$2,0)),"-")</f>
        <v>-</v>
      </c>
      <c r="O38" s="5" t="s">
        <v>233</v>
      </c>
      <c r="P38" s="119">
        <f>IFERROR(INDEX('Building Configuration'!$B$2:$AA$34,MATCH(N$34,'Building Configuration'!$D$2:$D$34,0),MATCH(N38,'Building Configuration'!$B$2:$AA$2,0)),0)</f>
        <v>0</v>
      </c>
      <c r="Q38" s="103"/>
      <c r="R38" s="123"/>
      <c r="S38" s="123"/>
      <c r="T38" s="118"/>
      <c r="V38" s="168"/>
      <c r="W38" s="123"/>
      <c r="X38" s="124"/>
      <c r="Z38" s="168"/>
    </row>
    <row r="39" spans="1:29" ht="15" customHeight="1">
      <c r="A39" s="6" t="s">
        <v>225</v>
      </c>
      <c r="B39" s="118" t="str">
        <f>IFERROR(INDEX('Building Configuration'!$B$2:$AA$34,MATCH(B$34,'Building Configuration'!$D$2:$D$34,0),MATCH(A39,'Building Configuration'!$B$2:$AA$2,0)),"-")</f>
        <v>-</v>
      </c>
      <c r="C39" s="5" t="s">
        <v>414</v>
      </c>
      <c r="D39" s="119">
        <f>IFERROR(INDEX('Building Configuration'!$B$2:$AA$34,MATCH(B$34,'Building Configuration'!$D$2:$D$34,0),MATCH(B39,'Building Configuration'!$B$2:$AA$2,0)),0)</f>
        <v>0</v>
      </c>
      <c r="E39" s="103"/>
      <c r="G39" s="6" t="s">
        <v>225</v>
      </c>
      <c r="H39" s="118" t="str">
        <f>IFERROR(INDEX('Building Configuration'!$B$2:$AA$34,MATCH(H$34,'Building Configuration'!$D$2:$D$34,0),MATCH(G39,'Building Configuration'!$B$2:$AA$2,0)),"-")</f>
        <v>-</v>
      </c>
      <c r="I39" s="5" t="s">
        <v>414</v>
      </c>
      <c r="J39" s="119">
        <f>IFERROR(INDEX('Building Configuration'!$B$2:$AA$34,MATCH(H$34,'Building Configuration'!$D$2:$D$34,0),MATCH(H39,'Building Configuration'!$B$2:$AA$2,0)),0)</f>
        <v>0</v>
      </c>
      <c r="K39" s="103"/>
      <c r="L39" s="123"/>
      <c r="M39" s="6" t="s">
        <v>225</v>
      </c>
      <c r="N39" s="118" t="str">
        <f>IFERROR(INDEX('Building Configuration'!$B$2:$AA$34,MATCH(N$34,'Building Configuration'!$D$2:$D$34,0),MATCH(M39,'Building Configuration'!$B$2:$AA$2,0)),"-")</f>
        <v>-</v>
      </c>
      <c r="O39" s="5" t="s">
        <v>414</v>
      </c>
      <c r="P39" s="119">
        <f>IFERROR(INDEX('Building Configuration'!$B$2:$AA$34,MATCH(N$34,'Building Configuration'!$D$2:$D$34,0),MATCH(N39,'Building Configuration'!$B$2:$AA$2,0)),0)</f>
        <v>0</v>
      </c>
      <c r="Q39" s="103"/>
      <c r="R39" s="123"/>
      <c r="S39" s="123"/>
      <c r="T39" s="118"/>
      <c r="V39" s="168"/>
      <c r="W39" s="123"/>
      <c r="X39" s="124"/>
      <c r="Z39" s="168"/>
    </row>
    <row r="40" spans="1:29" ht="15" customHeight="1">
      <c r="A40" s="6" t="s">
        <v>226</v>
      </c>
      <c r="B40" s="118" t="str">
        <f>IFERROR(INDEX('Building Configuration'!$B$2:$AA$34,MATCH(B$34,'Building Configuration'!$D$2:$D$34,0),MATCH(A40,'Building Configuration'!$B$2:$AA$2,0)),"-")</f>
        <v>-</v>
      </c>
      <c r="C40" s="5" t="s">
        <v>59</v>
      </c>
      <c r="D40" s="119">
        <f>IFERROR(INDEX('Building Configuration'!$B$2:$AA$34,MATCH(B$34,'Building Configuration'!$D$2:$D$34,0),MATCH(B40,'Building Configuration'!$B$2:$AA$2,0)),0)</f>
        <v>0</v>
      </c>
      <c r="E40" s="103"/>
      <c r="G40" s="6" t="s">
        <v>226</v>
      </c>
      <c r="H40" s="118" t="str">
        <f>IFERROR(INDEX('Building Configuration'!$B$2:$AA$34,MATCH(H$34,'Building Configuration'!$D$2:$D$34,0),MATCH(G40,'Building Configuration'!$B$2:$AA$2,0)),"-")</f>
        <v>-</v>
      </c>
      <c r="I40" s="5" t="s">
        <v>59</v>
      </c>
      <c r="J40" s="119">
        <f>IFERROR(INDEX('Building Configuration'!$B$2:$AA$34,MATCH(H$34,'Building Configuration'!$D$2:$D$34,0),MATCH(H40,'Building Configuration'!$B$2:$AA$2,0)),0)</f>
        <v>0</v>
      </c>
      <c r="K40" s="103"/>
      <c r="L40" s="123"/>
      <c r="M40" s="6" t="s">
        <v>226</v>
      </c>
      <c r="N40" s="118" t="str">
        <f>IFERROR(INDEX('Building Configuration'!$B$2:$AA$34,MATCH(N$34,'Building Configuration'!$D$2:$D$34,0),MATCH(M40,'Building Configuration'!$B$2:$AA$2,0)),"-")</f>
        <v>-</v>
      </c>
      <c r="O40" s="5" t="s">
        <v>59</v>
      </c>
      <c r="P40" s="119">
        <f>IFERROR(INDEX('Building Configuration'!$B$2:$AA$34,MATCH(N$34,'Building Configuration'!$D$2:$D$34,0),MATCH(N40,'Building Configuration'!$B$2:$AA$2,0)),0)</f>
        <v>0</v>
      </c>
      <c r="Q40" s="103"/>
      <c r="R40" s="123"/>
      <c r="S40" s="123"/>
      <c r="T40" s="118"/>
      <c r="V40" s="168"/>
      <c r="W40" s="123"/>
      <c r="X40" s="124"/>
      <c r="Z40" s="168"/>
    </row>
    <row r="41" spans="1:29" ht="15" customHeight="1">
      <c r="A41" s="6" t="s">
        <v>227</v>
      </c>
      <c r="B41" s="118" t="str">
        <f>IFERROR(INDEX('Building Configuration'!$B$2:$AA$34,MATCH(B$34,'Building Configuration'!$D$2:$D$34,0),MATCH(A41,'Building Configuration'!$B$2:$AA$2,0)),"-")</f>
        <v>-</v>
      </c>
      <c r="C41" s="5" t="s">
        <v>415</v>
      </c>
      <c r="D41" s="119">
        <f>IFERROR(INDEX('Building Configuration'!$B$2:$AA$34,MATCH(B$34,'Building Configuration'!$D$2:$D$34,0),MATCH(B41,'Building Configuration'!$B$2:$AA$2,0)),0)</f>
        <v>0</v>
      </c>
      <c r="E41" s="103"/>
      <c r="G41" s="6" t="s">
        <v>227</v>
      </c>
      <c r="H41" s="118" t="str">
        <f>IFERROR(INDEX('Building Configuration'!$B$2:$AA$34,MATCH(H$34,'Building Configuration'!$D$2:$D$34,0),MATCH(G41,'Building Configuration'!$B$2:$AA$2,0)),"-")</f>
        <v>-</v>
      </c>
      <c r="I41" s="5" t="s">
        <v>415</v>
      </c>
      <c r="J41" s="119">
        <f>IFERROR(INDEX('Building Configuration'!$B$2:$AA$34,MATCH(H$34,'Building Configuration'!$D$2:$D$34,0),MATCH(H41,'Building Configuration'!$B$2:$AA$2,0)),0)</f>
        <v>0</v>
      </c>
      <c r="K41" s="103"/>
      <c r="L41" s="123"/>
      <c r="M41" s="6" t="s">
        <v>227</v>
      </c>
      <c r="N41" s="118" t="str">
        <f>IFERROR(INDEX('Building Configuration'!$B$2:$AA$34,MATCH(N$34,'Building Configuration'!$D$2:$D$34,0),MATCH(M41,'Building Configuration'!$B$2:$AA$2,0)),"-")</f>
        <v>-</v>
      </c>
      <c r="O41" s="5" t="s">
        <v>415</v>
      </c>
      <c r="P41" s="119">
        <f>IFERROR(INDEX('Building Configuration'!$B$2:$AA$34,MATCH(N$34,'Building Configuration'!$D$2:$D$34,0),MATCH(N41,'Building Configuration'!$B$2:$AA$2,0)),0)</f>
        <v>0</v>
      </c>
      <c r="Q41" s="103"/>
      <c r="R41" s="123"/>
      <c r="S41" s="123"/>
      <c r="T41" s="118"/>
      <c r="V41" s="168"/>
      <c r="W41" s="123"/>
      <c r="X41" s="124"/>
      <c r="Z41" s="168"/>
    </row>
    <row r="42" spans="1:29" ht="15" customHeight="1">
      <c r="A42" s="6" t="s">
        <v>228</v>
      </c>
      <c r="B42" s="118" t="str">
        <f>IFERROR(INDEX('Building Configuration'!$B$2:$AA$34,MATCH(B$34,'Building Configuration'!$D$2:$D$34,0),MATCH(A42,'Building Configuration'!$B$2:$AA$2,0)),"-")</f>
        <v>Laboratory</v>
      </c>
      <c r="C42" s="5" t="s">
        <v>416</v>
      </c>
      <c r="D42" s="119">
        <f>IFERROR(INDEX('Building Configuration'!$B$2:$AA$34,MATCH(B$34,'Building Configuration'!$D$2:$D$34,0),MATCH(B42,'Building Configuration'!$B$2:$AA$2,0)),0)</f>
        <v>301765.3</v>
      </c>
      <c r="E42" s="103"/>
      <c r="G42" s="6" t="s">
        <v>228</v>
      </c>
      <c r="H42" s="118" t="str">
        <f>IFERROR(INDEX('Building Configuration'!$B$2:$AA$34,MATCH(H$34,'Building Configuration'!$D$2:$D$34,0),MATCH(G42,'Building Configuration'!$B$2:$AA$2,0)),"-")</f>
        <v>-</v>
      </c>
      <c r="I42" s="5" t="s">
        <v>416</v>
      </c>
      <c r="J42" s="119">
        <f>IFERROR(INDEX('Building Configuration'!$B$2:$AA$34,MATCH(H$34,'Building Configuration'!$D$2:$D$34,0),MATCH(H42,'Building Configuration'!$B$2:$AA$2,0)),0)</f>
        <v>0</v>
      </c>
      <c r="K42" s="103"/>
      <c r="L42" s="123"/>
      <c r="M42" s="6" t="s">
        <v>228</v>
      </c>
      <c r="N42" s="118" t="str">
        <f>IFERROR(INDEX('Building Configuration'!$B$2:$AA$34,MATCH(N$34,'Building Configuration'!$D$2:$D$34,0),MATCH(M42,'Building Configuration'!$B$2:$AA$2,0)),"-")</f>
        <v>-</v>
      </c>
      <c r="O42" s="5" t="s">
        <v>416</v>
      </c>
      <c r="P42" s="119">
        <f>IFERROR(INDEX('Building Configuration'!$B$2:$AA$34,MATCH(N$34,'Building Configuration'!$D$2:$D$34,0),MATCH(N42,'Building Configuration'!$B$2:$AA$2,0)),0)</f>
        <v>0</v>
      </c>
      <c r="Q42" s="103"/>
      <c r="R42" s="123"/>
      <c r="S42" s="123"/>
      <c r="T42" s="118"/>
      <c r="V42" s="168"/>
      <c r="W42" s="123"/>
      <c r="X42" s="124"/>
      <c r="Z42" s="168"/>
    </row>
    <row r="43" spans="1:29" ht="15" customHeight="1">
      <c r="A43" s="6" t="s">
        <v>229</v>
      </c>
      <c r="B43" s="118" t="str">
        <f>IFERROR(INDEX('Building Configuration'!$B$2:$AA$34,MATCH(B$34,'Building Configuration'!$D$2:$D$34,0),MATCH(A43,'Building Configuration'!$B$2:$AA$2,0)),"-")</f>
        <v>-</v>
      </c>
      <c r="C43" s="5" t="s">
        <v>229</v>
      </c>
      <c r="D43" s="119">
        <f>IFERROR(INDEX('Building Configuration'!$B$2:$AA$34,MATCH(B$34,'Building Configuration'!$D$2:$D$34,0),MATCH(B43,'Building Configuration'!$B$2:$AA$2,0)),0)</f>
        <v>0</v>
      </c>
      <c r="E43" s="103"/>
      <c r="G43" s="6" t="s">
        <v>229</v>
      </c>
      <c r="H43" s="118" t="str">
        <f>IFERROR(INDEX('Building Configuration'!$B$2:$AA$34,MATCH(H$34,'Building Configuration'!$D$2:$D$34,0),MATCH(G43,'Building Configuration'!$B$2:$AA$2,0)),"-")</f>
        <v>-</v>
      </c>
      <c r="I43" s="5" t="s">
        <v>229</v>
      </c>
      <c r="J43" s="119">
        <f>IFERROR(INDEX('Building Configuration'!$B$2:$AA$34,MATCH(H$34,'Building Configuration'!$D$2:$D$34,0),MATCH(H43,'Building Configuration'!$B$2:$AA$2,0)),0)</f>
        <v>0</v>
      </c>
      <c r="K43" s="103"/>
      <c r="L43" s="123"/>
      <c r="M43" s="6" t="s">
        <v>229</v>
      </c>
      <c r="N43" s="118" t="str">
        <f>IFERROR(INDEX('Building Configuration'!$B$2:$AA$34,MATCH(N$34,'Building Configuration'!$D$2:$D$34,0),MATCH(M43,'Building Configuration'!$B$2:$AA$2,0)),"-")</f>
        <v>-</v>
      </c>
      <c r="O43" s="5" t="s">
        <v>229</v>
      </c>
      <c r="P43" s="119">
        <f>IFERROR(INDEX('Building Configuration'!$B$2:$AA$34,MATCH(N$34,'Building Configuration'!$D$2:$D$34,0),MATCH(N43,'Building Configuration'!$B$2:$AA$2,0)),0)</f>
        <v>0</v>
      </c>
      <c r="Q43" s="103"/>
      <c r="R43" s="123"/>
      <c r="S43" s="123"/>
      <c r="T43" s="118"/>
      <c r="V43" s="168"/>
      <c r="W43" s="123"/>
      <c r="X43" s="124"/>
      <c r="Z43" s="168"/>
    </row>
    <row r="44" spans="1:29" ht="15" customHeight="1">
      <c r="A44" s="6" t="s">
        <v>230</v>
      </c>
      <c r="B44" s="118" t="str">
        <f>IFERROR(INDEX('Building Configuration'!$B$2:$AA$34,MATCH(B$34,'Building Configuration'!$D$2:$D$34,0),MATCH(A44,'Building Configuration'!$B$2:$AA$2,0)),"-")</f>
        <v>-</v>
      </c>
      <c r="C44" s="5" t="s">
        <v>230</v>
      </c>
      <c r="D44" s="119">
        <f>IFERROR(INDEX('Building Configuration'!$B$2:$AA$34,MATCH(B$34,'Building Configuration'!$D$2:$D$34,0),MATCH(B44,'Building Configuration'!$B$2:$AA$2,0)),0)</f>
        <v>0</v>
      </c>
      <c r="E44" s="103"/>
      <c r="G44" s="6" t="s">
        <v>230</v>
      </c>
      <c r="H44" s="118" t="str">
        <f>IFERROR(INDEX('Building Configuration'!$B$2:$AA$34,MATCH(H$34,'Building Configuration'!$D$2:$D$34,0),MATCH(G44,'Building Configuration'!$B$2:$AA$2,0)),"-")</f>
        <v>-</v>
      </c>
      <c r="I44" s="5" t="s">
        <v>230</v>
      </c>
      <c r="J44" s="119">
        <f>IFERROR(INDEX('Building Configuration'!$B$2:$AA$34,MATCH(H$34,'Building Configuration'!$D$2:$D$34,0),MATCH(H44,'Building Configuration'!$B$2:$AA$2,0)),0)</f>
        <v>0</v>
      </c>
      <c r="K44" s="103"/>
      <c r="L44" s="123"/>
      <c r="M44" s="6" t="s">
        <v>230</v>
      </c>
      <c r="N44" s="118" t="str">
        <f>IFERROR(INDEX('Building Configuration'!$B$2:$AA$34,MATCH(N$34,'Building Configuration'!$D$2:$D$34,0),MATCH(M44,'Building Configuration'!$B$2:$AA$2,0)),"-")</f>
        <v>-</v>
      </c>
      <c r="O44" s="5" t="s">
        <v>230</v>
      </c>
      <c r="P44" s="119">
        <f>IFERROR(INDEX('Building Configuration'!$B$2:$AA$34,MATCH(N$34,'Building Configuration'!$D$2:$D$34,0),MATCH(N44,'Building Configuration'!$B$2:$AA$2,0)),0)</f>
        <v>0</v>
      </c>
      <c r="Q44" s="103"/>
      <c r="R44" s="123"/>
      <c r="S44" s="123"/>
      <c r="T44" s="118"/>
      <c r="V44" s="168"/>
      <c r="W44" s="123"/>
      <c r="X44" s="124"/>
      <c r="Z44" s="168"/>
    </row>
    <row r="45" spans="1:29" ht="15" customHeight="1">
      <c r="A45" s="6" t="s">
        <v>417</v>
      </c>
      <c r="B45" s="118" t="str">
        <f>IFERROR(IF(INDEX('Building Configuration'!$B$2:$AA$34,MATCH(B$34,'Building Configuration'!$D$2:$D$34,0),MATCH(C45,'Building Configuration'!$B$2:$AA$2,0))&gt;0,"YES","NO"),"-")</f>
        <v>YES</v>
      </c>
      <c r="C45" s="5" t="s">
        <v>116</v>
      </c>
      <c r="D45" s="119">
        <f>IFERROR(INDEX('Building Configuration'!$B$2:$AA$34,MATCH(B$34,'Building Configuration'!$D$2:$D$34,0),MATCH(C45,'Building Configuration'!$B$2:$AA$2,0)),0)</f>
        <v>40318.699999999997</v>
      </c>
      <c r="E45" s="65"/>
      <c r="G45" s="6" t="s">
        <v>417</v>
      </c>
      <c r="H45" s="118" t="str">
        <f>IFERROR(IF(INDEX('Building Configuration'!$B$2:$AA$34,MATCH(H$34,'Building Configuration'!$D$2:$D$34,0),MATCH(I45,'Building Configuration'!$B$2:$AA$2,0))&gt;0,"YES","NO"),"-")</f>
        <v>-</v>
      </c>
      <c r="I45" s="5" t="s">
        <v>116</v>
      </c>
      <c r="J45" s="119">
        <f>IFERROR(INDEX('Building Configuration'!$B$2:$AA$34,MATCH(H$34,'Building Configuration'!$D$2:$D$34,0),MATCH(I45,'Building Configuration'!$B$2:$AA$2,0)),0)</f>
        <v>0</v>
      </c>
      <c r="K45" s="65"/>
      <c r="L45" s="55"/>
      <c r="M45" s="6" t="s">
        <v>417</v>
      </c>
      <c r="N45" s="118" t="str">
        <f>IFERROR(IF(INDEX('Building Configuration'!$B$2:$AA$34,MATCH(N$34,'Building Configuration'!$D$2:$D$34,0),MATCH(O45,'Building Configuration'!$B$2:$AA$2,0))&gt;0,"YES","NO"),"-")</f>
        <v>-</v>
      </c>
      <c r="O45" s="5" t="s">
        <v>116</v>
      </c>
      <c r="P45" s="119">
        <f>IFERROR(INDEX('Building Configuration'!$B$2:$AA$34,MATCH(N$34,'Building Configuration'!$D$2:$D$34,0),MATCH(O45,'Building Configuration'!$B$2:$AA$2,0)),0)</f>
        <v>0</v>
      </c>
      <c r="Q45" s="65"/>
      <c r="R45" s="55"/>
      <c r="S45" s="123"/>
      <c r="T45" s="118"/>
      <c r="V45" s="168"/>
      <c r="W45" s="55"/>
      <c r="X45" s="99"/>
      <c r="Z45" s="117"/>
    </row>
    <row r="46" spans="1:29" ht="15" customHeight="1">
      <c r="A46" s="6" t="s">
        <v>418</v>
      </c>
      <c r="B46" s="161">
        <v>0</v>
      </c>
      <c r="C46" s="162">
        <f>100%-B46</f>
        <v>1</v>
      </c>
      <c r="D46" s="119"/>
      <c r="E46" s="65"/>
      <c r="G46" s="6" t="s">
        <v>418</v>
      </c>
      <c r="H46" s="161">
        <v>1</v>
      </c>
      <c r="I46" s="162">
        <f>100%-H46</f>
        <v>0</v>
      </c>
      <c r="J46" s="119"/>
      <c r="K46" s="65"/>
      <c r="L46" s="55"/>
      <c r="M46" s="6" t="s">
        <v>418</v>
      </c>
      <c r="N46" s="161">
        <v>1</v>
      </c>
      <c r="O46" s="162">
        <f>100%-N46</f>
        <v>0</v>
      </c>
      <c r="P46" s="119"/>
      <c r="Q46" s="65"/>
      <c r="R46" s="55"/>
      <c r="S46" s="123"/>
      <c r="T46" s="294"/>
      <c r="U46" s="305"/>
      <c r="V46" s="168"/>
      <c r="W46" s="55"/>
      <c r="X46" s="99"/>
    </row>
    <row r="47" spans="1:29" ht="15" customHeight="1">
      <c r="A47" s="6"/>
      <c r="B47" s="118"/>
      <c r="D47" s="119"/>
      <c r="E47" s="65"/>
      <c r="G47" s="6"/>
      <c r="H47" s="118"/>
      <c r="J47" s="119"/>
      <c r="K47" s="65"/>
      <c r="L47" s="55"/>
      <c r="M47" s="6"/>
      <c r="N47" s="118"/>
      <c r="P47" s="119"/>
      <c r="Q47" s="65"/>
      <c r="R47" s="55"/>
      <c r="S47" s="123"/>
      <c r="T47" s="118"/>
      <c r="V47" s="168"/>
      <c r="W47" s="55"/>
      <c r="X47" s="99"/>
    </row>
    <row r="48" spans="1:29" ht="15" customHeight="1">
      <c r="A48" s="104" t="s">
        <v>222</v>
      </c>
      <c r="B48" s="105" t="str">
        <f>B$36</f>
        <v>-</v>
      </c>
      <c r="C48" s="166" t="s">
        <v>419</v>
      </c>
      <c r="D48" s="111">
        <f>D$36*E$48</f>
        <v>0</v>
      </c>
      <c r="E48" s="106">
        <f>Assumptions!$Y$28</f>
        <v>0.77</v>
      </c>
      <c r="F48" s="99"/>
      <c r="G48" s="104" t="s">
        <v>222</v>
      </c>
      <c r="H48" s="105" t="str">
        <f>H$36</f>
        <v>-</v>
      </c>
      <c r="I48" s="166" t="s">
        <v>419</v>
      </c>
      <c r="J48" s="111">
        <f>J$36*K$48</f>
        <v>0</v>
      </c>
      <c r="K48" s="106">
        <f>Assumptions!$Y$28</f>
        <v>0.77</v>
      </c>
      <c r="L48" s="55"/>
      <c r="M48" s="104" t="s">
        <v>222</v>
      </c>
      <c r="N48" s="105" t="str">
        <f>N$36</f>
        <v>-</v>
      </c>
      <c r="O48" s="166" t="s">
        <v>419</v>
      </c>
      <c r="P48" s="111">
        <f>P$36*Q$48</f>
        <v>0</v>
      </c>
      <c r="Q48" s="106">
        <f>Assumptions!$Y$28</f>
        <v>0.77</v>
      </c>
      <c r="R48" s="55"/>
      <c r="S48" s="123"/>
      <c r="T48" s="99"/>
      <c r="U48" s="135"/>
      <c r="V48" s="295"/>
      <c r="W48" s="55"/>
      <c r="X48" s="99"/>
    </row>
    <row r="49" spans="1:24" ht="15" customHeight="1">
      <c r="A49" s="104" t="s">
        <v>420</v>
      </c>
      <c r="B49" s="160">
        <v>0</v>
      </c>
      <c r="C49" s="113" t="str">
        <f>IF(C55&gt;D48,"# of Units Over Available Area","# of Units Within Available Area")</f>
        <v># of Units Within Available Area</v>
      </c>
      <c r="D49" s="112" t="s">
        <v>421</v>
      </c>
      <c r="E49" s="120">
        <v>0</v>
      </c>
      <c r="F49" s="101"/>
      <c r="G49" s="104" t="s">
        <v>420</v>
      </c>
      <c r="H49" s="160">
        <v>0</v>
      </c>
      <c r="I49" s="113" t="str">
        <f>IF(I55&gt;J48,"# of Units Over Available Area","# of Units Within Available Area")</f>
        <v># of Units Within Available Area</v>
      </c>
      <c r="J49" s="112" t="s">
        <v>421</v>
      </c>
      <c r="K49" s="120">
        <v>0</v>
      </c>
      <c r="L49" s="102"/>
      <c r="M49" s="104" t="s">
        <v>420</v>
      </c>
      <c r="N49" s="160">
        <v>0</v>
      </c>
      <c r="O49" s="113" t="str">
        <f>IF(O55&gt;P48,"# of Units Over Available Area","# of Units Within Available Area")</f>
        <v># of Units Within Available Area</v>
      </c>
      <c r="P49" s="112" t="s">
        <v>421</v>
      </c>
      <c r="Q49" s="120">
        <v>0</v>
      </c>
      <c r="R49" s="102"/>
      <c r="S49" s="123"/>
      <c r="T49" s="296"/>
      <c r="U49" s="297"/>
      <c r="V49" s="112"/>
      <c r="W49" s="102"/>
      <c r="X49" s="99"/>
    </row>
    <row r="50" spans="1:24" ht="15" customHeight="1">
      <c r="A50" s="107" t="s">
        <v>308</v>
      </c>
      <c r="B50" s="200" t="s">
        <v>422</v>
      </c>
      <c r="C50" s="109" t="s">
        <v>419</v>
      </c>
      <c r="D50" s="108" t="s">
        <v>423</v>
      </c>
      <c r="E50" s="110" t="s">
        <v>424</v>
      </c>
      <c r="F50" s="99"/>
      <c r="G50" s="107" t="s">
        <v>308</v>
      </c>
      <c r="H50" s="200" t="s">
        <v>422</v>
      </c>
      <c r="I50" s="109" t="s">
        <v>419</v>
      </c>
      <c r="J50" s="108" t="s">
        <v>423</v>
      </c>
      <c r="K50" s="110" t="s">
        <v>424</v>
      </c>
      <c r="L50" s="124"/>
      <c r="M50" s="107" t="s">
        <v>308</v>
      </c>
      <c r="N50" s="200" t="s">
        <v>422</v>
      </c>
      <c r="O50" s="109" t="s">
        <v>419</v>
      </c>
      <c r="P50" s="108" t="s">
        <v>423</v>
      </c>
      <c r="Q50" s="110" t="s">
        <v>424</v>
      </c>
      <c r="R50" s="124"/>
      <c r="S50" s="123"/>
      <c r="T50" s="306"/>
      <c r="U50" s="276"/>
      <c r="V50" s="124"/>
      <c r="W50" s="124"/>
      <c r="X50" s="99"/>
    </row>
    <row r="51" spans="1:24" ht="15" customHeight="1">
      <c r="A51" s="31" t="str">
        <f>Assumptions!$W$5</f>
        <v>Studio</v>
      </c>
      <c r="B51" s="76">
        <f>B$49*INDEX(Assumptions!$Y$5:$Y$8,MATCH(A51,Assumptions!$W$5:$W$8,0))</f>
        <v>0</v>
      </c>
      <c r="C51" s="32">
        <f>Assumptions!$R$15</f>
        <v>550</v>
      </c>
      <c r="D51" s="42">
        <f>Assumptions!$R$16*(1+E$49)</f>
        <v>3</v>
      </c>
      <c r="E51" s="43">
        <f>12*B51*C51*D51</f>
        <v>0</v>
      </c>
      <c r="F51" s="99"/>
      <c r="G51" s="31" t="str">
        <f>Assumptions!$W$5</f>
        <v>Studio</v>
      </c>
      <c r="H51" s="76">
        <f>H$49*INDEX(Assumptions!$Y$5:$Y$8,MATCH(G51,Assumptions!$W$5:$W$8,0))</f>
        <v>0</v>
      </c>
      <c r="I51" s="32">
        <f>Assumptions!$R$15</f>
        <v>550</v>
      </c>
      <c r="J51" s="42">
        <f>Assumptions!$R$16*(1+K$49)</f>
        <v>3</v>
      </c>
      <c r="K51" s="43">
        <f>12*H51*I51*J51</f>
        <v>0</v>
      </c>
      <c r="L51" s="125"/>
      <c r="M51" s="31" t="str">
        <f>Assumptions!$W$5</f>
        <v>Studio</v>
      </c>
      <c r="N51" s="76">
        <f>N$49*INDEX(Assumptions!$Y$5:$Y$8,MATCH(M51,Assumptions!$W$5:$W$8,0))</f>
        <v>0</v>
      </c>
      <c r="O51" s="32">
        <f>Assumptions!$R$15</f>
        <v>550</v>
      </c>
      <c r="P51" s="42">
        <f>Assumptions!$R$16*(1+Q$49)</f>
        <v>3</v>
      </c>
      <c r="Q51" s="43">
        <f>12*N51*O51*P51</f>
        <v>0</v>
      </c>
      <c r="R51" s="125"/>
      <c r="S51" s="307"/>
      <c r="T51" s="100"/>
      <c r="U51" s="308"/>
      <c r="V51" s="309"/>
      <c r="W51" s="125"/>
      <c r="X51" s="99"/>
    </row>
    <row r="52" spans="1:24" ht="15" customHeight="1">
      <c r="A52" s="31" t="str">
        <f>Assumptions!$W$6</f>
        <v>1BR</v>
      </c>
      <c r="B52" s="76">
        <f>B$49*INDEX(Assumptions!$Y$5:$Y$8,MATCH(A52,Assumptions!$W$5:$W$8,0))</f>
        <v>0</v>
      </c>
      <c r="C52" s="378">
        <f>Assumptions!$R$18</f>
        <v>800</v>
      </c>
      <c r="D52" s="379">
        <f>Assumptions!$R$19*(1+E$49)</f>
        <v>2.4</v>
      </c>
      <c r="E52" s="380">
        <f>12*B52*C52*D52</f>
        <v>0</v>
      </c>
      <c r="F52" s="99"/>
      <c r="G52" s="31" t="str">
        <f>Assumptions!$W$6</f>
        <v>1BR</v>
      </c>
      <c r="H52" s="76">
        <f>H$49*INDEX(Assumptions!$Y$5:$Y$8,MATCH(G52,Assumptions!$W$5:$W$8,0))</f>
        <v>0</v>
      </c>
      <c r="I52" s="378">
        <f>Assumptions!$R$18</f>
        <v>800</v>
      </c>
      <c r="J52" s="379">
        <f>Assumptions!$R$19*(1+K$49)</f>
        <v>2.4</v>
      </c>
      <c r="K52" s="380">
        <f>12*H52*I52*J52</f>
        <v>0</v>
      </c>
      <c r="L52" s="125"/>
      <c r="M52" s="31" t="str">
        <f>Assumptions!$W$6</f>
        <v>1BR</v>
      </c>
      <c r="N52" s="76">
        <f>N$49*INDEX(Assumptions!$Y$5:$Y$8,MATCH(M52,Assumptions!$W$5:$W$8,0))</f>
        <v>0</v>
      </c>
      <c r="O52" s="378">
        <f>Assumptions!$R$18</f>
        <v>800</v>
      </c>
      <c r="P52" s="379">
        <f>Assumptions!$R$19*(1+Q$49)</f>
        <v>2.4</v>
      </c>
      <c r="Q52" s="380">
        <f>12*N52*O52*P52</f>
        <v>0</v>
      </c>
      <c r="R52" s="125"/>
      <c r="S52" s="307"/>
      <c r="T52" s="100"/>
      <c r="U52" s="308"/>
      <c r="V52" s="309"/>
      <c r="W52" s="125"/>
      <c r="X52" s="99"/>
    </row>
    <row r="53" spans="1:24" ht="15" customHeight="1">
      <c r="A53" s="31" t="str">
        <f>Assumptions!$W$7</f>
        <v>2BR</v>
      </c>
      <c r="B53" s="76">
        <f>B$49*INDEX(Assumptions!$Y$5:$Y$8,MATCH(A53,Assumptions!$W$5:$W$8,0))</f>
        <v>0</v>
      </c>
      <c r="C53" s="32">
        <f>Assumptions!$R$21</f>
        <v>1200</v>
      </c>
      <c r="D53" s="379">
        <f>Assumptions!$R$22*(1+E$49)</f>
        <v>2.2000000000000002</v>
      </c>
      <c r="E53" s="380">
        <f>12*B53*C53*D53</f>
        <v>0</v>
      </c>
      <c r="F53" s="100"/>
      <c r="G53" s="31" t="str">
        <f>Assumptions!$W$7</f>
        <v>2BR</v>
      </c>
      <c r="H53" s="76">
        <f>H$49*INDEX(Assumptions!$Y$5:$Y$8,MATCH(G53,Assumptions!$W$5:$W$8,0))</f>
        <v>0</v>
      </c>
      <c r="I53" s="32">
        <f>Assumptions!$R$21</f>
        <v>1200</v>
      </c>
      <c r="J53" s="379">
        <f>Assumptions!$R$22*(1+K$49)</f>
        <v>2.2000000000000002</v>
      </c>
      <c r="K53" s="380">
        <f>12*H53*I53*J53</f>
        <v>0</v>
      </c>
      <c r="L53" s="125"/>
      <c r="M53" s="31" t="str">
        <f>Assumptions!$W$7</f>
        <v>2BR</v>
      </c>
      <c r="N53" s="76">
        <f>N$49*INDEX(Assumptions!$Y$5:$Y$8,MATCH(M53,Assumptions!$W$5:$W$8,0))</f>
        <v>0</v>
      </c>
      <c r="O53" s="32">
        <f>Assumptions!$R$21</f>
        <v>1200</v>
      </c>
      <c r="P53" s="379">
        <f>Assumptions!$R$22*(1+Q$49)</f>
        <v>2.2000000000000002</v>
      </c>
      <c r="Q53" s="380">
        <f>12*N53*O53*P53</f>
        <v>0</v>
      </c>
      <c r="R53" s="125"/>
      <c r="S53" s="307"/>
      <c r="T53" s="100"/>
      <c r="U53" s="308"/>
      <c r="V53" s="309"/>
      <c r="W53" s="125"/>
    </row>
    <row r="54" spans="1:24" ht="15" customHeight="1" thickBot="1">
      <c r="A54" s="31" t="str">
        <f>Assumptions!$W$8</f>
        <v>3BR</v>
      </c>
      <c r="B54" s="76">
        <f>B$49*INDEX(Assumptions!$Y$5:$Y$8,MATCH(A54,Assumptions!$W$5:$W$8,0))</f>
        <v>0</v>
      </c>
      <c r="C54" s="378">
        <f>Assumptions!$R$24</f>
        <v>2000</v>
      </c>
      <c r="D54" s="379">
        <f>Assumptions!$R$25*(1+E$49)</f>
        <v>2.5</v>
      </c>
      <c r="E54" s="380">
        <f>12*B54*C54*D54</f>
        <v>0</v>
      </c>
      <c r="G54" s="31" t="str">
        <f>Assumptions!$W$8</f>
        <v>3BR</v>
      </c>
      <c r="H54" s="76">
        <f>H$49*INDEX(Assumptions!$Y$5:$Y$8,MATCH(G54,Assumptions!$W$5:$W$8,0))</f>
        <v>0</v>
      </c>
      <c r="I54" s="378">
        <f>Assumptions!$R$24</f>
        <v>2000</v>
      </c>
      <c r="J54" s="379">
        <f>Assumptions!$R$25*(1+K$49)</f>
        <v>2.5</v>
      </c>
      <c r="K54" s="380">
        <f>12*H54*I54*J54</f>
        <v>0</v>
      </c>
      <c r="L54" s="125"/>
      <c r="M54" s="31" t="str">
        <f>Assumptions!$W$8</f>
        <v>3BR</v>
      </c>
      <c r="N54" s="76">
        <f>N$49*INDEX(Assumptions!$Y$5:$Y$8,MATCH(M54,Assumptions!$W$5:$W$8,0))</f>
        <v>0</v>
      </c>
      <c r="O54" s="378">
        <f>Assumptions!$R$24</f>
        <v>2000</v>
      </c>
      <c r="P54" s="379">
        <f>Assumptions!$R$25*(1+Q$49)</f>
        <v>2.5</v>
      </c>
      <c r="Q54" s="380">
        <f>12*N54*O54*P54</f>
        <v>0</v>
      </c>
      <c r="R54" s="125"/>
      <c r="S54" s="307"/>
      <c r="T54" s="100"/>
      <c r="U54" s="308"/>
      <c r="V54" s="309"/>
      <c r="W54" s="125"/>
    </row>
    <row r="55" spans="1:24" ht="15" customHeight="1" thickTop="1" thickBot="1">
      <c r="A55" s="7" t="s">
        <v>425</v>
      </c>
      <c r="B55" s="8">
        <f>SUM(B51:B54)</f>
        <v>0</v>
      </c>
      <c r="C55" s="9">
        <f>SUMPRODUCT(B51:B54,C51:C54)</f>
        <v>0</v>
      </c>
      <c r="D55" s="61"/>
      <c r="E55" s="62">
        <f>SUM(E51:E54)</f>
        <v>0</v>
      </c>
      <c r="F55" s="100"/>
      <c r="G55" s="7" t="s">
        <v>425</v>
      </c>
      <c r="H55" s="8">
        <f>SUM(H51:H54)</f>
        <v>0</v>
      </c>
      <c r="I55" s="9">
        <f>SUMPRODUCT(H51:H54,I51:I54)</f>
        <v>0</v>
      </c>
      <c r="J55" s="61"/>
      <c r="K55" s="62">
        <f>SUM(K51:K54)</f>
        <v>0</v>
      </c>
      <c r="L55" s="122"/>
      <c r="M55" s="7" t="s">
        <v>425</v>
      </c>
      <c r="N55" s="8">
        <f>SUM(N51:N54)</f>
        <v>0</v>
      </c>
      <c r="O55" s="9">
        <f>SUMPRODUCT(N51:N54,O51:O54)</f>
        <v>0</v>
      </c>
      <c r="P55" s="61"/>
      <c r="Q55" s="62">
        <f>SUM(Q51:Q54)</f>
        <v>0</v>
      </c>
      <c r="R55" s="122"/>
      <c r="S55" s="12"/>
      <c r="T55" s="310"/>
      <c r="U55" s="311"/>
      <c r="V55" s="312"/>
      <c r="W55" s="122"/>
    </row>
    <row r="56" spans="1:24" ht="15" customHeight="1" thickTop="1" thickBot="1">
      <c r="A56" s="10" t="s">
        <v>426</v>
      </c>
      <c r="B56" s="60"/>
      <c r="C56" s="11">
        <f>IFERROR(C55/B55,0)</f>
        <v>0</v>
      </c>
      <c r="D56" s="63">
        <f>IFERROR((E55/12)/C55,0)</f>
        <v>0</v>
      </c>
      <c r="E56" s="64"/>
      <c r="G56" s="10" t="s">
        <v>426</v>
      </c>
      <c r="H56" s="60"/>
      <c r="I56" s="11">
        <f>IFERROR(I55/H55,0)</f>
        <v>0</v>
      </c>
      <c r="J56" s="63">
        <f>IFERROR((K55/12)/I55,0)</f>
        <v>0</v>
      </c>
      <c r="K56" s="64"/>
      <c r="L56" s="12"/>
      <c r="M56" s="10" t="s">
        <v>426</v>
      </c>
      <c r="N56" s="60"/>
      <c r="O56" s="11">
        <f>IFERROR(O55/N55,0)</f>
        <v>0</v>
      </c>
      <c r="P56" s="63">
        <f>IFERROR((Q55/12)/O55,0)</f>
        <v>0</v>
      </c>
      <c r="Q56" s="64"/>
      <c r="R56" s="12"/>
      <c r="S56" s="12"/>
      <c r="T56" s="313"/>
      <c r="U56" s="314"/>
      <c r="V56" s="315"/>
      <c r="W56" s="12"/>
      <c r="X56" s="100"/>
    </row>
    <row r="57" spans="1:24" ht="15" customHeight="1">
      <c r="A57" s="104" t="s">
        <v>223</v>
      </c>
      <c r="B57" s="105" t="str">
        <f>B$37</f>
        <v>-</v>
      </c>
      <c r="C57" s="166" t="s">
        <v>419</v>
      </c>
      <c r="D57" s="165">
        <f>D$37*E$57</f>
        <v>0</v>
      </c>
      <c r="E57" s="106">
        <f>Assumptions!$Y$28</f>
        <v>0.77</v>
      </c>
      <c r="G57" s="104" t="s">
        <v>223</v>
      </c>
      <c r="H57" s="105" t="str">
        <f>H$37</f>
        <v>-</v>
      </c>
      <c r="I57" s="166" t="s">
        <v>419</v>
      </c>
      <c r="J57" s="165">
        <f>J$37*K$57</f>
        <v>0</v>
      </c>
      <c r="K57" s="106">
        <f>Assumptions!$Y$28</f>
        <v>0.77</v>
      </c>
      <c r="L57" s="55"/>
      <c r="M57" s="104" t="s">
        <v>223</v>
      </c>
      <c r="N57" s="105" t="str">
        <f>N$37</f>
        <v>-</v>
      </c>
      <c r="O57" s="166" t="s">
        <v>419</v>
      </c>
      <c r="P57" s="165">
        <f>P$37*Q$57</f>
        <v>0</v>
      </c>
      <c r="Q57" s="106">
        <f>Assumptions!$Y$28</f>
        <v>0.77</v>
      </c>
      <c r="R57" s="55"/>
      <c r="S57" s="123"/>
      <c r="T57" s="99"/>
      <c r="U57" s="135"/>
      <c r="V57" s="298"/>
      <c r="W57" s="55"/>
      <c r="X57" s="100"/>
    </row>
    <row r="58" spans="1:24" ht="15" customHeight="1">
      <c r="A58" s="104" t="s">
        <v>420</v>
      </c>
      <c r="B58" s="160">
        <v>0</v>
      </c>
      <c r="C58" s="113" t="str">
        <f>IF(C63&gt;D57,"# of Units Over Available Area","# of Units Within Available Area")</f>
        <v># of Units Within Available Area</v>
      </c>
      <c r="D58" s="158"/>
      <c r="E58" s="159"/>
      <c r="G58" s="104" t="s">
        <v>420</v>
      </c>
      <c r="H58" s="160">
        <v>0</v>
      </c>
      <c r="I58" s="113" t="str">
        <f>IF(I63&gt;J57,"# of Units Over Available Area","# of Units Within Available Area")</f>
        <v># of Units Within Available Area</v>
      </c>
      <c r="J58" s="158"/>
      <c r="K58" s="159"/>
      <c r="L58" s="102"/>
      <c r="M58" s="104" t="s">
        <v>420</v>
      </c>
      <c r="N58" s="160">
        <v>0</v>
      </c>
      <c r="O58" s="113" t="str">
        <f>IF(O63&gt;P57,"# of Units Over Available Area","# of Units Within Available Area")</f>
        <v># of Units Within Available Area</v>
      </c>
      <c r="P58" s="158"/>
      <c r="Q58" s="159"/>
      <c r="R58" s="102"/>
      <c r="S58" s="123"/>
      <c r="T58" s="296"/>
      <c r="U58" s="297"/>
      <c r="V58" s="112"/>
      <c r="W58" s="102"/>
      <c r="X58" s="100"/>
    </row>
    <row r="59" spans="1:24" ht="15" customHeight="1">
      <c r="A59" s="107" t="s">
        <v>308</v>
      </c>
      <c r="B59" s="108" t="s">
        <v>427</v>
      </c>
      <c r="C59" s="109" t="s">
        <v>428</v>
      </c>
      <c r="D59" s="108" t="s">
        <v>74</v>
      </c>
      <c r="E59" s="110" t="s">
        <v>429</v>
      </c>
      <c r="G59" s="107" t="s">
        <v>308</v>
      </c>
      <c r="H59" s="108" t="s">
        <v>427</v>
      </c>
      <c r="I59" s="109" t="s">
        <v>428</v>
      </c>
      <c r="J59" s="108" t="s">
        <v>74</v>
      </c>
      <c r="K59" s="110" t="s">
        <v>429</v>
      </c>
      <c r="L59" s="124"/>
      <c r="M59" s="107" t="s">
        <v>308</v>
      </c>
      <c r="N59" s="108" t="s">
        <v>427</v>
      </c>
      <c r="O59" s="109" t="s">
        <v>428</v>
      </c>
      <c r="P59" s="108" t="s">
        <v>74</v>
      </c>
      <c r="Q59" s="110" t="s">
        <v>429</v>
      </c>
      <c r="R59" s="124"/>
      <c r="S59" s="123"/>
      <c r="T59" s="124"/>
      <c r="U59" s="276"/>
      <c r="V59" s="124"/>
      <c r="W59" s="124"/>
      <c r="X59" s="100"/>
    </row>
    <row r="60" spans="1:24" ht="15" customHeight="1">
      <c r="A60" s="31" t="str">
        <f>Assumptions!$W$15</f>
        <v>1BR</v>
      </c>
      <c r="B60" s="76">
        <f>B$58*INDEX(Assumptions!$Y$10:$Y$12,MATCH(A60,Assumptions!$W$10:$W$12,0))</f>
        <v>0</v>
      </c>
      <c r="C60" s="32">
        <f>Assumptions!$S$18</f>
        <v>1000</v>
      </c>
      <c r="D60" s="379">
        <f>Assumptions!$S$19</f>
        <v>400</v>
      </c>
      <c r="E60" s="380">
        <f>B60*C60*D60</f>
        <v>0</v>
      </c>
      <c r="G60" s="31" t="str">
        <f>Assumptions!$W$15</f>
        <v>1BR</v>
      </c>
      <c r="H60" s="76">
        <f>H$58*INDEX(Assumptions!$Y$10:$Y$12,MATCH(G60,Assumptions!$W$10:$W$12,0))</f>
        <v>0</v>
      </c>
      <c r="I60" s="32">
        <f>Assumptions!$S$18</f>
        <v>1000</v>
      </c>
      <c r="J60" s="379">
        <f>Assumptions!$S$19</f>
        <v>400</v>
      </c>
      <c r="K60" s="380">
        <f>H60*I60*J60</f>
        <v>0</v>
      </c>
      <c r="L60" s="124"/>
      <c r="M60" s="31" t="str">
        <f>Assumptions!$W$15</f>
        <v>1BR</v>
      </c>
      <c r="N60" s="76">
        <f>N$58*INDEX(Assumptions!$Y$10:$Y$12,MATCH(M60,Assumptions!$W$10:$W$12,0))</f>
        <v>0</v>
      </c>
      <c r="O60" s="32">
        <f>Assumptions!$S$18</f>
        <v>1000</v>
      </c>
      <c r="P60" s="379">
        <f>Assumptions!$S$19</f>
        <v>400</v>
      </c>
      <c r="Q60" s="380">
        <f>N60*O60*P60</f>
        <v>0</v>
      </c>
      <c r="R60" s="124"/>
      <c r="S60" s="307"/>
      <c r="T60" s="100"/>
      <c r="U60" s="308"/>
      <c r="V60" s="309"/>
      <c r="W60" s="125"/>
      <c r="X60" s="100"/>
    </row>
    <row r="61" spans="1:24" ht="15" customHeight="1">
      <c r="A61" s="31" t="str">
        <f>Assumptions!$W$16</f>
        <v>2BR</v>
      </c>
      <c r="B61" s="76">
        <f>B$58*INDEX(Assumptions!$Y$10:$Y$12,MATCH(A61,Assumptions!$W$10:$W$12,0))</f>
        <v>0</v>
      </c>
      <c r="C61" s="32">
        <f>Assumptions!$S$21</f>
        <v>1500</v>
      </c>
      <c r="D61" s="379">
        <f>Assumptions!$S$22</f>
        <v>370</v>
      </c>
      <c r="E61" s="380">
        <f>B61*C61*D61</f>
        <v>0</v>
      </c>
      <c r="G61" s="31" t="str">
        <f>Assumptions!$W$16</f>
        <v>2BR</v>
      </c>
      <c r="H61" s="76">
        <f>H$58*INDEX(Assumptions!$Y$10:$Y$12,MATCH(G61,Assumptions!$W$10:$W$12,0))</f>
        <v>0</v>
      </c>
      <c r="I61" s="32">
        <f>Assumptions!$S$21</f>
        <v>1500</v>
      </c>
      <c r="J61" s="379">
        <f>Assumptions!$S$22</f>
        <v>370</v>
      </c>
      <c r="K61" s="380">
        <f>H61*I61*J61</f>
        <v>0</v>
      </c>
      <c r="L61" s="125"/>
      <c r="M61" s="31" t="str">
        <f>Assumptions!$W$16</f>
        <v>2BR</v>
      </c>
      <c r="N61" s="76">
        <f>N$58*INDEX(Assumptions!$Y$10:$Y$12,MATCH(M61,Assumptions!$W$10:$W$12,0))</f>
        <v>0</v>
      </c>
      <c r="O61" s="32">
        <f>Assumptions!$S$21</f>
        <v>1500</v>
      </c>
      <c r="P61" s="379">
        <f>Assumptions!$S$22</f>
        <v>370</v>
      </c>
      <c r="Q61" s="380">
        <f>N61*O61*P61</f>
        <v>0</v>
      </c>
      <c r="R61" s="125"/>
      <c r="S61" s="307"/>
      <c r="T61" s="100"/>
      <c r="U61" s="308"/>
      <c r="V61" s="309"/>
      <c r="W61" s="125"/>
      <c r="X61" s="100"/>
    </row>
    <row r="62" spans="1:24" ht="15" customHeight="1" thickBot="1">
      <c r="A62" s="31" t="str">
        <f>Assumptions!$W$17</f>
        <v>3BR</v>
      </c>
      <c r="B62" s="76">
        <f>B$58*INDEX(Assumptions!$Y$10:$Y$12,MATCH(A62,Assumptions!$W$10:$W$12,0))</f>
        <v>0</v>
      </c>
      <c r="C62" s="378">
        <f>Assumptions!$S$24</f>
        <v>2300</v>
      </c>
      <c r="D62" s="379">
        <f>Assumptions!$S$25</f>
        <v>340</v>
      </c>
      <c r="E62" s="380">
        <f>B62*C62*D62</f>
        <v>0</v>
      </c>
      <c r="G62" s="31" t="str">
        <f>Assumptions!$W$17</f>
        <v>3BR</v>
      </c>
      <c r="H62" s="76">
        <f>H$58*INDEX(Assumptions!$Y$10:$Y$12,MATCH(G62,Assumptions!$W$10:$W$12,0))</f>
        <v>0</v>
      </c>
      <c r="I62" s="378">
        <f>Assumptions!$S$24</f>
        <v>2300</v>
      </c>
      <c r="J62" s="379">
        <f>Assumptions!$S$25</f>
        <v>340</v>
      </c>
      <c r="K62" s="380">
        <f>H62*I62*J62</f>
        <v>0</v>
      </c>
      <c r="L62" s="125"/>
      <c r="M62" s="31" t="str">
        <f>Assumptions!$W$17</f>
        <v>3BR</v>
      </c>
      <c r="N62" s="76">
        <f>N$58*INDEX(Assumptions!$Y$10:$Y$12,MATCH(M62,Assumptions!$W$10:$W$12,0))</f>
        <v>0</v>
      </c>
      <c r="O62" s="378">
        <f>Assumptions!$S$24</f>
        <v>2300</v>
      </c>
      <c r="P62" s="379">
        <f>Assumptions!$S$25</f>
        <v>340</v>
      </c>
      <c r="Q62" s="380">
        <f>N62*O62*P62</f>
        <v>0</v>
      </c>
      <c r="R62" s="125"/>
      <c r="S62" s="307"/>
      <c r="T62" s="100"/>
      <c r="U62" s="308"/>
      <c r="V62" s="309"/>
      <c r="W62" s="125"/>
      <c r="X62" s="100"/>
    </row>
    <row r="63" spans="1:24" ht="15" customHeight="1" thickTop="1" thickBot="1">
      <c r="A63" s="7" t="s">
        <v>425</v>
      </c>
      <c r="B63" s="8">
        <f>SUM(B61:B62)</f>
        <v>0</v>
      </c>
      <c r="C63" s="9">
        <f>SUMPRODUCT(B60:B62,C60:C62)</f>
        <v>0</v>
      </c>
      <c r="D63" s="61"/>
      <c r="E63" s="62">
        <f>SUM(E60:E62)</f>
        <v>0</v>
      </c>
      <c r="G63" s="7" t="s">
        <v>425</v>
      </c>
      <c r="H63" s="8">
        <f>SUM(H61:H62)</f>
        <v>0</v>
      </c>
      <c r="I63" s="9">
        <f>SUMPRODUCT(H60:H62,I60:I62)</f>
        <v>0</v>
      </c>
      <c r="J63" s="61"/>
      <c r="K63" s="62">
        <f>SUM(K60:K62)</f>
        <v>0</v>
      </c>
      <c r="L63" s="122"/>
      <c r="M63" s="7" t="s">
        <v>425</v>
      </c>
      <c r="N63" s="8">
        <f>SUM(N61:N62)</f>
        <v>0</v>
      </c>
      <c r="O63" s="9">
        <f>SUMPRODUCT(N60:N62,O60:O62)</f>
        <v>0</v>
      </c>
      <c r="P63" s="61"/>
      <c r="Q63" s="62">
        <f>SUM(Q60:Q62)</f>
        <v>0</v>
      </c>
      <c r="R63" s="122"/>
      <c r="S63" s="12"/>
      <c r="T63" s="310"/>
      <c r="U63" s="311"/>
      <c r="V63" s="312"/>
      <c r="W63" s="122"/>
      <c r="X63" s="100"/>
    </row>
    <row r="64" spans="1:24" ht="15" customHeight="1" thickTop="1" thickBot="1">
      <c r="A64" s="10" t="s">
        <v>426</v>
      </c>
      <c r="B64" s="60"/>
      <c r="C64" s="11">
        <f>IFERROR(C63/B63,0)</f>
        <v>0</v>
      </c>
      <c r="D64" s="63">
        <f>IFERROR((E63/12)/C63,0)</f>
        <v>0</v>
      </c>
      <c r="E64" s="64"/>
      <c r="G64" s="10" t="s">
        <v>426</v>
      </c>
      <c r="H64" s="60"/>
      <c r="I64" s="11">
        <f>IFERROR(I63/H63,0)</f>
        <v>0</v>
      </c>
      <c r="J64" s="63">
        <f>IFERROR((K63/12)/I63,0)</f>
        <v>0</v>
      </c>
      <c r="K64" s="64"/>
      <c r="L64" s="12"/>
      <c r="M64" s="10" t="s">
        <v>426</v>
      </c>
      <c r="N64" s="60"/>
      <c r="O64" s="11">
        <f>IFERROR(O63/N63,0)</f>
        <v>0</v>
      </c>
      <c r="P64" s="63">
        <f>IFERROR((Q63/12)/O63,0)</f>
        <v>0</v>
      </c>
      <c r="Q64" s="64"/>
      <c r="R64" s="12"/>
      <c r="S64" s="12"/>
      <c r="T64" s="313"/>
      <c r="U64" s="314"/>
      <c r="V64" s="315"/>
      <c r="W64" s="12"/>
      <c r="X64" s="100"/>
    </row>
    <row r="65" spans="1:24" ht="15" customHeight="1">
      <c r="A65" s="104" t="s">
        <v>224</v>
      </c>
      <c r="B65" s="105" t="str">
        <f>B$38</f>
        <v>-</v>
      </c>
      <c r="C65" s="166" t="s">
        <v>419</v>
      </c>
      <c r="D65" s="111">
        <f>D$38*E$65</f>
        <v>0</v>
      </c>
      <c r="E65" s="106">
        <f>Assumptions!$Y$28</f>
        <v>0.77</v>
      </c>
      <c r="G65" s="104" t="s">
        <v>224</v>
      </c>
      <c r="H65" s="105" t="str">
        <f>H$38</f>
        <v>-</v>
      </c>
      <c r="I65" s="166" t="s">
        <v>419</v>
      </c>
      <c r="J65" s="111">
        <f>J$38*K$65</f>
        <v>0</v>
      </c>
      <c r="K65" s="106">
        <f>Assumptions!$Y$28</f>
        <v>0.77</v>
      </c>
      <c r="L65" s="12"/>
      <c r="M65" s="104" t="s">
        <v>224</v>
      </c>
      <c r="N65" s="105" t="str">
        <f>N$38</f>
        <v>-</v>
      </c>
      <c r="O65" s="166" t="s">
        <v>419</v>
      </c>
      <c r="P65" s="111">
        <f>P$38*Q$65</f>
        <v>0</v>
      </c>
      <c r="Q65" s="106">
        <f>Assumptions!$Y$28</f>
        <v>0.77</v>
      </c>
      <c r="R65" s="12"/>
      <c r="S65" s="123"/>
      <c r="T65" s="99"/>
      <c r="U65" s="135"/>
      <c r="V65" s="295"/>
      <c r="W65" s="55"/>
      <c r="X65" s="100"/>
    </row>
    <row r="66" spans="1:24" ht="15" customHeight="1">
      <c r="A66" s="104" t="s">
        <v>420</v>
      </c>
      <c r="B66" s="160">
        <v>0</v>
      </c>
      <c r="C66" s="113" t="str">
        <f>IF(C72&gt;D65,"# of Units Over Available Area","# of Units Within Available Area")</f>
        <v># of Units Within Available Area</v>
      </c>
      <c r="D66" s="112" t="s">
        <v>421</v>
      </c>
      <c r="E66" s="120">
        <v>0</v>
      </c>
      <c r="G66" s="104" t="s">
        <v>420</v>
      </c>
      <c r="H66" s="160">
        <v>0</v>
      </c>
      <c r="I66" s="113" t="str">
        <f>IF(I72&gt;J65,"# of Units Over Available Area","# of Units Within Available Area")</f>
        <v># of Units Within Available Area</v>
      </c>
      <c r="J66" s="112" t="s">
        <v>421</v>
      </c>
      <c r="K66" s="120">
        <v>0</v>
      </c>
      <c r="L66" s="12"/>
      <c r="M66" s="104" t="s">
        <v>420</v>
      </c>
      <c r="N66" s="160">
        <v>0</v>
      </c>
      <c r="O66" s="113" t="str">
        <f>IF(O72&gt;P65,"# of Units Over Available Area","# of Units Within Available Area")</f>
        <v># of Units Within Available Area</v>
      </c>
      <c r="P66" s="112" t="s">
        <v>421</v>
      </c>
      <c r="Q66" s="120">
        <v>0</v>
      </c>
      <c r="R66" s="12"/>
      <c r="S66" s="123"/>
      <c r="T66" s="296"/>
      <c r="U66" s="297"/>
      <c r="V66" s="112"/>
      <c r="W66" s="102"/>
      <c r="X66" s="100"/>
    </row>
    <row r="67" spans="1:24" ht="15" customHeight="1">
      <c r="A67" s="107" t="s">
        <v>308</v>
      </c>
      <c r="B67" s="108" t="s">
        <v>427</v>
      </c>
      <c r="C67" s="109" t="s">
        <v>428</v>
      </c>
      <c r="D67" s="108" t="s">
        <v>423</v>
      </c>
      <c r="E67" s="110" t="s">
        <v>424</v>
      </c>
      <c r="G67" s="107" t="s">
        <v>308</v>
      </c>
      <c r="H67" s="108" t="s">
        <v>427</v>
      </c>
      <c r="I67" s="109" t="s">
        <v>428</v>
      </c>
      <c r="J67" s="108" t="s">
        <v>423</v>
      </c>
      <c r="K67" s="110" t="s">
        <v>424</v>
      </c>
      <c r="L67" s="12"/>
      <c r="M67" s="107" t="s">
        <v>308</v>
      </c>
      <c r="N67" s="108" t="s">
        <v>427</v>
      </c>
      <c r="O67" s="109" t="s">
        <v>428</v>
      </c>
      <c r="P67" s="108" t="s">
        <v>423</v>
      </c>
      <c r="Q67" s="110" t="s">
        <v>424</v>
      </c>
      <c r="R67" s="12"/>
      <c r="S67" s="123"/>
      <c r="T67" s="124"/>
      <c r="U67" s="276"/>
      <c r="V67" s="124"/>
      <c r="W67" s="124"/>
      <c r="X67" s="100"/>
    </row>
    <row r="68" spans="1:24" ht="15" customHeight="1">
      <c r="A68" s="31" t="str">
        <f>Assumptions!$W$14</f>
        <v>Studio</v>
      </c>
      <c r="B68" s="76">
        <f>B$66*INDEX(Assumptions!$Y$14:$Y$17,MATCH(A68,Assumptions!$W$14:$W$17,0))</f>
        <v>0</v>
      </c>
      <c r="C68" s="32">
        <f>Assumptions!$R$28</f>
        <v>550</v>
      </c>
      <c r="D68" s="42">
        <f>Assumptions!$R29*(1+E$66)</f>
        <v>2.4</v>
      </c>
      <c r="E68" s="43">
        <f>12*B68*C68*D68</f>
        <v>0</v>
      </c>
      <c r="G68" s="31" t="str">
        <f>Assumptions!$W$14</f>
        <v>Studio</v>
      </c>
      <c r="H68" s="76">
        <f>H$66*INDEX(Assumptions!$Y$14:$Y$17,MATCH(G68,Assumptions!$W$14:$W$17,0))</f>
        <v>0</v>
      </c>
      <c r="I68" s="32">
        <f>Assumptions!$R$28</f>
        <v>550</v>
      </c>
      <c r="J68" s="42">
        <f>Assumptions!$R29*(1+K$66)</f>
        <v>2.4</v>
      </c>
      <c r="K68" s="43">
        <f>12*H68*I68*J68</f>
        <v>0</v>
      </c>
      <c r="L68" s="12"/>
      <c r="M68" s="31" t="str">
        <f>Assumptions!$W$14</f>
        <v>Studio</v>
      </c>
      <c r="N68" s="76">
        <f>N$66*INDEX(Assumptions!$Y$14:$Y$17,MATCH(M68,Assumptions!$W$14:$W$17,0))</f>
        <v>0</v>
      </c>
      <c r="O68" s="32">
        <f>Assumptions!$R$28</f>
        <v>550</v>
      </c>
      <c r="P68" s="42">
        <f>Assumptions!$R29*(1+Q$66)</f>
        <v>2.4</v>
      </c>
      <c r="Q68" s="43">
        <f>12*N68*O68*P68</f>
        <v>0</v>
      </c>
      <c r="R68" s="12"/>
      <c r="S68" s="307"/>
      <c r="T68" s="100"/>
      <c r="U68" s="308"/>
      <c r="V68" s="309"/>
      <c r="W68" s="125"/>
      <c r="X68" s="100"/>
    </row>
    <row r="69" spans="1:24" ht="15" customHeight="1">
      <c r="A69" s="31" t="str">
        <f>Assumptions!$W$15</f>
        <v>1BR</v>
      </c>
      <c r="B69" s="76">
        <f>B$66*INDEX(Assumptions!$Y$14:$Y$17,MATCH(A69,Assumptions!$W$14:$W$17,0))</f>
        <v>0</v>
      </c>
      <c r="C69" s="32">
        <f>Assumptions!$R$31</f>
        <v>800</v>
      </c>
      <c r="D69" s="42">
        <f>Assumptions!$R32*(1+E$66)</f>
        <v>2.0487500000000001</v>
      </c>
      <c r="E69" s="43">
        <f>12*B69*C69*D69</f>
        <v>0</v>
      </c>
      <c r="G69" s="31" t="str">
        <f>Assumptions!$W$15</f>
        <v>1BR</v>
      </c>
      <c r="H69" s="76">
        <f>H$66*INDEX(Assumptions!$Y$14:$Y$17,MATCH(G69,Assumptions!$W$14:$W$17,0))</f>
        <v>0</v>
      </c>
      <c r="I69" s="32">
        <f>Assumptions!$R$31</f>
        <v>800</v>
      </c>
      <c r="J69" s="42">
        <f>Assumptions!$R32*(1+K$66)</f>
        <v>2.0487500000000001</v>
      </c>
      <c r="K69" s="43">
        <f>12*H69*I69*J69</f>
        <v>0</v>
      </c>
      <c r="L69" s="12"/>
      <c r="M69" s="31" t="str">
        <f>Assumptions!$W$15</f>
        <v>1BR</v>
      </c>
      <c r="N69" s="76">
        <f>N$66*INDEX(Assumptions!$Y$14:$Y$17,MATCH(M69,Assumptions!$W$14:$W$17,0))</f>
        <v>0</v>
      </c>
      <c r="O69" s="32">
        <f>Assumptions!$R$31</f>
        <v>800</v>
      </c>
      <c r="P69" s="42">
        <f>Assumptions!$R32*(1+Q$66)</f>
        <v>2.0487500000000001</v>
      </c>
      <c r="Q69" s="43">
        <f>12*N69*O69*P69</f>
        <v>0</v>
      </c>
      <c r="R69" s="12"/>
      <c r="S69" s="307"/>
      <c r="T69" s="100"/>
      <c r="U69" s="308"/>
      <c r="V69" s="309"/>
      <c r="W69" s="125"/>
      <c r="X69" s="100"/>
    </row>
    <row r="70" spans="1:24" ht="15" customHeight="1">
      <c r="A70" s="31" t="str">
        <f>Assumptions!$W$16</f>
        <v>2BR</v>
      </c>
      <c r="B70" s="76">
        <f>B$66*INDEX(Assumptions!$Y$14:$Y$17,MATCH(A70,Assumptions!$W$14:$W$17,0))</f>
        <v>0</v>
      </c>
      <c r="C70" s="378">
        <f>Assumptions!$R$34</f>
        <v>1200</v>
      </c>
      <c r="D70" s="379">
        <f>Assumptions!$R$36*(1+E$66)</f>
        <v>1.5083333333333333</v>
      </c>
      <c r="E70" s="380">
        <f>12*B70*C70*D70</f>
        <v>0</v>
      </c>
      <c r="G70" s="31" t="str">
        <f>Assumptions!$W$16</f>
        <v>2BR</v>
      </c>
      <c r="H70" s="76">
        <f>H$66*INDEX(Assumptions!$Y$14:$Y$17,MATCH(G70,Assumptions!$W$14:$W$17,0))</f>
        <v>0</v>
      </c>
      <c r="I70" s="378">
        <f>Assumptions!$R$34</f>
        <v>1200</v>
      </c>
      <c r="J70" s="379">
        <f>Assumptions!$R$36*(1+K$66)</f>
        <v>1.5083333333333333</v>
      </c>
      <c r="K70" s="380">
        <f>12*H70*I70*J70</f>
        <v>0</v>
      </c>
      <c r="L70" s="12"/>
      <c r="M70" s="31" t="str">
        <f>Assumptions!$W$16</f>
        <v>2BR</v>
      </c>
      <c r="N70" s="76">
        <f>N$66*INDEX(Assumptions!$Y$14:$Y$17,MATCH(M70,Assumptions!$W$14:$W$17,0))</f>
        <v>0</v>
      </c>
      <c r="O70" s="378">
        <f>Assumptions!$R$34</f>
        <v>1200</v>
      </c>
      <c r="P70" s="379">
        <f>Assumptions!$R$36*(1+Q$66)</f>
        <v>1.5083333333333333</v>
      </c>
      <c r="Q70" s="380">
        <f>12*N70*O70*P70</f>
        <v>0</v>
      </c>
      <c r="R70" s="12"/>
      <c r="S70" s="307"/>
      <c r="T70" s="100"/>
      <c r="U70" s="308"/>
      <c r="V70" s="309"/>
      <c r="W70" s="125"/>
      <c r="X70" s="100"/>
    </row>
    <row r="71" spans="1:24" ht="15" customHeight="1" thickBot="1">
      <c r="A71" s="31" t="str">
        <f>Assumptions!$W$17</f>
        <v>3BR</v>
      </c>
      <c r="B71" s="76">
        <f>B$66*INDEX(Assumptions!$Y$14:$Y$17,MATCH(A71,Assumptions!$W$14:$W$17,0))</f>
        <v>0</v>
      </c>
      <c r="C71" s="32">
        <f>Assumptions!$R$38</f>
        <v>2000</v>
      </c>
      <c r="D71" s="379">
        <f>Assumptions!$R$39*(1+E$66)</f>
        <v>1.5145</v>
      </c>
      <c r="E71" s="380">
        <f>12*B71*C71*D71</f>
        <v>0</v>
      </c>
      <c r="G71" s="31" t="str">
        <f>Assumptions!$W$17</f>
        <v>3BR</v>
      </c>
      <c r="H71" s="76">
        <f>H$66*INDEX(Assumptions!$Y$14:$Y$17,MATCH(G71,Assumptions!$W$14:$W$17,0))</f>
        <v>0</v>
      </c>
      <c r="I71" s="32">
        <f>Assumptions!$R$38</f>
        <v>2000</v>
      </c>
      <c r="J71" s="379">
        <f>Assumptions!$R$39*(1+K$66)</f>
        <v>1.5145</v>
      </c>
      <c r="K71" s="380">
        <f>12*H71*I71*J71</f>
        <v>0</v>
      </c>
      <c r="L71" s="12"/>
      <c r="M71" s="31" t="str">
        <f>Assumptions!$W$17</f>
        <v>3BR</v>
      </c>
      <c r="N71" s="76">
        <f>N$66*INDEX(Assumptions!$Y$14:$Y$17,MATCH(M71,Assumptions!$W$14:$W$17,0))</f>
        <v>0</v>
      </c>
      <c r="O71" s="32">
        <f>Assumptions!$R$38</f>
        <v>2000</v>
      </c>
      <c r="P71" s="379">
        <f>Assumptions!$R$39*(1+Q$66)</f>
        <v>1.5145</v>
      </c>
      <c r="Q71" s="380">
        <f>12*N71*O71*P71</f>
        <v>0</v>
      </c>
      <c r="R71" s="12"/>
      <c r="S71" s="307"/>
      <c r="T71" s="100"/>
      <c r="U71" s="308"/>
      <c r="V71" s="309"/>
      <c r="W71" s="125"/>
      <c r="X71" s="100"/>
    </row>
    <row r="72" spans="1:24" ht="15" customHeight="1" thickTop="1" thickBot="1">
      <c r="A72" s="7" t="s">
        <v>425</v>
      </c>
      <c r="B72" s="8">
        <f>SUM(B68:B71)</f>
        <v>0</v>
      </c>
      <c r="C72" s="9">
        <f>SUMPRODUCT(B68:B71,C68:C71)</f>
        <v>0</v>
      </c>
      <c r="D72" s="61"/>
      <c r="E72" s="62">
        <f>SUM(E68:E71)</f>
        <v>0</v>
      </c>
      <c r="G72" s="7" t="s">
        <v>425</v>
      </c>
      <c r="H72" s="8">
        <f>SUM(H68:H71)</f>
        <v>0</v>
      </c>
      <c r="I72" s="9">
        <f>SUMPRODUCT(H68:H71,I68:I71)</f>
        <v>0</v>
      </c>
      <c r="J72" s="61"/>
      <c r="K72" s="62">
        <f>SUM(K68:K71)</f>
        <v>0</v>
      </c>
      <c r="L72" s="12"/>
      <c r="M72" s="7" t="s">
        <v>425</v>
      </c>
      <c r="N72" s="8">
        <f>SUM(N68:N71)</f>
        <v>0</v>
      </c>
      <c r="O72" s="9">
        <f>SUMPRODUCT(N68:N71,O68:O71)</f>
        <v>0</v>
      </c>
      <c r="P72" s="61"/>
      <c r="Q72" s="62">
        <f>SUM(Q68:Q71)</f>
        <v>0</v>
      </c>
      <c r="R72" s="12"/>
      <c r="S72" s="12"/>
      <c r="T72" s="310"/>
      <c r="U72" s="311"/>
      <c r="V72" s="312"/>
      <c r="W72" s="122"/>
      <c r="X72" s="100"/>
    </row>
    <row r="73" spans="1:24" ht="15" customHeight="1" thickTop="1" thickBot="1">
      <c r="A73" s="10" t="s">
        <v>426</v>
      </c>
      <c r="B73" s="60"/>
      <c r="C73" s="11">
        <f>IFERROR(C72/B72,0)</f>
        <v>0</v>
      </c>
      <c r="D73" s="63">
        <f>IFERROR((E72/12)/C72,0)</f>
        <v>0</v>
      </c>
      <c r="E73" s="64"/>
      <c r="G73" s="10" t="s">
        <v>426</v>
      </c>
      <c r="H73" s="60"/>
      <c r="I73" s="11">
        <f>IFERROR(I72/H72,0)</f>
        <v>0</v>
      </c>
      <c r="J73" s="63">
        <f>IFERROR((K72/12)/I72,0)</f>
        <v>0</v>
      </c>
      <c r="K73" s="64"/>
      <c r="L73" s="12"/>
      <c r="M73" s="10" t="s">
        <v>426</v>
      </c>
      <c r="N73" s="60"/>
      <c r="O73" s="11">
        <f>IFERROR(O72/N72,0)</f>
        <v>0</v>
      </c>
      <c r="P73" s="63">
        <f>IFERROR((Q72/12)/O72,0)</f>
        <v>0</v>
      </c>
      <c r="Q73" s="64"/>
      <c r="R73" s="12"/>
      <c r="S73" s="12"/>
      <c r="T73" s="313"/>
      <c r="U73" s="314"/>
      <c r="V73" s="315"/>
      <c r="W73" s="12"/>
      <c r="X73" s="100"/>
    </row>
    <row r="74" spans="1:24" ht="15" customHeight="1">
      <c r="A74" s="104" t="s">
        <v>225</v>
      </c>
      <c r="B74" s="105" t="str">
        <f>B$39</f>
        <v>-</v>
      </c>
      <c r="C74" s="166" t="s">
        <v>419</v>
      </c>
      <c r="D74" s="111">
        <f>D$39*E$74</f>
        <v>0</v>
      </c>
      <c r="E74" s="106">
        <f>Assumptions!$Y$28</f>
        <v>0.77</v>
      </c>
      <c r="G74" s="104" t="s">
        <v>225</v>
      </c>
      <c r="H74" s="105" t="str">
        <f>H$39</f>
        <v>-</v>
      </c>
      <c r="I74" s="166" t="s">
        <v>419</v>
      </c>
      <c r="J74" s="111">
        <f>J$39*K$74</f>
        <v>0</v>
      </c>
      <c r="K74" s="106">
        <f>Assumptions!$Y$28</f>
        <v>0.77</v>
      </c>
      <c r="L74" s="12"/>
      <c r="M74" s="104" t="s">
        <v>225</v>
      </c>
      <c r="N74" s="105" t="str">
        <f>N$39</f>
        <v>-</v>
      </c>
      <c r="O74" s="166" t="s">
        <v>419</v>
      </c>
      <c r="P74" s="111">
        <f>P$39*Q$74</f>
        <v>0</v>
      </c>
      <c r="Q74" s="106">
        <f>Assumptions!$Y$28</f>
        <v>0.77</v>
      </c>
      <c r="R74" s="12"/>
      <c r="S74" s="123"/>
      <c r="T74" s="99"/>
      <c r="U74" s="135"/>
      <c r="V74" s="295"/>
      <c r="W74" s="55"/>
      <c r="X74" s="100"/>
    </row>
    <row r="75" spans="1:24" ht="15" customHeight="1">
      <c r="A75" s="104" t="s">
        <v>420</v>
      </c>
      <c r="B75" s="160">
        <v>0</v>
      </c>
      <c r="C75" s="113" t="str">
        <f>IF(C80&gt;D74,"# of Units Over Available Area","# of Units Within Available Area")</f>
        <v># of Units Within Available Area</v>
      </c>
      <c r="D75" s="158"/>
      <c r="E75" s="159"/>
      <c r="G75" s="104" t="s">
        <v>420</v>
      </c>
      <c r="H75" s="160">
        <v>0</v>
      </c>
      <c r="I75" s="113" t="str">
        <f>IF(I80&gt;J74,"# of Units Over Available Area","# of Units Within Available Area")</f>
        <v># of Units Within Available Area</v>
      </c>
      <c r="J75" s="158"/>
      <c r="K75" s="159"/>
      <c r="L75" s="12"/>
      <c r="M75" s="104" t="s">
        <v>420</v>
      </c>
      <c r="N75" s="160">
        <v>0</v>
      </c>
      <c r="O75" s="113" t="str">
        <f>IF(O80&gt;P74,"# of Units Over Available Area","# of Units Within Available Area")</f>
        <v># of Units Within Available Area</v>
      </c>
      <c r="P75" s="158"/>
      <c r="Q75" s="159"/>
      <c r="R75" s="12"/>
      <c r="S75" s="123"/>
      <c r="T75" s="296"/>
      <c r="U75" s="297"/>
      <c r="V75" s="112"/>
      <c r="W75" s="102"/>
      <c r="X75" s="100"/>
    </row>
    <row r="76" spans="1:24" ht="15" customHeight="1">
      <c r="A76" s="107" t="s">
        <v>308</v>
      </c>
      <c r="B76" s="108" t="s">
        <v>427</v>
      </c>
      <c r="C76" s="109" t="s">
        <v>428</v>
      </c>
      <c r="D76" s="108" t="s">
        <v>74</v>
      </c>
      <c r="E76" s="110" t="s">
        <v>429</v>
      </c>
      <c r="G76" s="107" t="s">
        <v>308</v>
      </c>
      <c r="H76" s="108" t="s">
        <v>427</v>
      </c>
      <c r="I76" s="109" t="s">
        <v>428</v>
      </c>
      <c r="J76" s="108" t="s">
        <v>74</v>
      </c>
      <c r="K76" s="110" t="s">
        <v>429</v>
      </c>
      <c r="L76" s="12"/>
      <c r="M76" s="107" t="s">
        <v>308</v>
      </c>
      <c r="N76" s="108" t="s">
        <v>427</v>
      </c>
      <c r="O76" s="109" t="s">
        <v>428</v>
      </c>
      <c r="P76" s="108" t="s">
        <v>74</v>
      </c>
      <c r="Q76" s="110" t="s">
        <v>429</v>
      </c>
      <c r="R76" s="12"/>
      <c r="S76" s="123"/>
      <c r="T76" s="124"/>
      <c r="U76" s="276"/>
      <c r="V76" s="124"/>
      <c r="W76" s="124"/>
      <c r="X76" s="100"/>
    </row>
    <row r="77" spans="1:24" ht="15" customHeight="1">
      <c r="A77" s="31" t="str">
        <f>Assumptions!$W$19</f>
        <v>1BR</v>
      </c>
      <c r="B77" s="76">
        <f>B$75*INDEX(Assumptions!$Y$19:$Y$21,MATCH(A77,Assumptions!$W$19:$W$21,0))</f>
        <v>0</v>
      </c>
      <c r="C77" s="32">
        <f>Assumptions!$S$18</f>
        <v>1000</v>
      </c>
      <c r="D77" s="379">
        <f>Assumptions!$S$32</f>
        <v>268</v>
      </c>
      <c r="E77" s="380">
        <f>B77*C77*D77</f>
        <v>0</v>
      </c>
      <c r="G77" s="31" t="str">
        <f>Assumptions!$W$19</f>
        <v>1BR</v>
      </c>
      <c r="H77" s="76">
        <f>H$75*INDEX(Assumptions!$Y$19:$Y$21,MATCH(G77,Assumptions!$W$19:$W$21,0))</f>
        <v>0</v>
      </c>
      <c r="I77" s="32">
        <f>Assumptions!$S$18</f>
        <v>1000</v>
      </c>
      <c r="J77" s="379">
        <f>Assumptions!$S$32</f>
        <v>268</v>
      </c>
      <c r="K77" s="380">
        <f>H77*I77*J77</f>
        <v>0</v>
      </c>
      <c r="L77" s="12"/>
      <c r="M77" s="31" t="str">
        <f>Assumptions!$W$19</f>
        <v>1BR</v>
      </c>
      <c r="N77" s="76">
        <f>N$75*INDEX(Assumptions!$Y$19:$Y$21,MATCH(M77,Assumptions!$W$19:$W$21,0))</f>
        <v>0</v>
      </c>
      <c r="O77" s="32">
        <f>Assumptions!$S$18</f>
        <v>1000</v>
      </c>
      <c r="P77" s="379">
        <f>Assumptions!$S$32</f>
        <v>268</v>
      </c>
      <c r="Q77" s="380">
        <f>N77*O77*P77</f>
        <v>0</v>
      </c>
      <c r="R77" s="12"/>
      <c r="S77" s="307"/>
      <c r="T77" s="100"/>
      <c r="U77" s="308"/>
      <c r="V77" s="309"/>
      <c r="W77" s="125"/>
      <c r="X77" s="100"/>
    </row>
    <row r="78" spans="1:24" ht="15" customHeight="1">
      <c r="A78" s="31" t="str">
        <f>Assumptions!$W$20</f>
        <v>2BR</v>
      </c>
      <c r="B78" s="76">
        <f>B$75*INDEX(Assumptions!$Y$19:$Y$21,MATCH(A78,Assumptions!$W$19:$W$21,0))</f>
        <v>0</v>
      </c>
      <c r="C78" s="32">
        <f>Assumptions!$S$21</f>
        <v>1500</v>
      </c>
      <c r="D78" s="379">
        <f>Assumptions!$S$36</f>
        <v>216</v>
      </c>
      <c r="E78" s="380">
        <f>B78*C78*D78</f>
        <v>0</v>
      </c>
      <c r="G78" s="31" t="str">
        <f>Assumptions!$W$20</f>
        <v>2BR</v>
      </c>
      <c r="H78" s="76">
        <f>H$75*INDEX(Assumptions!$Y$19:$Y$21,MATCH(G78,Assumptions!$W$19:$W$21,0))</f>
        <v>0</v>
      </c>
      <c r="I78" s="32">
        <f>Assumptions!$S$21</f>
        <v>1500</v>
      </c>
      <c r="J78" s="379">
        <f>Assumptions!$S$36</f>
        <v>216</v>
      </c>
      <c r="K78" s="380">
        <f>H78*I78*J78</f>
        <v>0</v>
      </c>
      <c r="L78" s="12"/>
      <c r="M78" s="31" t="str">
        <f>Assumptions!$W$20</f>
        <v>2BR</v>
      </c>
      <c r="N78" s="76">
        <f>N$75*INDEX(Assumptions!$Y$19:$Y$21,MATCH(M78,Assumptions!$W$19:$W$21,0))</f>
        <v>0</v>
      </c>
      <c r="O78" s="32">
        <f>Assumptions!$S$21</f>
        <v>1500</v>
      </c>
      <c r="P78" s="379">
        <f>Assumptions!$S$36</f>
        <v>216</v>
      </c>
      <c r="Q78" s="380">
        <f>N78*O78*P78</f>
        <v>0</v>
      </c>
      <c r="R78" s="12"/>
      <c r="S78" s="307"/>
      <c r="T78" s="100"/>
      <c r="U78" s="308"/>
      <c r="V78" s="309"/>
      <c r="W78" s="125"/>
      <c r="X78" s="100"/>
    </row>
    <row r="79" spans="1:24" ht="15" customHeight="1" thickBot="1">
      <c r="A79" s="31" t="str">
        <f>Assumptions!$W$21</f>
        <v>3BR</v>
      </c>
      <c r="B79" s="76">
        <f>B$75*INDEX(Assumptions!$Y$19:$Y$21,MATCH(A79,Assumptions!$W$19:$W$21,0))</f>
        <v>0</v>
      </c>
      <c r="C79" s="378">
        <f>Assumptions!$S$24</f>
        <v>2300</v>
      </c>
      <c r="D79" s="379">
        <f>Assumptions!$S$39</f>
        <v>174.34782608695653</v>
      </c>
      <c r="E79" s="380">
        <f>B79*C79*D79</f>
        <v>0</v>
      </c>
      <c r="G79" s="31" t="str">
        <f>Assumptions!$W$21</f>
        <v>3BR</v>
      </c>
      <c r="H79" s="76">
        <f>H$75*INDEX(Assumptions!$Y$19:$Y$21,MATCH(G79,Assumptions!$W$19:$W$21,0))</f>
        <v>0</v>
      </c>
      <c r="I79" s="378">
        <f>Assumptions!$S$24</f>
        <v>2300</v>
      </c>
      <c r="J79" s="379">
        <f>Assumptions!$S$39</f>
        <v>174.34782608695653</v>
      </c>
      <c r="K79" s="380">
        <f>H79*I79*J79</f>
        <v>0</v>
      </c>
      <c r="L79" s="12"/>
      <c r="M79" s="31" t="str">
        <f>Assumptions!$W$21</f>
        <v>3BR</v>
      </c>
      <c r="N79" s="76">
        <f>N$75*INDEX(Assumptions!$Y$19:$Y$21,MATCH(M79,Assumptions!$W$19:$W$21,0))</f>
        <v>0</v>
      </c>
      <c r="O79" s="378">
        <f>Assumptions!$S$24</f>
        <v>2300</v>
      </c>
      <c r="P79" s="379">
        <f>Assumptions!$S$39</f>
        <v>174.34782608695653</v>
      </c>
      <c r="Q79" s="380">
        <f>N79*O79*P79</f>
        <v>0</v>
      </c>
      <c r="R79" s="12"/>
      <c r="S79" s="307"/>
      <c r="T79" s="100"/>
      <c r="U79" s="308"/>
      <c r="V79" s="309"/>
      <c r="W79" s="125"/>
      <c r="X79" s="100"/>
    </row>
    <row r="80" spans="1:24" ht="15" customHeight="1" thickTop="1" thickBot="1">
      <c r="A80" s="7" t="s">
        <v>425</v>
      </c>
      <c r="B80" s="8">
        <f>SUM(B77:B79)</f>
        <v>0</v>
      </c>
      <c r="C80" s="9">
        <f>SUMPRODUCT(B77:B79,C77:C79)</f>
        <v>0</v>
      </c>
      <c r="D80" s="61"/>
      <c r="E80" s="62">
        <f>SUM(E77:E79)</f>
        <v>0</v>
      </c>
      <c r="G80" s="7" t="s">
        <v>425</v>
      </c>
      <c r="H80" s="8">
        <f>SUM(H77:H79)</f>
        <v>0</v>
      </c>
      <c r="I80" s="9">
        <f>SUMPRODUCT(H77:H79,I77:I79)</f>
        <v>0</v>
      </c>
      <c r="J80" s="61"/>
      <c r="K80" s="62">
        <f>SUM(K77:K79)</f>
        <v>0</v>
      </c>
      <c r="L80" s="12"/>
      <c r="M80" s="7" t="s">
        <v>425</v>
      </c>
      <c r="N80" s="8">
        <f>SUM(N77:N79)</f>
        <v>0</v>
      </c>
      <c r="O80" s="9">
        <f>SUMPRODUCT(N77:N79,O77:O79)</f>
        <v>0</v>
      </c>
      <c r="P80" s="61"/>
      <c r="Q80" s="62">
        <f>SUM(Q77:Q79)</f>
        <v>0</v>
      </c>
      <c r="R80" s="12"/>
      <c r="S80" s="12"/>
      <c r="T80" s="310"/>
      <c r="U80" s="311"/>
      <c r="V80" s="312"/>
      <c r="W80" s="122"/>
      <c r="X80" s="100"/>
    </row>
    <row r="81" spans="1:24" ht="15" customHeight="1" thickTop="1" thickBot="1">
      <c r="A81" s="10" t="s">
        <v>426</v>
      </c>
      <c r="B81" s="60"/>
      <c r="C81" s="11">
        <f>IFERROR(C80/B80,0)</f>
        <v>0</v>
      </c>
      <c r="D81" s="63">
        <f>IFERROR((E80/12)/C80,0)</f>
        <v>0</v>
      </c>
      <c r="E81" s="64"/>
      <c r="G81" s="10" t="s">
        <v>426</v>
      </c>
      <c r="H81" s="60"/>
      <c r="I81" s="11">
        <f>IFERROR(I80/H80,0)</f>
        <v>0</v>
      </c>
      <c r="J81" s="63">
        <f>IFERROR((K80/12)/I80,0)</f>
        <v>0</v>
      </c>
      <c r="K81" s="64"/>
      <c r="L81" s="12"/>
      <c r="M81" s="10" t="s">
        <v>426</v>
      </c>
      <c r="N81" s="60"/>
      <c r="O81" s="11">
        <f>IFERROR(O80/N80,0)</f>
        <v>0</v>
      </c>
      <c r="P81" s="63">
        <f>IFERROR((Q80/12)/O80,0)</f>
        <v>0</v>
      </c>
      <c r="Q81" s="64"/>
      <c r="R81" s="12"/>
      <c r="S81" s="12"/>
      <c r="T81" s="313"/>
      <c r="U81" s="314"/>
      <c r="V81" s="315"/>
      <c r="W81" s="12"/>
      <c r="X81" s="100"/>
    </row>
    <row r="82" spans="1:24" ht="15" customHeight="1">
      <c r="A82" s="104" t="s">
        <v>226</v>
      </c>
      <c r="B82" s="105" t="str">
        <f>B$38</f>
        <v>-</v>
      </c>
      <c r="C82" s="166" t="s">
        <v>419</v>
      </c>
      <c r="D82" s="111">
        <f>D$40*E$82</f>
        <v>0</v>
      </c>
      <c r="E82" s="106">
        <f>Assumptions!$Y$29</f>
        <v>0.8</v>
      </c>
      <c r="G82" s="104" t="s">
        <v>226</v>
      </c>
      <c r="H82" s="105" t="str">
        <f>H$38</f>
        <v>-</v>
      </c>
      <c r="I82" s="166" t="s">
        <v>419</v>
      </c>
      <c r="J82" s="111">
        <f>J$40*K$82</f>
        <v>0</v>
      </c>
      <c r="K82" s="106">
        <f>Assumptions!$Y$29</f>
        <v>0.8</v>
      </c>
      <c r="M82" s="104" t="s">
        <v>226</v>
      </c>
      <c r="N82" s="105" t="str">
        <f>N$38</f>
        <v>-</v>
      </c>
      <c r="O82" s="166" t="s">
        <v>419</v>
      </c>
      <c r="P82" s="111">
        <f>P$40*Q$82</f>
        <v>0</v>
      </c>
      <c r="Q82" s="106">
        <f>Assumptions!$Y$29</f>
        <v>0.8</v>
      </c>
      <c r="S82" s="123"/>
      <c r="T82" s="99"/>
      <c r="U82" s="135"/>
      <c r="V82" s="295"/>
      <c r="W82" s="55"/>
    </row>
    <row r="83" spans="1:24" ht="15" customHeight="1">
      <c r="A83" s="104" t="s">
        <v>430</v>
      </c>
      <c r="B83" s="160">
        <v>0</v>
      </c>
      <c r="C83" s="113" t="str">
        <f>IF(C88&gt;D82,"# of Units Over Available Area","# of Units Within Available Area")</f>
        <v># of Units Within Available Area</v>
      </c>
      <c r="D83" s="112" t="s">
        <v>421</v>
      </c>
      <c r="E83" s="120">
        <v>0.3</v>
      </c>
      <c r="G83" s="104" t="s">
        <v>430</v>
      </c>
      <c r="H83" s="160">
        <v>0</v>
      </c>
      <c r="I83" s="113" t="str">
        <f>IF(I88&gt;J82,"# of Units Over Available Area","# of Units Within Available Area")</f>
        <v># of Units Within Available Area</v>
      </c>
      <c r="J83" s="112" t="s">
        <v>421</v>
      </c>
      <c r="K83" s="120">
        <v>0.3</v>
      </c>
      <c r="M83" s="104" t="s">
        <v>430</v>
      </c>
      <c r="N83" s="160">
        <v>0</v>
      </c>
      <c r="O83" s="113" t="str">
        <f>IF(O88&gt;P82,"# of Units Over Available Area","# of Units Within Available Area")</f>
        <v># of Units Within Available Area</v>
      </c>
      <c r="P83" s="112" t="s">
        <v>421</v>
      </c>
      <c r="Q83" s="120">
        <v>0.3</v>
      </c>
      <c r="S83" s="123"/>
      <c r="T83" s="296"/>
      <c r="U83" s="297"/>
      <c r="V83" s="112"/>
      <c r="W83" s="102"/>
    </row>
    <row r="84" spans="1:24" ht="15" customHeight="1">
      <c r="A84" s="107" t="s">
        <v>431</v>
      </c>
      <c r="B84" s="108" t="s">
        <v>427</v>
      </c>
      <c r="C84" s="109" t="s">
        <v>428</v>
      </c>
      <c r="D84" s="108" t="s">
        <v>432</v>
      </c>
      <c r="E84" s="110" t="s">
        <v>433</v>
      </c>
      <c r="G84" s="107" t="s">
        <v>431</v>
      </c>
      <c r="H84" s="108" t="s">
        <v>427</v>
      </c>
      <c r="I84" s="109" t="s">
        <v>428</v>
      </c>
      <c r="J84" s="108" t="s">
        <v>432</v>
      </c>
      <c r="K84" s="110" t="s">
        <v>433</v>
      </c>
      <c r="M84" s="107" t="s">
        <v>431</v>
      </c>
      <c r="N84" s="108" t="s">
        <v>427</v>
      </c>
      <c r="O84" s="109" t="s">
        <v>428</v>
      </c>
      <c r="P84" s="108" t="s">
        <v>432</v>
      </c>
      <c r="Q84" s="110" t="s">
        <v>433</v>
      </c>
      <c r="S84" s="123"/>
      <c r="T84" s="124"/>
      <c r="U84" s="276"/>
      <c r="V84" s="124"/>
      <c r="W84" s="124"/>
    </row>
    <row r="85" spans="1:24" ht="15" customHeight="1">
      <c r="A85" s="31" t="str">
        <f>Assumptions!$W$23</f>
        <v>Studio</v>
      </c>
      <c r="B85" s="76">
        <f>B$83*INDEX(Assumptions!$Y$23:$Y$25,MATCH(A85,Assumptions!$W$23:$W$25,0))</f>
        <v>0</v>
      </c>
      <c r="C85" s="32">
        <f>Assumptions!$R$42</f>
        <v>500</v>
      </c>
      <c r="D85" s="42">
        <f>Assumptions!$R$43*(1+$E$83)</f>
        <v>3.9000000000000004</v>
      </c>
      <c r="E85" s="43">
        <f>12*B85*C85*D85</f>
        <v>0</v>
      </c>
      <c r="G85" s="31" t="str">
        <f>Assumptions!$W$23</f>
        <v>Studio</v>
      </c>
      <c r="H85" s="76">
        <f>H$83*INDEX(Assumptions!$Y$23:$Y$25,MATCH(G85,Assumptions!$W$23:$W$25,0))</f>
        <v>0</v>
      </c>
      <c r="I85" s="32">
        <f>Assumptions!$R$42</f>
        <v>500</v>
      </c>
      <c r="J85" s="42">
        <f>Assumptions!$R$43*(1+$E$83)</f>
        <v>3.9000000000000004</v>
      </c>
      <c r="K85" s="43">
        <f>12*H85*I85*J85</f>
        <v>0</v>
      </c>
      <c r="M85" s="31" t="str">
        <f>Assumptions!$W$23</f>
        <v>Studio</v>
      </c>
      <c r="N85" s="76">
        <f>N$83*INDEX(Assumptions!$Y$23:$Y$25,MATCH(M85,Assumptions!$W$23:$W$25,0))</f>
        <v>0</v>
      </c>
      <c r="O85" s="32">
        <f>Assumptions!$R$42</f>
        <v>500</v>
      </c>
      <c r="P85" s="42">
        <f>Assumptions!$R$43*(1+$E$83)</f>
        <v>3.9000000000000004</v>
      </c>
      <c r="Q85" s="43">
        <f>12*N85*O85*P85</f>
        <v>0</v>
      </c>
      <c r="S85" s="307"/>
      <c r="T85" s="100"/>
      <c r="U85" s="308"/>
      <c r="V85" s="309"/>
      <c r="W85" s="125"/>
    </row>
    <row r="86" spans="1:24" ht="15" customHeight="1">
      <c r="A86" s="31" t="str">
        <f>Assumptions!$W$24</f>
        <v>1BR</v>
      </c>
      <c r="B86" s="76">
        <f>B$83*INDEX(Assumptions!$Y$23:$Y$25,MATCH(A86,Assumptions!$W$23:$W$25,0))</f>
        <v>0</v>
      </c>
      <c r="C86" s="378">
        <f>Assumptions!$R$45</f>
        <v>700</v>
      </c>
      <c r="D86" s="42">
        <f>Assumptions!$R$46*(1+$E$83)</f>
        <v>3.25</v>
      </c>
      <c r="E86" s="380">
        <f>12*B86*C86*D86</f>
        <v>0</v>
      </c>
      <c r="G86" s="31" t="str">
        <f>Assumptions!$W$24</f>
        <v>1BR</v>
      </c>
      <c r="H86" s="76">
        <f>H$83*INDEX(Assumptions!$Y$23:$Y$25,MATCH(G86,Assumptions!$W$23:$W$25,0))</f>
        <v>0</v>
      </c>
      <c r="I86" s="378">
        <f>Assumptions!$R$45</f>
        <v>700</v>
      </c>
      <c r="J86" s="42">
        <f>Assumptions!$R$46*(1+$E$83)</f>
        <v>3.25</v>
      </c>
      <c r="K86" s="380">
        <f>12*H86*I86*J86</f>
        <v>0</v>
      </c>
      <c r="M86" s="31" t="str">
        <f>Assumptions!$W$24</f>
        <v>1BR</v>
      </c>
      <c r="N86" s="76">
        <f>N$83*INDEX(Assumptions!$Y$23:$Y$25,MATCH(M86,Assumptions!$W$23:$W$25,0))</f>
        <v>0</v>
      </c>
      <c r="O86" s="378">
        <f>Assumptions!$R$45</f>
        <v>700</v>
      </c>
      <c r="P86" s="42">
        <f>Assumptions!$R$46*(1+$E$83)</f>
        <v>3.25</v>
      </c>
      <c r="Q86" s="380">
        <f>12*N86*O86*P86</f>
        <v>0</v>
      </c>
      <c r="S86" s="307"/>
      <c r="T86" s="100"/>
      <c r="U86" s="308"/>
      <c r="V86" s="309"/>
      <c r="W86" s="125"/>
    </row>
    <row r="87" spans="1:24" ht="15" customHeight="1" thickBot="1">
      <c r="A87" s="31" t="str">
        <f>Assumptions!$W$25</f>
        <v>2BR</v>
      </c>
      <c r="B87" s="76">
        <f>B$83*INDEX(Assumptions!$Y$23:$Y$25,MATCH(A87,Assumptions!$W$23:$W$25,0))</f>
        <v>0</v>
      </c>
      <c r="C87" s="32">
        <f>Assumptions!$R$48</f>
        <v>1100</v>
      </c>
      <c r="D87" s="42">
        <f>Assumptions!$R$49*(1+$E$83)</f>
        <v>2.9899999999999998</v>
      </c>
      <c r="E87" s="380">
        <f>12*B87*C87*D87</f>
        <v>0</v>
      </c>
      <c r="G87" s="31" t="str">
        <f>Assumptions!$W$25</f>
        <v>2BR</v>
      </c>
      <c r="H87" s="76">
        <f>H$83*INDEX(Assumptions!$Y$23:$Y$25,MATCH(G87,Assumptions!$W$23:$W$25,0))</f>
        <v>0</v>
      </c>
      <c r="I87" s="32">
        <f>Assumptions!$R$48</f>
        <v>1100</v>
      </c>
      <c r="J87" s="42">
        <f>Assumptions!$R$49*(1+$E$83)</f>
        <v>2.9899999999999998</v>
      </c>
      <c r="K87" s="380">
        <f>12*H87*I87*J87</f>
        <v>0</v>
      </c>
      <c r="M87" s="31" t="str">
        <f>Assumptions!$W$25</f>
        <v>2BR</v>
      </c>
      <c r="N87" s="76">
        <f>N$83*INDEX(Assumptions!$Y$23:$Y$25,MATCH(M87,Assumptions!$W$23:$W$25,0))</f>
        <v>0</v>
      </c>
      <c r="O87" s="32">
        <f>Assumptions!$R$48</f>
        <v>1100</v>
      </c>
      <c r="P87" s="42">
        <f>Assumptions!$R$49*(1+$E$83)</f>
        <v>2.9899999999999998</v>
      </c>
      <c r="Q87" s="380">
        <f>12*N87*O87*P87</f>
        <v>0</v>
      </c>
      <c r="S87" s="307"/>
      <c r="T87" s="100"/>
      <c r="U87" s="308"/>
      <c r="V87" s="309"/>
      <c r="W87" s="125"/>
    </row>
    <row r="88" spans="1:24" ht="15" customHeight="1" thickTop="1" thickBot="1">
      <c r="A88" s="7" t="s">
        <v>425</v>
      </c>
      <c r="B88" s="8">
        <f>SUM(B85:B87)</f>
        <v>0</v>
      </c>
      <c r="C88" s="9">
        <f>SUMPRODUCT(B85:B87,C85:C87)</f>
        <v>0</v>
      </c>
      <c r="D88" s="61"/>
      <c r="E88" s="62">
        <f>SUM(E85:E87)</f>
        <v>0</v>
      </c>
      <c r="G88" s="7" t="s">
        <v>425</v>
      </c>
      <c r="H88" s="8">
        <f>SUM(H85:H87)</f>
        <v>0</v>
      </c>
      <c r="I88" s="9">
        <f>SUMPRODUCT(H85:H87,I85:I87)</f>
        <v>0</v>
      </c>
      <c r="J88" s="61"/>
      <c r="K88" s="62">
        <f>SUM(K85:K87)</f>
        <v>0</v>
      </c>
      <c r="M88" s="7" t="s">
        <v>425</v>
      </c>
      <c r="N88" s="8">
        <f>SUM(N85:N87)</f>
        <v>0</v>
      </c>
      <c r="O88" s="9">
        <f>SUMPRODUCT(N85:N87,O85:O87)</f>
        <v>0</v>
      </c>
      <c r="P88" s="61"/>
      <c r="Q88" s="62">
        <f>SUM(Q85:Q87)</f>
        <v>0</v>
      </c>
      <c r="S88" s="12"/>
      <c r="T88" s="310"/>
      <c r="U88" s="311"/>
      <c r="V88" s="312"/>
      <c r="W88" s="122"/>
    </row>
    <row r="89" spans="1:24" ht="15" customHeight="1" thickTop="1" thickBot="1">
      <c r="A89" s="10" t="s">
        <v>426</v>
      </c>
      <c r="B89" s="60"/>
      <c r="C89" s="11">
        <f>IFERROR(C88/B88,0)</f>
        <v>0</v>
      </c>
      <c r="D89" s="63">
        <f>IFERROR((E88/12)/C88,0)</f>
        <v>0</v>
      </c>
      <c r="E89" s="64"/>
      <c r="G89" s="10" t="s">
        <v>426</v>
      </c>
      <c r="H89" s="60"/>
      <c r="I89" s="11">
        <f>IFERROR(I88/H88,0)</f>
        <v>0</v>
      </c>
      <c r="J89" s="63">
        <f>IFERROR((K88/12)/I88,0)</f>
        <v>0</v>
      </c>
      <c r="K89" s="64"/>
      <c r="M89" s="10" t="s">
        <v>426</v>
      </c>
      <c r="N89" s="60"/>
      <c r="O89" s="11">
        <f>IFERROR(O88/N88,0)</f>
        <v>0</v>
      </c>
      <c r="P89" s="63">
        <f>IFERROR((Q88/12)/O88,0)</f>
        <v>0</v>
      </c>
      <c r="Q89" s="64"/>
      <c r="S89" s="12"/>
      <c r="T89" s="313"/>
      <c r="U89" s="314"/>
      <c r="V89" s="315"/>
      <c r="W89" s="12"/>
    </row>
    <row r="90" spans="1:24" ht="15" customHeight="1">
      <c r="A90" s="104" t="s">
        <v>434</v>
      </c>
      <c r="B90" s="116" t="str">
        <f>B$41</f>
        <v>-</v>
      </c>
      <c r="C90" s="114"/>
      <c r="D90" s="115"/>
      <c r="E90" s="121"/>
      <c r="G90" s="104" t="s">
        <v>434</v>
      </c>
      <c r="H90" s="116" t="str">
        <f>H$41</f>
        <v>-</v>
      </c>
      <c r="I90" s="114"/>
      <c r="J90" s="115"/>
      <c r="K90" s="121"/>
      <c r="L90" s="126"/>
      <c r="M90" s="104" t="s">
        <v>434</v>
      </c>
      <c r="N90" s="116" t="str">
        <f>N$41</f>
        <v>-</v>
      </c>
      <c r="O90" s="114"/>
      <c r="P90" s="115"/>
      <c r="Q90" s="121"/>
      <c r="R90" s="126"/>
      <c r="S90" s="123"/>
      <c r="T90" s="299"/>
      <c r="U90" s="300"/>
      <c r="V90" s="316"/>
      <c r="W90" s="126"/>
    </row>
    <row r="91" spans="1:24" ht="15" customHeight="1">
      <c r="A91" s="107" t="s">
        <v>33</v>
      </c>
      <c r="B91" s="108" t="s">
        <v>435</v>
      </c>
      <c r="C91" s="109" t="s">
        <v>436</v>
      </c>
      <c r="D91" s="108" t="s">
        <v>437</v>
      </c>
      <c r="E91" s="110" t="s">
        <v>433</v>
      </c>
      <c r="G91" s="107" t="s">
        <v>33</v>
      </c>
      <c r="H91" s="108" t="s">
        <v>435</v>
      </c>
      <c r="I91" s="109" t="s">
        <v>436</v>
      </c>
      <c r="J91" s="108" t="s">
        <v>437</v>
      </c>
      <c r="K91" s="110" t="s">
        <v>433</v>
      </c>
      <c r="L91" s="124"/>
      <c r="M91" s="107" t="s">
        <v>33</v>
      </c>
      <c r="N91" s="108" t="s">
        <v>435</v>
      </c>
      <c r="O91" s="109" t="s">
        <v>436</v>
      </c>
      <c r="P91" s="108" t="s">
        <v>437</v>
      </c>
      <c r="Q91" s="110" t="s">
        <v>433</v>
      </c>
      <c r="R91" s="124"/>
      <c r="S91" s="123"/>
      <c r="T91" s="124"/>
      <c r="U91" s="276"/>
      <c r="V91" s="124"/>
      <c r="W91" s="124"/>
    </row>
    <row r="92" spans="1:24" ht="15" customHeight="1">
      <c r="A92" s="56" t="s">
        <v>40</v>
      </c>
      <c r="B92" s="41">
        <f>IFERROR(IF(B$90=A92,D$41,0),0)</f>
        <v>0</v>
      </c>
      <c r="C92" s="57">
        <f>IFERROR(B92*INDEX(Assumptions!$Y$30:$Y$31,MATCH(A92,Assumptions!$W$30:$W$31,0)),0)</f>
        <v>0</v>
      </c>
      <c r="D92" s="58">
        <f>IF(C92&gt;0,INDEX(Assumptions!$R$5:$R$6,MATCH(A92,Assumptions!$Q$5:$Q$6,0)),0)</f>
        <v>0</v>
      </c>
      <c r="E92" s="59">
        <f>C92*D92</f>
        <v>0</v>
      </c>
      <c r="G92" s="56" t="s">
        <v>40</v>
      </c>
      <c r="H92" s="41">
        <f>IFERROR(IF(H$90=G92,J$41,0),0)</f>
        <v>0</v>
      </c>
      <c r="I92" s="57">
        <f>IFERROR(H92*INDEX(Assumptions!$Y$30:$Y$31,MATCH(G92,Assumptions!$W$30:$W$31,0)),0)</f>
        <v>0</v>
      </c>
      <c r="J92" s="58">
        <f>IF(I92&gt;0,INDEX(Assumptions!$R$5:$R$6,MATCH(G92,Assumptions!$Q$5:$Q$6,0)),0)</f>
        <v>0</v>
      </c>
      <c r="K92" s="59">
        <f>I92*J92</f>
        <v>0</v>
      </c>
      <c r="L92" s="127"/>
      <c r="M92" s="56" t="s">
        <v>40</v>
      </c>
      <c r="N92" s="41">
        <f>IFERROR(IF(N$90=M92,P$41,0),0)</f>
        <v>0</v>
      </c>
      <c r="O92" s="57">
        <f>IFERROR(N92*INDEX(Assumptions!$Y$30:$Y$31,MATCH(M92,Assumptions!$W$30:$W$31,0)),0)</f>
        <v>0</v>
      </c>
      <c r="P92" s="58">
        <f>IF(O92&gt;0,INDEX(Assumptions!$R$5:$R$6,MATCH(M92,Assumptions!$Q$5:$Q$6,0)),0)</f>
        <v>0</v>
      </c>
      <c r="Q92" s="59">
        <f>O92*P92</f>
        <v>0</v>
      </c>
      <c r="R92" s="127"/>
      <c r="S92" s="317"/>
      <c r="T92" s="100"/>
      <c r="U92" s="318"/>
      <c r="V92" s="319"/>
      <c r="W92" s="127"/>
    </row>
    <row r="93" spans="1:24" ht="15" customHeight="1" thickBot="1">
      <c r="A93" s="1006" t="s">
        <v>425</v>
      </c>
      <c r="B93" s="40">
        <f>SUM(B92:B92)</f>
        <v>0</v>
      </c>
      <c r="C93" s="40">
        <f>SUM(C92:C92)</f>
        <v>0</v>
      </c>
      <c r="D93" s="38">
        <f>IF(B93=0,0,E93/B93)</f>
        <v>0</v>
      </c>
      <c r="E93" s="39">
        <f>SUM(E92:E92)</f>
        <v>0</v>
      </c>
      <c r="G93" s="1006" t="s">
        <v>425</v>
      </c>
      <c r="H93" s="40">
        <f>SUM(H92:H92)</f>
        <v>0</v>
      </c>
      <c r="I93" s="40">
        <f>SUM(I92:I92)</f>
        <v>0</v>
      </c>
      <c r="J93" s="38">
        <f>IF(H93=0,0,K93/H93)</f>
        <v>0</v>
      </c>
      <c r="K93" s="39">
        <f>SUM(K92:K92)</f>
        <v>0</v>
      </c>
      <c r="L93" s="127"/>
      <c r="M93" s="1006" t="s">
        <v>425</v>
      </c>
      <c r="N93" s="40">
        <f>SUM(N92:N92)</f>
        <v>0</v>
      </c>
      <c r="O93" s="40">
        <f>SUM(O92:O92)</f>
        <v>0</v>
      </c>
      <c r="P93" s="38">
        <f>IF(N93=0,0,Q93/N93)</f>
        <v>0</v>
      </c>
      <c r="Q93" s="39">
        <f>SUM(Q92:Q92)</f>
        <v>0</v>
      </c>
      <c r="R93" s="127"/>
      <c r="S93" s="12"/>
      <c r="T93" s="320"/>
      <c r="U93" s="320"/>
      <c r="V93" s="319"/>
      <c r="W93" s="127"/>
    </row>
    <row r="94" spans="1:24" ht="15" customHeight="1">
      <c r="A94" s="104" t="s">
        <v>438</v>
      </c>
      <c r="B94" s="116" t="str">
        <f>B$42</f>
        <v>Laboratory</v>
      </c>
      <c r="C94" s="114"/>
      <c r="D94" s="115"/>
      <c r="E94" s="121"/>
      <c r="G94" s="104" t="s">
        <v>438</v>
      </c>
      <c r="H94" s="116" t="str">
        <f>H$42</f>
        <v>-</v>
      </c>
      <c r="I94" s="114"/>
      <c r="J94" s="115"/>
      <c r="K94" s="121"/>
      <c r="L94" s="126"/>
      <c r="M94" s="104" t="s">
        <v>438</v>
      </c>
      <c r="N94" s="116" t="str">
        <f>N$42</f>
        <v>-</v>
      </c>
      <c r="O94" s="114"/>
      <c r="P94" s="115"/>
      <c r="Q94" s="121"/>
      <c r="R94" s="126"/>
      <c r="S94" s="123"/>
      <c r="T94" s="299"/>
      <c r="U94" s="300"/>
      <c r="V94" s="316"/>
      <c r="W94" s="126"/>
    </row>
    <row r="95" spans="1:24" ht="15" customHeight="1">
      <c r="A95" s="107" t="s">
        <v>33</v>
      </c>
      <c r="B95" s="108" t="s">
        <v>435</v>
      </c>
      <c r="C95" s="109" t="s">
        <v>436</v>
      </c>
      <c r="D95" s="108" t="s">
        <v>437</v>
      </c>
      <c r="E95" s="110" t="s">
        <v>433</v>
      </c>
      <c r="G95" s="107" t="s">
        <v>33</v>
      </c>
      <c r="H95" s="108" t="s">
        <v>435</v>
      </c>
      <c r="I95" s="109" t="s">
        <v>436</v>
      </c>
      <c r="J95" s="108" t="s">
        <v>437</v>
      </c>
      <c r="K95" s="110" t="s">
        <v>433</v>
      </c>
      <c r="L95" s="124"/>
      <c r="M95" s="107" t="s">
        <v>33</v>
      </c>
      <c r="N95" s="108" t="s">
        <v>435</v>
      </c>
      <c r="O95" s="109" t="s">
        <v>436</v>
      </c>
      <c r="P95" s="108" t="s">
        <v>437</v>
      </c>
      <c r="Q95" s="110" t="s">
        <v>433</v>
      </c>
      <c r="R95" s="124"/>
      <c r="S95" s="123"/>
      <c r="T95" s="124"/>
      <c r="U95" s="276"/>
      <c r="V95" s="124"/>
      <c r="W95" s="124"/>
    </row>
    <row r="96" spans="1:24" ht="15" customHeight="1" thickBot="1">
      <c r="A96" s="381" t="s">
        <v>44</v>
      </c>
      <c r="B96" s="382">
        <f>IFERROR(IF(B$94=A96,D$42,0),0)</f>
        <v>301765.3</v>
      </c>
      <c r="C96" s="383">
        <f>IFERROR(B96*INDEX(Assumptions!$Y$30:$Y$31,MATCH(A96,Assumptions!$W$30:$W$31,0)),0)</f>
        <v>226323.97499999998</v>
      </c>
      <c r="D96" s="384">
        <f>IF(C96&gt;0,INDEX(Assumptions!$R$5:$R$6,MATCH(A96,Assumptions!$Q$5:$Q$6,0)),0)</f>
        <v>45</v>
      </c>
      <c r="E96" s="59">
        <f>C96*D96</f>
        <v>10184578.874999998</v>
      </c>
      <c r="G96" s="381" t="s">
        <v>44</v>
      </c>
      <c r="H96" s="382">
        <f>IFERROR(IF(H$94=G96,J$42,0),0)</f>
        <v>0</v>
      </c>
      <c r="I96" s="383">
        <f>IFERROR(H96*INDEX(Assumptions!$Y$30:$Y$31,MATCH(G96,Assumptions!$W$30:$W$31,0)),0)</f>
        <v>0</v>
      </c>
      <c r="J96" s="384">
        <f>IF(I96&gt;0,INDEX(Assumptions!$R$5:$R$6,MATCH(G96,Assumptions!$Q$5:$Q$6,0)),0)</f>
        <v>0</v>
      </c>
      <c r="K96" s="59">
        <f>I96*J96</f>
        <v>0</v>
      </c>
      <c r="L96" s="127"/>
      <c r="M96" s="381" t="s">
        <v>44</v>
      </c>
      <c r="N96" s="382">
        <f>IFERROR(IF(N$94=M96,P$42,0),0)</f>
        <v>0</v>
      </c>
      <c r="O96" s="383">
        <f>IFERROR(N96*INDEX(Assumptions!$Y$30:$Y$31,MATCH(M96,Assumptions!$W$30:$W$31,0)),0)</f>
        <v>0</v>
      </c>
      <c r="P96" s="384">
        <f>IF(O96&gt;0,INDEX(Assumptions!$R$5:$R$6,MATCH(M96,Assumptions!$Q$5:$Q$6,0)),0)</f>
        <v>0</v>
      </c>
      <c r="Q96" s="59">
        <f>O96*P96</f>
        <v>0</v>
      </c>
      <c r="R96" s="127"/>
      <c r="S96" s="317"/>
      <c r="T96" s="100"/>
      <c r="U96" s="318"/>
      <c r="V96" s="319"/>
      <c r="W96" s="127"/>
    </row>
    <row r="97" spans="1:23" ht="15" customHeight="1" thickTop="1" thickBot="1">
      <c r="A97" s="1006" t="s">
        <v>425</v>
      </c>
      <c r="B97" s="40">
        <f>SUM(B96:B96)</f>
        <v>301765.3</v>
      </c>
      <c r="C97" s="40">
        <f>SUM(C96:C96)</f>
        <v>226323.97499999998</v>
      </c>
      <c r="D97" s="38">
        <f>IF(B97=0,0,E97/B97)</f>
        <v>33.749999999999993</v>
      </c>
      <c r="E97" s="39">
        <f>SUM(E96:E96)</f>
        <v>10184578.874999998</v>
      </c>
      <c r="G97" s="1006" t="s">
        <v>425</v>
      </c>
      <c r="H97" s="40">
        <f>SUM(H96:H96)</f>
        <v>0</v>
      </c>
      <c r="I97" s="40">
        <f>SUM(I96:I96)</f>
        <v>0</v>
      </c>
      <c r="J97" s="38">
        <f>IF(H97=0,0,K97/H97)</f>
        <v>0</v>
      </c>
      <c r="K97" s="39">
        <f>SUM(K96:K96)</f>
        <v>0</v>
      </c>
      <c r="L97" s="127"/>
      <c r="M97" s="1006" t="s">
        <v>425</v>
      </c>
      <c r="N97" s="40">
        <f>SUM(N96:N96)</f>
        <v>0</v>
      </c>
      <c r="O97" s="40">
        <f>SUM(O96:O96)</f>
        <v>0</v>
      </c>
      <c r="P97" s="38">
        <f>IF(N97=0,0,Q97/N97)</f>
        <v>0</v>
      </c>
      <c r="Q97" s="39">
        <f>SUM(Q96:Q96)</f>
        <v>0</v>
      </c>
      <c r="R97" s="127"/>
      <c r="S97" s="12"/>
      <c r="T97" s="320"/>
      <c r="U97" s="320"/>
      <c r="V97" s="319"/>
      <c r="W97" s="127"/>
    </row>
    <row r="98" spans="1:23" ht="15" customHeight="1">
      <c r="A98" s="104" t="s">
        <v>439</v>
      </c>
      <c r="B98" s="116" t="str">
        <f>B$43</f>
        <v>-</v>
      </c>
      <c r="C98" s="114"/>
      <c r="D98" s="115"/>
      <c r="E98" s="121"/>
      <c r="G98" s="104" t="s">
        <v>439</v>
      </c>
      <c r="H98" s="116" t="str">
        <f>H$43</f>
        <v>-</v>
      </c>
      <c r="I98" s="114"/>
      <c r="J98" s="115"/>
      <c r="K98" s="121"/>
      <c r="L98" s="126"/>
      <c r="M98" s="104" t="s">
        <v>439</v>
      </c>
      <c r="N98" s="116" t="str">
        <f>N$43</f>
        <v>-</v>
      </c>
      <c r="O98" s="114"/>
      <c r="P98" s="115"/>
      <c r="Q98" s="121"/>
      <c r="R98" s="126"/>
      <c r="S98" s="123"/>
      <c r="T98" s="299"/>
      <c r="U98" s="300"/>
      <c r="V98" s="316"/>
      <c r="W98" s="126"/>
    </row>
    <row r="99" spans="1:23" ht="15" customHeight="1">
      <c r="A99" s="107" t="s">
        <v>33</v>
      </c>
      <c r="B99" s="108" t="s">
        <v>435</v>
      </c>
      <c r="C99" s="109"/>
      <c r="D99" s="108" t="s">
        <v>74</v>
      </c>
      <c r="E99" s="110" t="s">
        <v>429</v>
      </c>
      <c r="G99" s="107" t="s">
        <v>33</v>
      </c>
      <c r="H99" s="108" t="s">
        <v>435</v>
      </c>
      <c r="I99" s="109"/>
      <c r="J99" s="108" t="s">
        <v>74</v>
      </c>
      <c r="K99" s="110" t="s">
        <v>429</v>
      </c>
      <c r="L99" s="124"/>
      <c r="M99" s="107" t="s">
        <v>33</v>
      </c>
      <c r="N99" s="108" t="s">
        <v>435</v>
      </c>
      <c r="O99" s="109"/>
      <c r="P99" s="108" t="s">
        <v>74</v>
      </c>
      <c r="Q99" s="110" t="s">
        <v>429</v>
      </c>
      <c r="R99" s="124"/>
      <c r="S99" s="123"/>
      <c r="T99" s="124"/>
      <c r="U99" s="276"/>
      <c r="V99" s="124"/>
      <c r="W99" s="124"/>
    </row>
    <row r="100" spans="1:23" ht="15" customHeight="1" thickBot="1">
      <c r="A100" s="381" t="s">
        <v>51</v>
      </c>
      <c r="B100" s="386">
        <f>IFERROR(IF(B$98=A100,D$43,0),0)</f>
        <v>0</v>
      </c>
      <c r="C100" s="383"/>
      <c r="D100" s="384">
        <f>Assumptions!$S$8</f>
        <v>500</v>
      </c>
      <c r="E100" s="385">
        <f>B100*D100</f>
        <v>0</v>
      </c>
      <c r="G100" s="381" t="s">
        <v>51</v>
      </c>
      <c r="H100" s="386">
        <f>IFERROR(IF(H$98=G100,J$43,0),0)</f>
        <v>0</v>
      </c>
      <c r="I100" s="383"/>
      <c r="J100" s="384">
        <f>Assumptions!$S$8</f>
        <v>500</v>
      </c>
      <c r="K100" s="385">
        <f>H100*J100</f>
        <v>0</v>
      </c>
      <c r="L100" s="127"/>
      <c r="M100" s="381" t="s">
        <v>51</v>
      </c>
      <c r="N100" s="386">
        <f>IFERROR(IF(N$98=M100,P$43,0),0)</f>
        <v>0</v>
      </c>
      <c r="O100" s="383"/>
      <c r="P100" s="384">
        <f>Assumptions!$S$8</f>
        <v>500</v>
      </c>
      <c r="Q100" s="385">
        <f>N100*P100</f>
        <v>0</v>
      </c>
      <c r="R100" s="127"/>
      <c r="S100" s="317"/>
      <c r="T100" s="100"/>
      <c r="U100" s="318"/>
      <c r="V100" s="319"/>
      <c r="W100" s="127"/>
    </row>
    <row r="101" spans="1:23" ht="15" customHeight="1" thickTop="1" thickBot="1">
      <c r="A101" s="1006" t="s">
        <v>425</v>
      </c>
      <c r="B101" s="40">
        <f>SUM(B100:B100)</f>
        <v>0</v>
      </c>
      <c r="C101" s="40"/>
      <c r="D101" s="38">
        <f>IF(B101=0,0,E101/B101)</f>
        <v>0</v>
      </c>
      <c r="E101" s="39">
        <f>SUM(E100:E100)</f>
        <v>0</v>
      </c>
      <c r="G101" s="1006" t="s">
        <v>425</v>
      </c>
      <c r="H101" s="40">
        <f>SUM(H100:H100)</f>
        <v>0</v>
      </c>
      <c r="I101" s="40"/>
      <c r="J101" s="38">
        <f>IF(H101=0,0,K101/H101)</f>
        <v>0</v>
      </c>
      <c r="K101" s="39">
        <f>SUM(K100:K100)</f>
        <v>0</v>
      </c>
      <c r="L101" s="127"/>
      <c r="M101" s="1006" t="s">
        <v>425</v>
      </c>
      <c r="N101" s="40">
        <f>SUM(N100:N100)</f>
        <v>0</v>
      </c>
      <c r="O101" s="40"/>
      <c r="P101" s="38">
        <f>IF(N101=0,0,Q101/N101)</f>
        <v>0</v>
      </c>
      <c r="Q101" s="39">
        <f>SUM(Q100:Q100)</f>
        <v>0</v>
      </c>
      <c r="R101" s="127"/>
      <c r="S101" s="12"/>
      <c r="T101" s="320"/>
      <c r="U101" s="320"/>
      <c r="V101" s="319"/>
      <c r="W101" s="127"/>
    </row>
    <row r="102" spans="1:23" ht="15" customHeight="1">
      <c r="A102" s="104" t="s">
        <v>440</v>
      </c>
      <c r="B102" s="116" t="str">
        <f>B$44</f>
        <v>-</v>
      </c>
      <c r="C102" s="114"/>
      <c r="D102" s="115"/>
      <c r="E102" s="121"/>
      <c r="G102" s="104" t="s">
        <v>440</v>
      </c>
      <c r="H102" s="116" t="str">
        <f>H$44</f>
        <v>-</v>
      </c>
      <c r="I102" s="114"/>
      <c r="J102" s="115"/>
      <c r="K102" s="121"/>
      <c r="L102" s="127"/>
      <c r="M102" s="104" t="s">
        <v>440</v>
      </c>
      <c r="N102" s="116" t="str">
        <f>N$44</f>
        <v>-</v>
      </c>
      <c r="O102" s="114"/>
      <c r="P102" s="115"/>
      <c r="Q102" s="121"/>
      <c r="R102" s="127"/>
      <c r="S102" s="123"/>
      <c r="T102" s="299"/>
      <c r="U102" s="300"/>
      <c r="V102" s="316"/>
      <c r="W102" s="126"/>
    </row>
    <row r="103" spans="1:23" ht="15" customHeight="1">
      <c r="A103" s="107" t="s">
        <v>33</v>
      </c>
      <c r="B103" s="108" t="s">
        <v>435</v>
      </c>
      <c r="C103" s="109" t="s">
        <v>441</v>
      </c>
      <c r="D103" s="108" t="s">
        <v>437</v>
      </c>
      <c r="E103" s="110" t="s">
        <v>433</v>
      </c>
      <c r="G103" s="107" t="s">
        <v>33</v>
      </c>
      <c r="H103" s="108" t="s">
        <v>435</v>
      </c>
      <c r="I103" s="109" t="s">
        <v>441</v>
      </c>
      <c r="J103" s="108" t="s">
        <v>437</v>
      </c>
      <c r="K103" s="110" t="s">
        <v>433</v>
      </c>
      <c r="L103" s="127"/>
      <c r="M103" s="107" t="s">
        <v>33</v>
      </c>
      <c r="N103" s="108" t="s">
        <v>435</v>
      </c>
      <c r="O103" s="109" t="s">
        <v>441</v>
      </c>
      <c r="P103" s="108" t="s">
        <v>437</v>
      </c>
      <c r="Q103" s="110" t="s">
        <v>433</v>
      </c>
      <c r="R103" s="127"/>
      <c r="S103" s="123"/>
      <c r="T103" s="124"/>
      <c r="U103" s="276"/>
      <c r="V103" s="124"/>
      <c r="W103" s="124"/>
    </row>
    <row r="104" spans="1:23" ht="15" customHeight="1" thickBot="1">
      <c r="A104" s="381" t="s">
        <v>48</v>
      </c>
      <c r="B104" s="386">
        <f>IFERROR(IF(B$102=A104,D$44,0),0)</f>
        <v>0</v>
      </c>
      <c r="C104" s="383">
        <f>IFERROR(B104*INDEX(Assumptions!$Y$32:$Y$32,MATCH(A104,Assumptions!$W$32:$W$32,0)),0)</f>
        <v>0</v>
      </c>
      <c r="D104" s="384">
        <f>IF(C104&gt;0,INDEX(Assumptions!$R$7:$R$7,MATCH(A104,Assumptions!$Q$7:$Q$7,0)),0)</f>
        <v>0</v>
      </c>
      <c r="E104" s="59">
        <f>C104*D104</f>
        <v>0</v>
      </c>
      <c r="G104" s="381" t="s">
        <v>48</v>
      </c>
      <c r="H104" s="386">
        <f>IFERROR(IF(H$102=G104,J$44,0),0)</f>
        <v>0</v>
      </c>
      <c r="I104" s="383">
        <f>IFERROR(H104*INDEX(Assumptions!$Y$32:$Y$32,MATCH(G104,Assumptions!$W$32:$W$32,0)),0)</f>
        <v>0</v>
      </c>
      <c r="J104" s="384">
        <f>IF(I104&gt;0,INDEX(Assumptions!$R$7:$R$7,MATCH(G104,Assumptions!$Q$7:$Q$7,0)),0)</f>
        <v>0</v>
      </c>
      <c r="K104" s="59">
        <f>I104*J104</f>
        <v>0</v>
      </c>
      <c r="L104" s="127"/>
      <c r="M104" s="381" t="s">
        <v>48</v>
      </c>
      <c r="N104" s="386">
        <f>IFERROR(IF(N$102=M104,P$44,0),0)</f>
        <v>0</v>
      </c>
      <c r="O104" s="383">
        <f>IFERROR(N104*INDEX(Assumptions!$Y$32:$Y$32,MATCH(M104,Assumptions!$W$32:$W$32,0)),0)</f>
        <v>0</v>
      </c>
      <c r="P104" s="384">
        <f>IF(O104&gt;0,INDEX(Assumptions!$R$7:$R$7,MATCH(M104,Assumptions!$Q$7:$Q$7,0)),0)</f>
        <v>0</v>
      </c>
      <c r="Q104" s="59">
        <f>O104*P104</f>
        <v>0</v>
      </c>
      <c r="R104" s="127"/>
      <c r="S104" s="317"/>
      <c r="T104" s="100"/>
      <c r="U104" s="318"/>
      <c r="V104" s="319"/>
      <c r="W104" s="127"/>
    </row>
    <row r="105" spans="1:23" ht="15" customHeight="1" thickTop="1" thickBot="1">
      <c r="A105" s="1006" t="s">
        <v>425</v>
      </c>
      <c r="B105" s="40">
        <f>SUM(B104)</f>
        <v>0</v>
      </c>
      <c r="C105" s="40">
        <f>SUM(C104)</f>
        <v>0</v>
      </c>
      <c r="D105" s="38">
        <f>IF(B105=0,0,E105/B105)</f>
        <v>0</v>
      </c>
      <c r="E105" s="39">
        <f>SUM(E104)</f>
        <v>0</v>
      </c>
      <c r="G105" s="1006" t="s">
        <v>425</v>
      </c>
      <c r="H105" s="40">
        <f>SUM(H104)</f>
        <v>0</v>
      </c>
      <c r="I105" s="40">
        <f>SUM(I104)</f>
        <v>0</v>
      </c>
      <c r="J105" s="38">
        <f>IF(H105=0,0,K105/H105)</f>
        <v>0</v>
      </c>
      <c r="K105" s="39">
        <f>SUM(K104)</f>
        <v>0</v>
      </c>
      <c r="L105" s="127"/>
      <c r="M105" s="1006" t="s">
        <v>425</v>
      </c>
      <c r="N105" s="40">
        <f>SUM(N104)</f>
        <v>0</v>
      </c>
      <c r="O105" s="40">
        <f>SUM(O104)</f>
        <v>0</v>
      </c>
      <c r="P105" s="38">
        <f>IF(N105=0,0,Q105/N105)</f>
        <v>0</v>
      </c>
      <c r="Q105" s="39">
        <f>SUM(Q104)</f>
        <v>0</v>
      </c>
      <c r="R105" s="127"/>
      <c r="S105" s="12"/>
      <c r="T105" s="320"/>
      <c r="U105" s="320"/>
      <c r="V105" s="319"/>
      <c r="W105" s="127"/>
    </row>
    <row r="106" spans="1:23" ht="15" customHeight="1">
      <c r="A106" s="1007" t="s">
        <v>418</v>
      </c>
      <c r="B106" s="1008" t="s">
        <v>435</v>
      </c>
      <c r="C106" s="1009" t="s">
        <v>442</v>
      </c>
      <c r="D106" s="1009" t="s">
        <v>443</v>
      </c>
      <c r="E106" s="1010" t="s">
        <v>433</v>
      </c>
      <c r="G106" s="1007" t="s">
        <v>418</v>
      </c>
      <c r="H106" s="1008" t="s">
        <v>435</v>
      </c>
      <c r="I106" s="1009" t="s">
        <v>442</v>
      </c>
      <c r="J106" s="1009" t="s">
        <v>443</v>
      </c>
      <c r="K106" s="1010" t="s">
        <v>433</v>
      </c>
      <c r="M106" s="1007" t="s">
        <v>418</v>
      </c>
      <c r="N106" s="1008" t="s">
        <v>435</v>
      </c>
      <c r="O106" s="1009" t="s">
        <v>442</v>
      </c>
      <c r="P106" s="1009" t="s">
        <v>443</v>
      </c>
      <c r="Q106" s="1010" t="s">
        <v>433</v>
      </c>
      <c r="S106" s="123"/>
      <c r="T106" s="124"/>
      <c r="U106" s="276"/>
      <c r="V106" s="276"/>
      <c r="W106" s="124"/>
    </row>
    <row r="107" spans="1:23" ht="15" customHeight="1" thickBot="1">
      <c r="A107" s="387"/>
      <c r="B107" s="388">
        <f>D45</f>
        <v>40318.699999999997</v>
      </c>
      <c r="C107" s="389">
        <f>IF(B107=0,0,IFERROR((B107/Assumptions!$Y$35)-1,0))</f>
        <v>133.39566666666667</v>
      </c>
      <c r="D107" s="390"/>
      <c r="E107" s="385"/>
      <c r="G107" s="387"/>
      <c r="H107" s="388">
        <f>J45</f>
        <v>0</v>
      </c>
      <c r="I107" s="389">
        <f>IF(H107=0,0,IFERROR((H107/Assumptions!$Y$35)-1,0))</f>
        <v>0</v>
      </c>
      <c r="J107" s="390"/>
      <c r="K107" s="385"/>
      <c r="M107" s="387"/>
      <c r="N107" s="388">
        <f>P45</f>
        <v>0</v>
      </c>
      <c r="O107" s="389">
        <f>IF(N107=0,0,IFERROR((N107/Assumptions!$Y$35)-1,0))</f>
        <v>0</v>
      </c>
      <c r="P107" s="390"/>
      <c r="Q107" s="385"/>
      <c r="T107" s="83"/>
      <c r="U107" s="168"/>
      <c r="W107" s="127"/>
    </row>
    <row r="108" spans="1:23" ht="15" customHeight="1" thickTop="1">
      <c r="A108" s="163" t="s">
        <v>61</v>
      </c>
      <c r="B108" s="128">
        <f>IF(B34="Parking Lot",B107*50%,B$107*B46)</f>
        <v>0</v>
      </c>
      <c r="C108" s="259">
        <f>IF(B108=0,0,IFERROR((B108/Assumptions!$Y$35)-1,0))</f>
        <v>0</v>
      </c>
      <c r="D108" s="36">
        <f>Assumptions!$Y36</f>
        <v>300</v>
      </c>
      <c r="E108" s="59">
        <f>IF(OR(D$37&gt;0,D$39&gt;0,D$40&gt;0,D$43&gt;0),0,IF(B$58&gt;0,0,IF(C108&lt;0,0,C108*D108*12)))</f>
        <v>0</v>
      </c>
      <c r="G108" s="163" t="s">
        <v>61</v>
      </c>
      <c r="H108" s="128">
        <f>IF(H34="Parking Lot",H107*50%,H$107*H46)</f>
        <v>0</v>
      </c>
      <c r="I108" s="259">
        <f>IF(H108=0,0,IFERROR((H108/Assumptions!$Y$35)-1,0))</f>
        <v>0</v>
      </c>
      <c r="J108" s="36">
        <f>Assumptions!$Y36</f>
        <v>300</v>
      </c>
      <c r="K108" s="59">
        <f>IF(OR(J$37&gt;0,J$39&gt;0,J$40&gt;0,J$43&gt;0),0,IF(H$58&gt;0,0,IF(I108&lt;0,0,I108*J108*12)))</f>
        <v>0</v>
      </c>
      <c r="M108" s="163" t="s">
        <v>61</v>
      </c>
      <c r="N108" s="128">
        <f>IF(N34="Parking Lot",N107*50%,N$107*N46)</f>
        <v>0</v>
      </c>
      <c r="O108" s="259">
        <f>IF(N108=0,0,IFERROR((N108/Assumptions!$Y$35)-1,0))</f>
        <v>0</v>
      </c>
      <c r="P108" s="36">
        <f>Assumptions!$Y36</f>
        <v>300</v>
      </c>
      <c r="Q108" s="59">
        <f>IF(OR(P$37&gt;0,P$39&gt;0,P$40&gt;0,P$43&gt;0),0,IF(N$58&gt;0,0,IF(O108&lt;0,0,O108*P108*12)))</f>
        <v>0</v>
      </c>
      <c r="S108" s="321"/>
      <c r="T108" s="83"/>
      <c r="U108" s="168"/>
      <c r="V108" s="286"/>
      <c r="W108" s="127"/>
    </row>
    <row r="109" spans="1:23" ht="15" customHeight="1">
      <c r="A109" s="391" t="s">
        <v>239</v>
      </c>
      <c r="B109" s="392">
        <f>B107-B108-B110</f>
        <v>40318.699999999997</v>
      </c>
      <c r="C109" s="393">
        <f>IF(B109=0,0,IFERROR((B109/Assumptions!$Y$35)-1,0))</f>
        <v>133.39566666666667</v>
      </c>
      <c r="D109" s="394">
        <f>Assumptions!$Y37</f>
        <v>250</v>
      </c>
      <c r="E109" s="59">
        <f>IF(OR(D$37&gt;0,D$39&gt;0,D$40&gt;0,D$43&gt;0),0,IF(B$58&gt;0,0,IF(C109&lt;0,0,C109*D109*12)))</f>
        <v>400187</v>
      </c>
      <c r="G109" s="391" t="s">
        <v>239</v>
      </c>
      <c r="H109" s="392">
        <f>H107-H108-H110</f>
        <v>0</v>
      </c>
      <c r="I109" s="393">
        <f>IF(H109=0,0,IFERROR((H109/Assumptions!$Y$35)-1,0))</f>
        <v>0</v>
      </c>
      <c r="J109" s="394">
        <f>Assumptions!$Y37</f>
        <v>250</v>
      </c>
      <c r="K109" s="59">
        <f>IF(OR(J$37&gt;0,J$39&gt;0,J$40&gt;0,J$43&gt;0),0,IF(H$58&gt;0,0,IF(I109&lt;0,0,I109*J109*12)))</f>
        <v>0</v>
      </c>
      <c r="M109" s="391" t="s">
        <v>239</v>
      </c>
      <c r="N109" s="392">
        <f>N107-N108-N110</f>
        <v>0</v>
      </c>
      <c r="O109" s="393">
        <f>IF(N109=0,0,IFERROR((N109/Assumptions!$Y$35)-1,0))</f>
        <v>0</v>
      </c>
      <c r="P109" s="394">
        <f>Assumptions!$Y37</f>
        <v>250</v>
      </c>
      <c r="Q109" s="59">
        <f>IF(OR(P$37&gt;0,P$39&gt;0,P$40&gt;0,P$43&gt;0),0,IF(N$58&gt;0,0,IF(O109&lt;0,0,O109*P109*12)))</f>
        <v>0</v>
      </c>
      <c r="S109" s="203"/>
      <c r="T109" s="83"/>
      <c r="U109" s="168"/>
      <c r="V109" s="286"/>
      <c r="W109" s="127"/>
    </row>
    <row r="110" spans="1:23" ht="15" customHeight="1" thickBot="1">
      <c r="A110" s="395" t="s">
        <v>122</v>
      </c>
      <c r="B110" s="396">
        <v>0</v>
      </c>
      <c r="C110" s="397">
        <f>IF(B110=0,0,IFERROR((B110/Assumptions!$Y$35)-1,0))</f>
        <v>0</v>
      </c>
      <c r="D110" s="398">
        <f>Assumptions!$Y38</f>
        <v>50</v>
      </c>
      <c r="E110" s="39">
        <f>IF(OR(D$37&gt;0,D$39&gt;0,D$40&gt;0,D$43&gt;0),0,IF(B$58&gt;0,0,IF(C110&lt;0,0,C110*D110*12)))</f>
        <v>0</v>
      </c>
      <c r="G110" s="395" t="s">
        <v>122</v>
      </c>
      <c r="H110" s="396">
        <v>0</v>
      </c>
      <c r="I110" s="397">
        <f>IF(H110=0,0,IFERROR((H110/Assumptions!$Y$35)-1,0))</f>
        <v>0</v>
      </c>
      <c r="J110" s="398">
        <f>Assumptions!$Y38</f>
        <v>50</v>
      </c>
      <c r="K110" s="39">
        <f>IF(OR(J$37&gt;0,J$39&gt;0,J$40&gt;0,J$43&gt;0),0,IF(H$58&gt;0,0,IF(I110&lt;0,0,I110*J110*12)))</f>
        <v>0</v>
      </c>
      <c r="M110" s="395" t="s">
        <v>122</v>
      </c>
      <c r="N110" s="396">
        <v>0</v>
      </c>
      <c r="O110" s="397">
        <f>IF(N110=0,0,IFERROR((N110/Assumptions!$Y$35)-1,0))</f>
        <v>0</v>
      </c>
      <c r="P110" s="398">
        <f>Assumptions!$Y38</f>
        <v>50</v>
      </c>
      <c r="Q110" s="39">
        <f>IF(OR(P$37&gt;0,P$39&gt;0,P$40&gt;0,P$43&gt;0),0,IF(N$58&gt;0,0,IF(O110&lt;0,0,O110*P110*12)))</f>
        <v>0</v>
      </c>
      <c r="S110" s="203"/>
      <c r="T110" s="322"/>
      <c r="U110" s="168"/>
      <c r="V110" s="286"/>
      <c r="W110" s="127"/>
    </row>
    <row r="111" spans="1:23" ht="15" customHeight="1" thickBot="1">
      <c r="A111" s="203"/>
      <c r="B111" s="83"/>
      <c r="C111" s="204"/>
      <c r="D111" s="202"/>
      <c r="E111" s="127"/>
      <c r="G111" s="203"/>
      <c r="H111" s="83"/>
      <c r="I111" s="204"/>
      <c r="J111" s="202"/>
      <c r="K111" s="127"/>
      <c r="M111" s="203"/>
      <c r="N111" s="83"/>
      <c r="O111" s="204"/>
      <c r="P111" s="202"/>
      <c r="Q111" s="127"/>
      <c r="S111" s="203"/>
      <c r="T111" s="83"/>
      <c r="U111" s="301"/>
      <c r="V111" s="286"/>
      <c r="W111" s="127"/>
    </row>
    <row r="112" spans="1:23" ht="15" customHeight="1" thickBot="1">
      <c r="A112" s="1011" t="s">
        <v>444</v>
      </c>
      <c r="B112" s="80"/>
      <c r="C112" s="77" t="str">
        <f>B34</f>
        <v>Laboratory 1</v>
      </c>
      <c r="D112" s="77"/>
      <c r="E112" s="1012"/>
      <c r="F112" s="12"/>
      <c r="G112" s="1011" t="s">
        <v>444</v>
      </c>
      <c r="H112" s="80"/>
      <c r="I112" s="77">
        <f>H34</f>
        <v>0</v>
      </c>
      <c r="J112" s="77"/>
      <c r="K112" s="1012"/>
      <c r="L112" s="12"/>
      <c r="M112" s="1011" t="s">
        <v>444</v>
      </c>
      <c r="N112" s="80"/>
      <c r="O112" s="77">
        <f>N34</f>
        <v>0</v>
      </c>
      <c r="P112" s="77"/>
      <c r="Q112" s="1012"/>
      <c r="R112" s="12"/>
      <c r="S112" s="274"/>
      <c r="T112" s="274"/>
      <c r="U112" s="129"/>
      <c r="V112" s="129"/>
      <c r="W112" s="274"/>
    </row>
    <row r="113" spans="1:23" ht="13.5" thickBot="1">
      <c r="A113" s="1013" t="s">
        <v>445</v>
      </c>
      <c r="B113" s="78" t="s">
        <v>446</v>
      </c>
      <c r="C113" s="78" t="s">
        <v>447</v>
      </c>
      <c r="D113" s="78" t="s">
        <v>448</v>
      </c>
      <c r="E113" s="1014" t="s">
        <v>449</v>
      </c>
      <c r="F113" s="12"/>
      <c r="G113" s="1013" t="s">
        <v>445</v>
      </c>
      <c r="H113" s="78" t="s">
        <v>446</v>
      </c>
      <c r="I113" s="78" t="s">
        <v>447</v>
      </c>
      <c r="J113" s="78" t="s">
        <v>448</v>
      </c>
      <c r="K113" s="1014" t="s">
        <v>449</v>
      </c>
      <c r="L113" s="12"/>
      <c r="M113" s="1013" t="s">
        <v>445</v>
      </c>
      <c r="N113" s="78" t="s">
        <v>446</v>
      </c>
      <c r="O113" s="78" t="s">
        <v>447</v>
      </c>
      <c r="P113" s="78" t="s">
        <v>448</v>
      </c>
      <c r="Q113" s="1014" t="s">
        <v>449</v>
      </c>
      <c r="R113" s="12"/>
      <c r="S113" s="123"/>
      <c r="T113" s="124"/>
      <c r="U113" s="124"/>
      <c r="V113" s="124"/>
      <c r="W113" s="124"/>
    </row>
    <row r="114" spans="1:23" ht="12.6">
      <c r="A114" s="33" t="s">
        <v>450</v>
      </c>
      <c r="B114" s="34"/>
      <c r="C114" s="35"/>
      <c r="D114" s="82"/>
      <c r="E114" s="13">
        <f>SUM(E55,E72,E88)</f>
        <v>0</v>
      </c>
      <c r="F114" s="12"/>
      <c r="G114" s="33" t="s">
        <v>450</v>
      </c>
      <c r="H114" s="34"/>
      <c r="I114" s="35"/>
      <c r="J114" s="82"/>
      <c r="K114" s="13">
        <f>SUM(K55,K72,K88)</f>
        <v>0</v>
      </c>
      <c r="L114" s="12"/>
      <c r="M114" s="33" t="s">
        <v>450</v>
      </c>
      <c r="N114" s="34"/>
      <c r="O114" s="35"/>
      <c r="P114" s="82"/>
      <c r="Q114" s="13">
        <f>SUM(Q55,Q72,Q88)</f>
        <v>0</v>
      </c>
      <c r="R114" s="12"/>
      <c r="S114" s="12"/>
      <c r="T114" s="286"/>
      <c r="U114" s="323"/>
      <c r="V114" s="324"/>
      <c r="W114" s="286"/>
    </row>
    <row r="115" spans="1:23" ht="12.6">
      <c r="A115" s="91" t="s">
        <v>451</v>
      </c>
      <c r="B115" s="34"/>
      <c r="C115" s="35"/>
      <c r="D115" s="399"/>
      <c r="E115" s="92">
        <f>SUM(E93,E97)</f>
        <v>10184578.874999998</v>
      </c>
      <c r="F115" s="12"/>
      <c r="G115" s="91" t="s">
        <v>451</v>
      </c>
      <c r="H115" s="34"/>
      <c r="I115" s="35"/>
      <c r="J115" s="399"/>
      <c r="K115" s="92">
        <f>SUM(K93,K97)</f>
        <v>0</v>
      </c>
      <c r="L115" s="12"/>
      <c r="M115" s="91" t="s">
        <v>451</v>
      </c>
      <c r="N115" s="34"/>
      <c r="O115" s="35"/>
      <c r="P115" s="399"/>
      <c r="Q115" s="92">
        <f>SUM(Q93,Q97)</f>
        <v>0</v>
      </c>
      <c r="R115" s="12"/>
      <c r="S115" s="12"/>
      <c r="T115" s="286"/>
      <c r="U115" s="323"/>
      <c r="V115" s="324"/>
      <c r="W115" s="286"/>
    </row>
    <row r="116" spans="1:23" ht="12.6">
      <c r="A116" s="400" t="s">
        <v>452</v>
      </c>
      <c r="B116" s="1077"/>
      <c r="C116" s="1078"/>
      <c r="D116" s="401"/>
      <c r="E116" s="1015">
        <f>E105</f>
        <v>0</v>
      </c>
      <c r="F116" s="12"/>
      <c r="G116" s="400" t="s">
        <v>452</v>
      </c>
      <c r="H116" s="1077"/>
      <c r="I116" s="1078"/>
      <c r="J116" s="401"/>
      <c r="K116" s="1015">
        <f>K105</f>
        <v>0</v>
      </c>
      <c r="L116" s="12"/>
      <c r="M116" s="400" t="s">
        <v>452</v>
      </c>
      <c r="N116" s="1077"/>
      <c r="O116" s="1078"/>
      <c r="P116" s="401"/>
      <c r="Q116" s="1015">
        <f>Q105</f>
        <v>0</v>
      </c>
      <c r="R116" s="12"/>
      <c r="S116" s="325"/>
      <c r="T116" s="1079"/>
      <c r="U116" s="1079"/>
      <c r="V116" s="326"/>
      <c r="W116" s="286"/>
    </row>
    <row r="117" spans="1:23" ht="12.95">
      <c r="A117" s="402" t="s">
        <v>453</v>
      </c>
      <c r="B117" s="89"/>
      <c r="C117" s="89"/>
      <c r="D117" s="86"/>
      <c r="E117" s="403">
        <f>SUM(E114:E116)</f>
        <v>10184578.874999998</v>
      </c>
      <c r="F117" s="12"/>
      <c r="G117" s="402" t="s">
        <v>453</v>
      </c>
      <c r="H117" s="89"/>
      <c r="I117" s="89"/>
      <c r="J117" s="86"/>
      <c r="K117" s="403">
        <f>SUM(K114:K116)</f>
        <v>0</v>
      </c>
      <c r="L117" s="12"/>
      <c r="M117" s="402" t="s">
        <v>453</v>
      </c>
      <c r="N117" s="89"/>
      <c r="O117" s="89"/>
      <c r="P117" s="86"/>
      <c r="Q117" s="403">
        <f>SUM(Q114:Q116)</f>
        <v>0</v>
      </c>
      <c r="R117" s="12"/>
      <c r="S117" s="277"/>
      <c r="T117" s="302"/>
      <c r="U117" s="302"/>
      <c r="V117" s="167"/>
      <c r="W117" s="167"/>
    </row>
    <row r="118" spans="1:23" ht="12.95">
      <c r="A118" s="1071"/>
      <c r="B118" s="1072"/>
      <c r="C118" s="1072"/>
      <c r="D118" s="1072"/>
      <c r="E118" s="1073"/>
      <c r="F118" s="12"/>
      <c r="G118" s="1071"/>
      <c r="H118" s="1072"/>
      <c r="I118" s="1072"/>
      <c r="J118" s="1072"/>
      <c r="K118" s="1073"/>
      <c r="L118" s="12"/>
      <c r="M118" s="1071"/>
      <c r="N118" s="1072"/>
      <c r="O118" s="1072"/>
      <c r="P118" s="1072"/>
      <c r="Q118" s="1073"/>
      <c r="R118" s="12"/>
      <c r="S118" s="1074"/>
      <c r="T118" s="1074"/>
      <c r="U118" s="1074"/>
      <c r="V118" s="1074"/>
      <c r="W118" s="1074"/>
    </row>
    <row r="119" spans="1:23" ht="12.95">
      <c r="A119" s="95" t="s">
        <v>454</v>
      </c>
      <c r="B119" s="85"/>
      <c r="C119" s="85"/>
      <c r="D119" s="85"/>
      <c r="E119" s="96"/>
      <c r="F119" s="12"/>
      <c r="G119" s="95" t="s">
        <v>454</v>
      </c>
      <c r="H119" s="85"/>
      <c r="I119" s="85"/>
      <c r="J119" s="85"/>
      <c r="K119" s="96"/>
      <c r="L119" s="12"/>
      <c r="M119" s="95" t="s">
        <v>454</v>
      </c>
      <c r="N119" s="85"/>
      <c r="O119" s="85"/>
      <c r="P119" s="85"/>
      <c r="Q119" s="96"/>
      <c r="R119" s="12"/>
      <c r="S119" s="277"/>
      <c r="T119" s="167"/>
      <c r="U119" s="167"/>
      <c r="V119" s="167"/>
      <c r="W119" s="167"/>
    </row>
    <row r="120" spans="1:23" ht="12.6">
      <c r="A120" s="404" t="s">
        <v>455</v>
      </c>
      <c r="B120" s="394"/>
      <c r="C120" s="401"/>
      <c r="D120" s="401"/>
      <c r="E120" s="405">
        <f>E108</f>
        <v>0</v>
      </c>
      <c r="F120" s="12"/>
      <c r="G120" s="404" t="s">
        <v>455</v>
      </c>
      <c r="H120" s="394"/>
      <c r="I120" s="401"/>
      <c r="J120" s="401"/>
      <c r="K120" s="405">
        <f>K108</f>
        <v>0</v>
      </c>
      <c r="L120" s="12"/>
      <c r="M120" s="404" t="s">
        <v>455</v>
      </c>
      <c r="N120" s="394"/>
      <c r="O120" s="401"/>
      <c r="P120" s="401"/>
      <c r="Q120" s="405">
        <f>Q108</f>
        <v>0</v>
      </c>
      <c r="R120" s="12"/>
      <c r="S120" s="327"/>
      <c r="T120" s="286"/>
      <c r="U120" s="326"/>
      <c r="V120" s="326"/>
      <c r="W120" s="286"/>
    </row>
    <row r="121" spans="1:23" ht="12.6">
      <c r="A121" s="404" t="s">
        <v>456</v>
      </c>
      <c r="B121" s="394"/>
      <c r="C121" s="401"/>
      <c r="D121" s="401"/>
      <c r="E121" s="405">
        <f>E109</f>
        <v>400187</v>
      </c>
      <c r="F121" s="12"/>
      <c r="G121" s="404" t="s">
        <v>456</v>
      </c>
      <c r="H121" s="394"/>
      <c r="I121" s="401"/>
      <c r="J121" s="401"/>
      <c r="K121" s="405">
        <f>K109</f>
        <v>0</v>
      </c>
      <c r="L121" s="12"/>
      <c r="M121" s="404" t="s">
        <v>456</v>
      </c>
      <c r="N121" s="394"/>
      <c r="O121" s="401"/>
      <c r="P121" s="401"/>
      <c r="Q121" s="405">
        <f>Q109</f>
        <v>0</v>
      </c>
      <c r="R121" s="12"/>
      <c r="S121" s="327"/>
      <c r="T121" s="286"/>
      <c r="U121" s="326"/>
      <c r="V121" s="326"/>
      <c r="W121" s="286"/>
    </row>
    <row r="122" spans="1:23" ht="12.6">
      <c r="A122" s="404" t="s">
        <v>457</v>
      </c>
      <c r="B122" s="394"/>
      <c r="C122" s="401"/>
      <c r="D122" s="401"/>
      <c r="E122" s="405">
        <f>E110</f>
        <v>0</v>
      </c>
      <c r="F122" s="12"/>
      <c r="G122" s="404" t="s">
        <v>457</v>
      </c>
      <c r="H122" s="394"/>
      <c r="I122" s="401"/>
      <c r="J122" s="401"/>
      <c r="K122" s="405">
        <f>K110</f>
        <v>0</v>
      </c>
      <c r="L122" s="12"/>
      <c r="M122" s="404" t="s">
        <v>457</v>
      </c>
      <c r="N122" s="394"/>
      <c r="O122" s="401"/>
      <c r="P122" s="401"/>
      <c r="Q122" s="405">
        <f>Q110</f>
        <v>0</v>
      </c>
      <c r="R122" s="12"/>
      <c r="S122" s="327"/>
      <c r="T122" s="286"/>
      <c r="U122" s="326"/>
      <c r="V122" s="326"/>
      <c r="W122" s="286"/>
    </row>
    <row r="123" spans="1:23" ht="12.6">
      <c r="A123" s="404" t="s">
        <v>458</v>
      </c>
      <c r="B123" s="401"/>
      <c r="C123" s="401"/>
      <c r="D123" s="401"/>
      <c r="E123" s="405">
        <f>Assumptions!$L$44*E117</f>
        <v>305537.3662499999</v>
      </c>
      <c r="F123" s="12"/>
      <c r="G123" s="404" t="s">
        <v>458</v>
      </c>
      <c r="H123" s="401"/>
      <c r="I123" s="401"/>
      <c r="J123" s="401"/>
      <c r="K123" s="405">
        <f>Assumptions!$L$44*K117</f>
        <v>0</v>
      </c>
      <c r="L123" s="12"/>
      <c r="M123" s="404" t="s">
        <v>458</v>
      </c>
      <c r="N123" s="401"/>
      <c r="O123" s="401"/>
      <c r="P123" s="401"/>
      <c r="Q123" s="405">
        <f>Assumptions!$L$44*Q117</f>
        <v>0</v>
      </c>
      <c r="R123" s="12"/>
      <c r="S123" s="327"/>
      <c r="T123" s="326"/>
      <c r="U123" s="326"/>
      <c r="V123" s="326"/>
      <c r="W123" s="286"/>
    </row>
    <row r="124" spans="1:23" ht="13.5" thickBot="1">
      <c r="A124" s="84" t="s">
        <v>459</v>
      </c>
      <c r="B124" s="72"/>
      <c r="C124" s="87"/>
      <c r="D124" s="406"/>
      <c r="E124" s="73">
        <f>SUM(E120:E123)</f>
        <v>705724.36624999996</v>
      </c>
      <c r="F124" s="12"/>
      <c r="G124" s="84" t="s">
        <v>459</v>
      </c>
      <c r="H124" s="72"/>
      <c r="I124" s="87"/>
      <c r="J124" s="406"/>
      <c r="K124" s="73">
        <f>SUM(K120:K123)</f>
        <v>0</v>
      </c>
      <c r="L124" s="12"/>
      <c r="M124" s="84" t="s">
        <v>459</v>
      </c>
      <c r="N124" s="72"/>
      <c r="O124" s="87"/>
      <c r="P124" s="406"/>
      <c r="Q124" s="73">
        <f>SUM(Q120:Q123)</f>
        <v>0</v>
      </c>
      <c r="R124" s="12"/>
      <c r="S124" s="328"/>
      <c r="T124" s="167"/>
      <c r="U124" s="167"/>
      <c r="V124" s="167"/>
      <c r="W124" s="167"/>
    </row>
    <row r="125" spans="1:23" ht="14.1" thickTop="1" thickBot="1">
      <c r="A125" s="27">
        <v>0.05</v>
      </c>
      <c r="B125" s="74"/>
      <c r="C125" s="88"/>
      <c r="D125" s="94"/>
      <c r="E125" s="79">
        <f>-A125*E117</f>
        <v>-509228.94374999992</v>
      </c>
      <c r="F125" s="12"/>
      <c r="G125" s="27">
        <v>0.05</v>
      </c>
      <c r="H125" s="74"/>
      <c r="I125" s="88"/>
      <c r="J125" s="94"/>
      <c r="K125" s="79">
        <f>-G125*K117</f>
        <v>0</v>
      </c>
      <c r="L125" s="12"/>
      <c r="M125" s="27">
        <v>0.05</v>
      </c>
      <c r="N125" s="74"/>
      <c r="O125" s="88"/>
      <c r="P125" s="94"/>
      <c r="Q125" s="79">
        <f>-M125*Q117</f>
        <v>0</v>
      </c>
      <c r="R125" s="12"/>
      <c r="S125" s="329"/>
      <c r="T125" s="286"/>
      <c r="U125" s="286"/>
      <c r="V125" s="286"/>
      <c r="W125" s="286"/>
    </row>
    <row r="126" spans="1:23" ht="14.1" thickTop="1" thickBot="1">
      <c r="A126" s="1016" t="s">
        <v>460</v>
      </c>
      <c r="B126" s="14"/>
      <c r="C126" s="1017"/>
      <c r="D126" s="93"/>
      <c r="E126" s="1018">
        <f>E117+E124+E125</f>
        <v>10381074.297499998</v>
      </c>
      <c r="F126" s="12"/>
      <c r="G126" s="1016" t="s">
        <v>460</v>
      </c>
      <c r="H126" s="14"/>
      <c r="I126" s="1017"/>
      <c r="J126" s="93"/>
      <c r="K126" s="1018">
        <f>K117+K124+K125</f>
        <v>0</v>
      </c>
      <c r="L126" s="12"/>
      <c r="M126" s="1016" t="s">
        <v>460</v>
      </c>
      <c r="N126" s="14"/>
      <c r="O126" s="1017"/>
      <c r="P126" s="93"/>
      <c r="Q126" s="1018">
        <f>Q117+Q124+Q125</f>
        <v>0</v>
      </c>
      <c r="R126" s="12"/>
      <c r="S126" s="330"/>
      <c r="T126" s="167"/>
      <c r="U126" s="331"/>
      <c r="V126" s="331"/>
      <c r="W126" s="167"/>
    </row>
    <row r="127" spans="1:23" ht="13.5" thickBot="1">
      <c r="A127" s="6" t="s">
        <v>461</v>
      </c>
      <c r="B127" s="78" t="s">
        <v>462</v>
      </c>
      <c r="C127" s="78"/>
      <c r="D127" s="78"/>
      <c r="E127" s="15" t="s">
        <v>463</v>
      </c>
      <c r="F127" s="12"/>
      <c r="G127" s="6" t="s">
        <v>461</v>
      </c>
      <c r="H127" s="78" t="s">
        <v>462</v>
      </c>
      <c r="I127" s="78"/>
      <c r="J127" s="78"/>
      <c r="K127" s="15" t="s">
        <v>463</v>
      </c>
      <c r="L127" s="12"/>
      <c r="M127" s="6" t="s">
        <v>461</v>
      </c>
      <c r="N127" s="78" t="s">
        <v>462</v>
      </c>
      <c r="O127" s="78"/>
      <c r="P127" s="78"/>
      <c r="Q127" s="15" t="s">
        <v>463</v>
      </c>
      <c r="R127" s="12"/>
      <c r="S127" s="123"/>
      <c r="T127" s="124"/>
      <c r="U127" s="124"/>
      <c r="V127" s="124"/>
      <c r="W127" s="124"/>
    </row>
    <row r="128" spans="1:23" ht="13.5" thickBot="1">
      <c r="A128" s="97" t="s">
        <v>464</v>
      </c>
      <c r="B128" s="90"/>
      <c r="C128" s="16"/>
      <c r="D128" s="16"/>
      <c r="E128" s="98">
        <f>-0.3*E117</f>
        <v>-3055373.6624999992</v>
      </c>
      <c r="F128" s="12"/>
      <c r="G128" s="97" t="s">
        <v>464</v>
      </c>
      <c r="H128" s="90"/>
      <c r="I128" s="16"/>
      <c r="J128" s="16"/>
      <c r="K128" s="98">
        <f>-0.3*K117</f>
        <v>0</v>
      </c>
      <c r="L128" s="12"/>
      <c r="M128" s="97" t="s">
        <v>464</v>
      </c>
      <c r="N128" s="90"/>
      <c r="O128" s="16"/>
      <c r="P128" s="16"/>
      <c r="Q128" s="98">
        <f>-0.3*Q117</f>
        <v>0</v>
      </c>
      <c r="R128" s="12"/>
      <c r="S128" s="289"/>
      <c r="T128" s="332"/>
      <c r="U128" s="333"/>
      <c r="V128" s="333"/>
      <c r="W128" s="333"/>
    </row>
    <row r="129" spans="1:25" ht="13.5" thickBot="1">
      <c r="A129" s="1019" t="s">
        <v>465</v>
      </c>
      <c r="B129" s="81"/>
      <c r="C129" s="81"/>
      <c r="D129" s="81"/>
      <c r="E129" s="1020">
        <f>E126+E128</f>
        <v>7325700.6349999979</v>
      </c>
      <c r="F129" s="12"/>
      <c r="G129" s="1019" t="s">
        <v>465</v>
      </c>
      <c r="H129" s="81"/>
      <c r="I129" s="81"/>
      <c r="J129" s="81"/>
      <c r="K129" s="1020">
        <f>K126+K128</f>
        <v>0</v>
      </c>
      <c r="L129" s="12"/>
      <c r="M129" s="1019" t="s">
        <v>465</v>
      </c>
      <c r="N129" s="81"/>
      <c r="O129" s="81"/>
      <c r="P129" s="81"/>
      <c r="Q129" s="1020">
        <f>Q126+Q128</f>
        <v>0</v>
      </c>
      <c r="R129" s="12"/>
      <c r="S129" s="118"/>
      <c r="T129" s="334"/>
      <c r="U129" s="334"/>
      <c r="V129" s="334"/>
      <c r="W129" s="335"/>
    </row>
    <row r="130" spans="1:25" ht="12.6">
      <c r="F130" s="12"/>
      <c r="L130" s="12"/>
      <c r="R130" s="12"/>
    </row>
    <row r="131" spans="1:25" ht="12.95">
      <c r="A131" s="734" t="s">
        <v>383</v>
      </c>
      <c r="B131" s="734"/>
      <c r="C131" s="734"/>
      <c r="F131" s="12"/>
      <c r="G131" s="734" t="s">
        <v>383</v>
      </c>
      <c r="H131" s="734"/>
      <c r="I131" s="734"/>
      <c r="L131" s="12"/>
      <c r="M131" s="734" t="s">
        <v>383</v>
      </c>
      <c r="N131" s="734"/>
      <c r="O131" s="734"/>
      <c r="R131" s="12"/>
      <c r="S131" s="274"/>
      <c r="T131" s="274"/>
      <c r="U131" s="274"/>
    </row>
    <row r="132" spans="1:25" ht="12.95">
      <c r="A132" s="735"/>
      <c r="B132" s="736" t="s">
        <v>466</v>
      </c>
      <c r="C132" s="736" t="s">
        <v>467</v>
      </c>
      <c r="F132" s="83"/>
      <c r="G132" s="735"/>
      <c r="H132" s="736" t="s">
        <v>466</v>
      </c>
      <c r="I132" s="736" t="s">
        <v>467</v>
      </c>
      <c r="L132" s="83"/>
      <c r="M132" s="735"/>
      <c r="N132" s="736" t="s">
        <v>466</v>
      </c>
      <c r="O132" s="736" t="s">
        <v>467</v>
      </c>
      <c r="R132" s="83"/>
      <c r="S132" s="274"/>
      <c r="T132" s="282"/>
      <c r="U132" s="282"/>
    </row>
    <row r="133" spans="1:25" ht="12.75" customHeight="1">
      <c r="A133" s="737" t="s">
        <v>387</v>
      </c>
      <c r="B133" s="738">
        <f>IFERROR(INDEX(Assumptions!$D$4:$E$16,MATCH('2-E Financial'!B$34,Assumptions!$D$4:$D$16,0),2),0)</f>
        <v>300</v>
      </c>
      <c r="C133" s="739">
        <f>B133*D34</f>
        <v>102625200</v>
      </c>
      <c r="F133" s="12"/>
      <c r="G133" s="737" t="s">
        <v>387</v>
      </c>
      <c r="H133" s="738">
        <f>IFERROR(INDEX(Assumptions!$D$4:$E$16,MATCH('2-E Financial'!H$34,Assumptions!$D$4:$D$16,0),2),0)</f>
        <v>0</v>
      </c>
      <c r="I133" s="739">
        <f>H133*J34</f>
        <v>0</v>
      </c>
      <c r="L133" s="12"/>
      <c r="M133" s="737" t="s">
        <v>387</v>
      </c>
      <c r="N133" s="738">
        <f>IFERROR(INDEX(Assumptions!$D$4:$E$16,MATCH('2-E Financial'!N$34,Assumptions!$D$4:$D$16,0),2),0)</f>
        <v>0</v>
      </c>
      <c r="O133" s="739">
        <f>N133*P34</f>
        <v>0</v>
      </c>
      <c r="R133" s="12"/>
      <c r="S133" s="177"/>
      <c r="T133" s="336"/>
      <c r="U133" s="286"/>
    </row>
    <row r="134" spans="1:25" ht="12.75" customHeight="1">
      <c r="A134" s="737" t="s">
        <v>77</v>
      </c>
      <c r="B134" s="562">
        <f>Assumptions!$E$19</f>
        <v>0.05</v>
      </c>
      <c r="C134" s="740">
        <f>B134*C133</f>
        <v>5131260</v>
      </c>
      <c r="F134" s="12"/>
      <c r="G134" s="737" t="s">
        <v>77</v>
      </c>
      <c r="H134" s="562">
        <f>Assumptions!$E$19</f>
        <v>0.05</v>
      </c>
      <c r="I134" s="740">
        <f>H134*I133</f>
        <v>0</v>
      </c>
      <c r="L134" s="12"/>
      <c r="M134" s="737" t="s">
        <v>77</v>
      </c>
      <c r="N134" s="562">
        <f>Assumptions!$E$19</f>
        <v>0.05</v>
      </c>
      <c r="O134" s="740">
        <f>N134*O133</f>
        <v>0</v>
      </c>
      <c r="R134" s="12"/>
      <c r="S134" s="177"/>
      <c r="T134" s="337"/>
      <c r="U134" s="290"/>
      <c r="Y134" s="12"/>
    </row>
    <row r="135" spans="1:25" ht="12.75" customHeight="1">
      <c r="A135" s="737" t="s">
        <v>389</v>
      </c>
      <c r="B135" s="407" t="s">
        <v>101</v>
      </c>
      <c r="C135" s="741">
        <v>0</v>
      </c>
      <c r="F135" s="12"/>
      <c r="G135" s="737" t="s">
        <v>389</v>
      </c>
      <c r="H135" s="407" t="s">
        <v>101</v>
      </c>
      <c r="I135" s="741">
        <v>0</v>
      </c>
      <c r="L135" s="12"/>
      <c r="M135" s="737" t="s">
        <v>389</v>
      </c>
      <c r="N135" s="407" t="s">
        <v>101</v>
      </c>
      <c r="O135" s="741">
        <v>0</v>
      </c>
      <c r="R135" s="12"/>
      <c r="S135" s="177"/>
      <c r="T135" s="338"/>
      <c r="U135" s="339"/>
      <c r="Y135" s="12"/>
    </row>
    <row r="136" spans="1:25" ht="12.75" customHeight="1">
      <c r="A136" s="737" t="s">
        <v>391</v>
      </c>
      <c r="B136" s="748" t="s">
        <v>468</v>
      </c>
      <c r="C136" s="739">
        <f>IF(C133=0,0,INDEX('Development Program'!$C$58:$L$62,5,MATCH($D$2,'Development Program'!$C$58:$L$58,0))/INDEX('Development Program'!$L$9:$M$18,MATCH($D$2,'Development Program'!$L$9:$L$18,0),2))</f>
        <v>808909.2</v>
      </c>
      <c r="F136" s="12"/>
      <c r="G136" s="737" t="s">
        <v>391</v>
      </c>
      <c r="H136" s="748" t="s">
        <v>468</v>
      </c>
      <c r="I136" s="739">
        <f>IF(I133=0,0,INDEX('Development Program'!$C$58:$L$62,5,MATCH($D$2,'Development Program'!$C$58:$L$58,0))/INDEX('Development Program'!$L$9:$M$18,MATCH($D$2,'Development Program'!$L$9:$L$18,0),2))</f>
        <v>0</v>
      </c>
      <c r="L136" s="12"/>
      <c r="M136" s="737" t="s">
        <v>391</v>
      </c>
      <c r="N136" s="748" t="s">
        <v>468</v>
      </c>
      <c r="O136" s="739">
        <f>IF(O133=0,0,INDEX('Development Program'!$C$58:$L$62,5,MATCH($D$2,'Development Program'!$C$58:$L$58,0))/INDEX('Development Program'!$L$9:$M$18,MATCH($D$2,'Development Program'!$L$9:$L$18,0),2))</f>
        <v>0</v>
      </c>
      <c r="R136" s="12"/>
      <c r="S136" s="177"/>
      <c r="T136" s="340"/>
      <c r="U136" s="179"/>
    </row>
    <row r="137" spans="1:25" ht="12.75" customHeight="1">
      <c r="A137" s="426" t="s">
        <v>16</v>
      </c>
      <c r="B137" s="748" t="s">
        <v>468</v>
      </c>
      <c r="C137" s="739">
        <f>IF(C133=0,0,INDEX('Development Program'!$D$40:$M$55,16,MATCH($D$2,'Development Program'!$D$40:$M$40,0))/INDEX('Development Program'!$L$9:$M$18,MATCH($D$2,'Development Program'!$L$9:$L$18,0),2))</f>
        <v>2480000</v>
      </c>
      <c r="F137" s="12"/>
      <c r="G137" s="426" t="s">
        <v>16</v>
      </c>
      <c r="H137" s="748" t="s">
        <v>468</v>
      </c>
      <c r="I137" s="739">
        <f>IF(I133=0,0,INDEX('Development Program'!$D$40:$M$55,16,MATCH($D$2,'Development Program'!$D$40:$M$40,0))/INDEX('Development Program'!$L$9:$M$18,MATCH($D$2,'Development Program'!$L$9:$L$18,0),2))</f>
        <v>0</v>
      </c>
      <c r="L137" s="12"/>
      <c r="M137" s="426" t="s">
        <v>16</v>
      </c>
      <c r="N137" s="748" t="s">
        <v>468</v>
      </c>
      <c r="O137" s="739">
        <f>IF(O133=0,0,INDEX('Development Program'!$D$40:$M$55,16,MATCH($D$2,'Development Program'!$D$40:$M$40,0))/INDEX('Development Program'!$L$9:$M$18,MATCH($D$2,'Development Program'!$L$9:$L$18,0),2))</f>
        <v>0</v>
      </c>
      <c r="R137" s="12"/>
    </row>
    <row r="138" spans="1:25" ht="12.75" customHeight="1">
      <c r="A138" s="737" t="s">
        <v>79</v>
      </c>
      <c r="B138" s="409">
        <f>Assumptions!$E$20</f>
        <v>0.02</v>
      </c>
      <c r="C138" s="739">
        <f>B138*(C$133)</f>
        <v>2052504</v>
      </c>
      <c r="F138" s="12"/>
      <c r="G138" s="737" t="s">
        <v>79</v>
      </c>
      <c r="H138" s="409">
        <f>Assumptions!$E$20</f>
        <v>0.02</v>
      </c>
      <c r="I138" s="739">
        <f>H138*(I$133)</f>
        <v>0</v>
      </c>
      <c r="L138" s="12"/>
      <c r="M138" s="737" t="s">
        <v>79</v>
      </c>
      <c r="N138" s="409">
        <f>Assumptions!$E$20</f>
        <v>0.02</v>
      </c>
      <c r="O138" s="739">
        <f>N138*(O$133)</f>
        <v>0</v>
      </c>
      <c r="R138" s="12"/>
      <c r="S138" s="177"/>
      <c r="T138" s="341"/>
      <c r="U138" s="286"/>
    </row>
    <row r="139" spans="1:25" ht="12.75" customHeight="1">
      <c r="A139" s="730" t="s">
        <v>83</v>
      </c>
      <c r="B139" s="409">
        <f>Assumptions!$E$22</f>
        <v>1.4999999999999999E-2</v>
      </c>
      <c r="C139" s="739">
        <f>B139*(C$133)</f>
        <v>1539378</v>
      </c>
      <c r="F139" s="12"/>
      <c r="G139" s="730" t="s">
        <v>83</v>
      </c>
      <c r="H139" s="409">
        <f>Assumptions!$E$22</f>
        <v>1.4999999999999999E-2</v>
      </c>
      <c r="I139" s="739">
        <f>H139*(I$133)</f>
        <v>0</v>
      </c>
      <c r="L139" s="12"/>
      <c r="M139" s="730" t="s">
        <v>83</v>
      </c>
      <c r="N139" s="409">
        <f>Assumptions!$E$22</f>
        <v>1.4999999999999999E-2</v>
      </c>
      <c r="O139" s="739">
        <f>N139*(O$133)</f>
        <v>0</v>
      </c>
      <c r="R139" s="12"/>
      <c r="S139" s="12"/>
      <c r="T139" s="341"/>
      <c r="U139" s="286"/>
    </row>
    <row r="140" spans="1:25" ht="12.75" customHeight="1">
      <c r="A140" s="730" t="s">
        <v>84</v>
      </c>
      <c r="B140" s="564">
        <f>Assumptions!$E$23</f>
        <v>2.5000000000000001E-2</v>
      </c>
      <c r="C140" s="739">
        <f>IF(D34=0,0,B140*$B$10)</f>
        <v>20222.73</v>
      </c>
      <c r="F140" s="12"/>
      <c r="G140" s="730" t="s">
        <v>84</v>
      </c>
      <c r="H140" s="564">
        <f>Assumptions!$E$23</f>
        <v>2.5000000000000001E-2</v>
      </c>
      <c r="I140" s="739">
        <f>IF(J34=0,0,H140*$B$10)</f>
        <v>0</v>
      </c>
      <c r="L140" s="12"/>
      <c r="M140" s="730" t="s">
        <v>84</v>
      </c>
      <c r="N140" s="564">
        <f>Assumptions!$E$23</f>
        <v>2.5000000000000001E-2</v>
      </c>
      <c r="O140" s="739">
        <f>IF(P34=0,0,N140*$B$10)</f>
        <v>0</v>
      </c>
      <c r="R140" s="12"/>
      <c r="S140" s="12"/>
      <c r="T140" s="26"/>
      <c r="U140" s="339"/>
    </row>
    <row r="141" spans="1:25" ht="12.75" customHeight="1">
      <c r="A141" s="730" t="s">
        <v>85</v>
      </c>
      <c r="B141" s="409">
        <f>Assumptions!$E$24</f>
        <v>0.02</v>
      </c>
      <c r="C141" s="739">
        <f>B141*(C133)</f>
        <v>2052504</v>
      </c>
      <c r="F141" s="12"/>
      <c r="G141" s="730" t="s">
        <v>85</v>
      </c>
      <c r="H141" s="409">
        <f>Assumptions!$E$24</f>
        <v>0.02</v>
      </c>
      <c r="I141" s="739">
        <f>H141*(I133)</f>
        <v>0</v>
      </c>
      <c r="L141" s="12"/>
      <c r="M141" s="730" t="s">
        <v>85</v>
      </c>
      <c r="N141" s="409">
        <f>Assumptions!$E$24</f>
        <v>0.02</v>
      </c>
      <c r="O141" s="739">
        <f>N141*(O133)</f>
        <v>0</v>
      </c>
      <c r="R141" s="12"/>
      <c r="S141" s="12"/>
      <c r="T141" s="341"/>
      <c r="U141" s="286"/>
    </row>
    <row r="142" spans="1:25" ht="12.75" customHeight="1">
      <c r="A142" s="730" t="s">
        <v>86</v>
      </c>
      <c r="B142" s="409">
        <f>Assumptions!$E$25</f>
        <v>3.5000000000000003E-2</v>
      </c>
      <c r="C142" s="739">
        <f>B142*(C133)</f>
        <v>3591882.0000000005</v>
      </c>
      <c r="F142" s="12"/>
      <c r="G142" s="730" t="s">
        <v>86</v>
      </c>
      <c r="H142" s="409">
        <f>Assumptions!$E$25</f>
        <v>3.5000000000000003E-2</v>
      </c>
      <c r="I142" s="739">
        <f>H142*(I133)</f>
        <v>0</v>
      </c>
      <c r="L142" s="12"/>
      <c r="M142" s="730" t="s">
        <v>86</v>
      </c>
      <c r="N142" s="409">
        <f>Assumptions!$E$25</f>
        <v>3.5000000000000003E-2</v>
      </c>
      <c r="O142" s="739">
        <f>N142*(O133)</f>
        <v>0</v>
      </c>
      <c r="R142" s="12"/>
      <c r="S142" s="12"/>
      <c r="T142" s="341"/>
      <c r="U142" s="286"/>
    </row>
    <row r="143" spans="1:25" ht="12.75" customHeight="1">
      <c r="A143" s="730" t="s">
        <v>88</v>
      </c>
      <c r="B143" s="409">
        <f>Assumptions!$E$26</f>
        <v>0.02</v>
      </c>
      <c r="C143" s="739">
        <f>B143*(C133)</f>
        <v>2052504</v>
      </c>
      <c r="D143" s="276"/>
      <c r="E143" s="275"/>
      <c r="F143" s="12"/>
      <c r="G143" s="730" t="s">
        <v>88</v>
      </c>
      <c r="H143" s="409">
        <f>Assumptions!$E$26</f>
        <v>0.02</v>
      </c>
      <c r="I143" s="739">
        <f>H143*(I133)</f>
        <v>0</v>
      </c>
      <c r="J143" s="276"/>
      <c r="K143" s="275"/>
      <c r="L143" s="12"/>
      <c r="M143" s="730" t="s">
        <v>88</v>
      </c>
      <c r="N143" s="409">
        <f>Assumptions!$E$26</f>
        <v>0.02</v>
      </c>
      <c r="O143" s="739">
        <f>N143*(O133)</f>
        <v>0</v>
      </c>
      <c r="P143" s="276"/>
      <c r="Q143" s="275"/>
      <c r="R143" s="12"/>
      <c r="S143" s="12"/>
      <c r="T143" s="341"/>
      <c r="U143" s="286"/>
      <c r="V143" s="276"/>
      <c r="W143" s="275"/>
    </row>
    <row r="144" spans="1:25" ht="12.75" customHeight="1">
      <c r="A144" s="730" t="s">
        <v>93</v>
      </c>
      <c r="B144" s="409">
        <f>Assumptions!$E$27</f>
        <v>0.05</v>
      </c>
      <c r="C144" s="739">
        <f>B144*C133</f>
        <v>5131260</v>
      </c>
      <c r="D144" s="276"/>
      <c r="E144" s="275"/>
      <c r="F144" s="12"/>
      <c r="G144" s="730" t="s">
        <v>93</v>
      </c>
      <c r="H144" s="409">
        <f>Assumptions!$E$27</f>
        <v>0.05</v>
      </c>
      <c r="I144" s="739">
        <f>H144*I133</f>
        <v>0</v>
      </c>
      <c r="J144" s="276"/>
      <c r="K144" s="275"/>
      <c r="L144" s="12"/>
      <c r="M144" s="730" t="s">
        <v>93</v>
      </c>
      <c r="N144" s="409">
        <f>Assumptions!$E$27</f>
        <v>0.05</v>
      </c>
      <c r="O144" s="739">
        <f>N144*O133</f>
        <v>0</v>
      </c>
      <c r="P144" s="276"/>
      <c r="Q144" s="275"/>
      <c r="R144" s="12"/>
      <c r="S144" s="12"/>
      <c r="T144" s="342"/>
      <c r="U144" s="286"/>
      <c r="V144" s="276"/>
      <c r="W144" s="275"/>
    </row>
    <row r="145" spans="1:23" ht="12.75" customHeight="1">
      <c r="A145" s="730" t="s">
        <v>97</v>
      </c>
      <c r="B145" s="409">
        <f>Assumptions!$E$28</f>
        <v>1.4999999999999999E-2</v>
      </c>
      <c r="C145" s="739">
        <f>B145*C133</f>
        <v>1539378</v>
      </c>
      <c r="D145" s="276"/>
      <c r="E145" s="275"/>
      <c r="F145" s="12"/>
      <c r="G145" s="730" t="s">
        <v>97</v>
      </c>
      <c r="H145" s="409">
        <f>Assumptions!$E$28</f>
        <v>1.4999999999999999E-2</v>
      </c>
      <c r="I145" s="739">
        <f>H145*I133</f>
        <v>0</v>
      </c>
      <c r="J145" s="276"/>
      <c r="K145" s="275"/>
      <c r="L145" s="12"/>
      <c r="M145" s="730" t="s">
        <v>97</v>
      </c>
      <c r="N145" s="409">
        <f>Assumptions!$E$28</f>
        <v>1.4999999999999999E-2</v>
      </c>
      <c r="O145" s="739">
        <f>N145*O133</f>
        <v>0</v>
      </c>
      <c r="P145" s="276"/>
      <c r="Q145" s="275"/>
      <c r="R145" s="12"/>
      <c r="S145" s="12"/>
      <c r="T145" s="341"/>
      <c r="U145" s="286"/>
      <c r="V145" s="276"/>
      <c r="W145" s="275"/>
    </row>
    <row r="146" spans="1:23" ht="12.75" customHeight="1">
      <c r="A146" s="730" t="s">
        <v>100</v>
      </c>
      <c r="B146" s="410" t="s">
        <v>101</v>
      </c>
      <c r="C146" s="741">
        <v>500000</v>
      </c>
      <c r="F146" s="12"/>
      <c r="G146" s="730" t="s">
        <v>100</v>
      </c>
      <c r="H146" s="410" t="s">
        <v>101</v>
      </c>
      <c r="I146" s="741">
        <v>0</v>
      </c>
      <c r="L146" s="12"/>
      <c r="M146" s="730" t="s">
        <v>100</v>
      </c>
      <c r="N146" s="410" t="s">
        <v>101</v>
      </c>
      <c r="O146" s="741">
        <v>0</v>
      </c>
      <c r="R146" s="12"/>
      <c r="S146" s="12"/>
      <c r="T146" s="26"/>
      <c r="U146" s="339"/>
    </row>
    <row r="147" spans="1:23" ht="12.75" customHeight="1">
      <c r="A147" s="730" t="s">
        <v>103</v>
      </c>
      <c r="B147" s="411">
        <f>Assumptions!$E$30</f>
        <v>6</v>
      </c>
      <c r="C147" s="739">
        <f>-B147*(E128/6)</f>
        <v>3055373.6624999992</v>
      </c>
      <c r="F147" s="12"/>
      <c r="G147" s="730" t="s">
        <v>103</v>
      </c>
      <c r="H147" s="411">
        <f>Assumptions!$E$30</f>
        <v>6</v>
      </c>
      <c r="I147" s="739">
        <f>-H147*(K128/6)</f>
        <v>0</v>
      </c>
      <c r="L147" s="12"/>
      <c r="M147" s="730" t="s">
        <v>103</v>
      </c>
      <c r="N147" s="411">
        <f>Assumptions!$E$30</f>
        <v>6</v>
      </c>
      <c r="O147" s="739">
        <f>-N147*(Q128/6)</f>
        <v>0</v>
      </c>
      <c r="R147" s="12"/>
      <c r="S147" s="12"/>
      <c r="T147" s="343"/>
      <c r="U147" s="286"/>
    </row>
    <row r="148" spans="1:23" ht="12.75" customHeight="1">
      <c r="A148" s="730" t="s">
        <v>106</v>
      </c>
      <c r="B148" s="742">
        <f>Assumptions!$E$31</f>
        <v>30</v>
      </c>
      <c r="C148" s="739">
        <f>B148*SUM(C93,C97)</f>
        <v>6789719.2499999991</v>
      </c>
      <c r="G148" s="730" t="s">
        <v>106</v>
      </c>
      <c r="H148" s="742">
        <f>Assumptions!$E$31</f>
        <v>30</v>
      </c>
      <c r="I148" s="739">
        <f>H148*SUM(I93,I97)</f>
        <v>0</v>
      </c>
      <c r="L148" s="12"/>
      <c r="M148" s="730" t="s">
        <v>106</v>
      </c>
      <c r="N148" s="742">
        <f>Assumptions!$E$31</f>
        <v>30</v>
      </c>
      <c r="O148" s="739">
        <f>N148*SUM(O93,O97)</f>
        <v>0</v>
      </c>
      <c r="R148" s="12"/>
      <c r="S148" s="12"/>
      <c r="T148" s="303"/>
      <c r="U148" s="286"/>
    </row>
    <row r="149" spans="1:23" ht="12.75" customHeight="1">
      <c r="A149" s="730" t="s">
        <v>403</v>
      </c>
      <c r="B149" s="563">
        <f>Assumptions!$E$32</f>
        <v>0.03</v>
      </c>
      <c r="C149" s="731">
        <f>B149*SUM(E93,E97)</f>
        <v>305537.3662499999</v>
      </c>
      <c r="G149" s="730" t="s">
        <v>403</v>
      </c>
      <c r="H149" s="563">
        <f>Assumptions!$E$32</f>
        <v>0.03</v>
      </c>
      <c r="I149" s="731">
        <f>H149*SUM(K93,K97)</f>
        <v>0</v>
      </c>
      <c r="M149" s="730" t="s">
        <v>403</v>
      </c>
      <c r="N149" s="563">
        <f>Assumptions!$E$32</f>
        <v>0.03</v>
      </c>
      <c r="O149" s="731">
        <f>N149*SUM(Q93,Q97)</f>
        <v>0</v>
      </c>
      <c r="S149" s="12"/>
      <c r="T149" s="344"/>
      <c r="U149" s="345"/>
    </row>
    <row r="150" spans="1:23" ht="12.75" customHeight="1">
      <c r="A150" s="730" t="s">
        <v>112</v>
      </c>
      <c r="B150" s="732">
        <f>Assumptions!$E$33</f>
        <v>1.4999999999999999E-2</v>
      </c>
      <c r="C150" s="733">
        <f>B150*SUM(C138:C149,C135,C152,C153)</f>
        <v>535803.94513124996</v>
      </c>
      <c r="D150" s="18"/>
      <c r="E150" s="18"/>
      <c r="G150" s="730" t="s">
        <v>112</v>
      </c>
      <c r="H150" s="732">
        <f>Assumptions!$E$33</f>
        <v>1.4999999999999999E-2</v>
      </c>
      <c r="I150" s="733">
        <f>H150*SUM(I138:I149,I135,I152,I153)</f>
        <v>0</v>
      </c>
      <c r="J150" s="18"/>
      <c r="K150" s="18"/>
      <c r="M150" s="730" t="s">
        <v>112</v>
      </c>
      <c r="N150" s="732">
        <f>Assumptions!$E$33</f>
        <v>1.4999999999999999E-2</v>
      </c>
      <c r="O150" s="733">
        <f>N150*SUM(O138:O149,O135,O152,O153)</f>
        <v>0</v>
      </c>
      <c r="P150" s="18"/>
      <c r="Q150" s="18"/>
      <c r="S150" s="12"/>
      <c r="T150" s="346"/>
      <c r="U150" s="339"/>
      <c r="V150" s="347"/>
      <c r="W150" s="347"/>
    </row>
    <row r="151" spans="1:23" ht="12.75" customHeight="1">
      <c r="A151" s="730" t="s">
        <v>165</v>
      </c>
      <c r="B151" s="732" t="s">
        <v>468</v>
      </c>
      <c r="C151" s="733">
        <f>IF(C133=0,0,-INDEX('Development Program'!$C$30:$L$37,8,MATCH($D$2,'Development Program'!$C$30:$L$30,0))/INDEX('Development Program'!$L$9:$M$18,MATCH($D$2,'Development Program'!$L$9:$L$18,0),2))</f>
        <v>-3500000</v>
      </c>
      <c r="D151" s="18"/>
      <c r="E151" s="18"/>
      <c r="G151" s="730" t="s">
        <v>165</v>
      </c>
      <c r="H151" s="732" t="s">
        <v>468</v>
      </c>
      <c r="I151" s="733">
        <f>IF(I133=0,0,-INDEX('Development Program'!$C$30:$L$37,8,MATCH($D$2,'Development Program'!$C$30:$L$30,0))/INDEX('Development Program'!$L$9:$M$18,MATCH($D$2,'Development Program'!$L$9:$L$18,0),2))</f>
        <v>0</v>
      </c>
      <c r="J151" s="18"/>
      <c r="K151" s="18"/>
      <c r="M151" s="730" t="s">
        <v>165</v>
      </c>
      <c r="N151" s="732" t="s">
        <v>468</v>
      </c>
      <c r="O151" s="733">
        <f>IF(O133=0,0,-INDEX('Development Program'!$C$30:$L$37,8,MATCH($D$2,'Development Program'!$C$30:$L$30,0))/INDEX('Development Program'!$L$9:$M$18,MATCH($D$2,'Development Program'!$L$9:$L$18,0),2))</f>
        <v>0</v>
      </c>
      <c r="P151" s="18"/>
      <c r="Q151" s="18"/>
      <c r="S151" s="12"/>
      <c r="T151" s="346"/>
      <c r="U151" s="339"/>
      <c r="V151" s="347"/>
      <c r="W151" s="347"/>
    </row>
    <row r="152" spans="1:23" ht="12.75" customHeight="1">
      <c r="A152" s="426" t="s">
        <v>38</v>
      </c>
      <c r="B152" s="732">
        <f>Assumptions!$L$5</f>
        <v>5.0000000000000001E-3</v>
      </c>
      <c r="C152" s="741">
        <v>410000</v>
      </c>
      <c r="D152" s="18">
        <f>C152/B$157</f>
        <v>4.9157822802805059E-3</v>
      </c>
      <c r="E152" s="18"/>
      <c r="G152" s="426" t="s">
        <v>38</v>
      </c>
      <c r="H152" s="732">
        <f>Assumptions!$L$5</f>
        <v>5.0000000000000001E-3</v>
      </c>
      <c r="I152" s="741">
        <v>0</v>
      </c>
      <c r="J152" s="18" t="e">
        <f>I152/H$157</f>
        <v>#DIV/0!</v>
      </c>
      <c r="K152" s="18"/>
      <c r="M152" s="426" t="s">
        <v>38</v>
      </c>
      <c r="N152" s="732">
        <f>Assumptions!$L$5</f>
        <v>5.0000000000000001E-3</v>
      </c>
      <c r="O152" s="741">
        <v>0</v>
      </c>
      <c r="P152" s="18" t="e">
        <f>O152/N$157</f>
        <v>#DIV/0!</v>
      </c>
      <c r="Q152" s="18"/>
      <c r="S152" s="12"/>
      <c r="T152" s="346"/>
      <c r="U152" s="339"/>
      <c r="V152" s="347"/>
      <c r="W152" s="347"/>
    </row>
    <row r="153" spans="1:23" ht="12.75" customHeight="1">
      <c r="A153" s="426" t="s">
        <v>407</v>
      </c>
      <c r="B153" s="732">
        <f>Assumptions!$L$4</f>
        <v>0.08</v>
      </c>
      <c r="C153" s="741">
        <v>6680000</v>
      </c>
      <c r="D153" s="18">
        <f>C153/B$157</f>
        <v>8.009128202993604E-2</v>
      </c>
      <c r="E153" s="18"/>
      <c r="G153" s="426" t="s">
        <v>407</v>
      </c>
      <c r="H153" s="732">
        <f>Assumptions!$L$4</f>
        <v>0.08</v>
      </c>
      <c r="I153" s="741">
        <v>0</v>
      </c>
      <c r="J153" s="18" t="e">
        <f>I153/H$157</f>
        <v>#DIV/0!</v>
      </c>
      <c r="K153" s="18"/>
      <c r="M153" s="426" t="s">
        <v>407</v>
      </c>
      <c r="N153" s="732">
        <f>Assumptions!$L$4</f>
        <v>0.08</v>
      </c>
      <c r="O153" s="741">
        <v>0</v>
      </c>
      <c r="P153" s="18" t="e">
        <f>O153/N$157</f>
        <v>#DIV/0!</v>
      </c>
      <c r="Q153" s="18"/>
      <c r="S153" s="12"/>
      <c r="T153" s="346"/>
      <c r="U153" s="339"/>
      <c r="V153" s="347"/>
      <c r="W153" s="347"/>
    </row>
    <row r="154" spans="1:23" ht="12.75" customHeight="1">
      <c r="A154" s="743" t="s">
        <v>408</v>
      </c>
      <c r="B154" s="744"/>
      <c r="C154" s="745">
        <f>SUM(C133:C153)</f>
        <v>143801436.15388125</v>
      </c>
      <c r="D154" s="18"/>
      <c r="E154" s="18"/>
      <c r="G154" s="743" t="s">
        <v>408</v>
      </c>
      <c r="H154" s="744"/>
      <c r="I154" s="745">
        <f>SUM(I133:I153)</f>
        <v>0</v>
      </c>
      <c r="J154" s="18"/>
      <c r="K154" s="18"/>
      <c r="M154" s="743" t="s">
        <v>408</v>
      </c>
      <c r="N154" s="744"/>
      <c r="O154" s="745">
        <f>SUM(O133:O153)</f>
        <v>0</v>
      </c>
      <c r="P154" s="18"/>
      <c r="Q154" s="18"/>
    </row>
    <row r="155" spans="1:23" ht="12.75" customHeight="1" thickBot="1">
      <c r="A155" s="328"/>
      <c r="C155" s="167"/>
      <c r="D155" s="746"/>
      <c r="E155" s="18"/>
      <c r="G155" s="328"/>
      <c r="I155" s="167"/>
      <c r="J155" s="746"/>
      <c r="K155" s="18"/>
      <c r="M155" s="328"/>
      <c r="O155" s="167"/>
      <c r="P155" s="746"/>
      <c r="Q155" s="18"/>
    </row>
    <row r="156" spans="1:23" ht="12.75" customHeight="1">
      <c r="A156" s="1021" t="s">
        <v>23</v>
      </c>
      <c r="B156" s="1022"/>
      <c r="C156" s="167"/>
      <c r="D156" s="18"/>
      <c r="E156" s="18"/>
      <c r="G156" s="1021" t="s">
        <v>23</v>
      </c>
      <c r="H156" s="1022"/>
      <c r="I156" s="167"/>
      <c r="J156" s="18"/>
      <c r="K156" s="18"/>
      <c r="M156" s="1021" t="s">
        <v>23</v>
      </c>
      <c r="N156" s="1022"/>
      <c r="O156" s="167"/>
      <c r="P156" s="18"/>
      <c r="Q156" s="18"/>
    </row>
    <row r="157" spans="1:23" ht="12.75" customHeight="1">
      <c r="A157" s="840">
        <f>IFERROR(INDEX(Assumptions!$J$11:$L$23,MATCH('2-E Financial'!B$34,Assumptions!$J$11:$J$23,0),3),0)</f>
        <v>0.57999999999999996</v>
      </c>
      <c r="B157" s="747">
        <f>C154*A157</f>
        <v>83404832.969251126</v>
      </c>
      <c r="C157" s="167"/>
      <c r="D157" s="18"/>
      <c r="E157" s="18"/>
      <c r="G157" s="840">
        <f>IFERROR(INDEX(Assumptions!$J$11:$L$23,MATCH('2-E Financial'!H$34,Assumptions!$J$11:$J$23,0),3),0)</f>
        <v>0</v>
      </c>
      <c r="H157" s="747">
        <f>I154*G157</f>
        <v>0</v>
      </c>
      <c r="I157" s="167"/>
      <c r="J157" s="18"/>
      <c r="K157" s="18"/>
      <c r="M157" s="840">
        <f>IFERROR(INDEX(Assumptions!$J$11:$L$23,MATCH('2-E Financial'!N$34,Assumptions!$J$11:$J$23,0),3),0)</f>
        <v>0</v>
      </c>
      <c r="N157" s="747">
        <f>O154*M157</f>
        <v>0</v>
      </c>
      <c r="O157" s="167"/>
      <c r="P157" s="18"/>
      <c r="Q157" s="18"/>
    </row>
    <row r="158" spans="1:23" ht="12.75" customHeight="1">
      <c r="A158" s="841">
        <f>1-A157</f>
        <v>0.42000000000000004</v>
      </c>
      <c r="B158" s="747">
        <f>C154*A158</f>
        <v>60396603.184630133</v>
      </c>
      <c r="C158" s="167"/>
      <c r="D158" s="18"/>
      <c r="E158" s="18"/>
      <c r="G158" s="841">
        <f>1-G157</f>
        <v>1</v>
      </c>
      <c r="H158" s="747">
        <f>I154*G158</f>
        <v>0</v>
      </c>
      <c r="I158" s="167"/>
      <c r="J158" s="18"/>
      <c r="K158" s="18"/>
      <c r="M158" s="841">
        <f>1-M157</f>
        <v>1</v>
      </c>
      <c r="N158" s="747">
        <f>O154*M158</f>
        <v>0</v>
      </c>
      <c r="O158" s="167"/>
      <c r="P158" s="18"/>
      <c r="Q158" s="18"/>
    </row>
    <row r="159" spans="1:23" ht="12.75" customHeight="1" thickBot="1">
      <c r="S159" s="12"/>
      <c r="T159" s="349"/>
      <c r="U159" s="339"/>
      <c r="V159" s="347"/>
      <c r="W159" s="347"/>
    </row>
    <row r="160" spans="1:23" ht="13.5" thickBot="1">
      <c r="A160" s="1021" t="s">
        <v>469</v>
      </c>
      <c r="B160" s="1022"/>
      <c r="D160" s="18"/>
      <c r="G160" s="1021" t="s">
        <v>469</v>
      </c>
      <c r="H160" s="1022"/>
      <c r="J160" s="18"/>
      <c r="M160" s="1021" t="s">
        <v>469</v>
      </c>
      <c r="N160" s="1022"/>
      <c r="P160" s="18"/>
      <c r="S160" s="328"/>
      <c r="U160" s="167"/>
    </row>
    <row r="161" spans="1:22" ht="13.5" thickBot="1">
      <c r="A161" s="565" t="s">
        <v>470</v>
      </c>
      <c r="B161" s="566"/>
      <c r="C161" s="12"/>
      <c r="D161" s="346"/>
      <c r="E161" s="339"/>
      <c r="G161" s="565" t="s">
        <v>470</v>
      </c>
      <c r="H161" s="566"/>
      <c r="I161" s="12"/>
      <c r="J161" s="12"/>
      <c r="K161" s="346"/>
      <c r="L161" s="339"/>
      <c r="M161" s="565" t="s">
        <v>470</v>
      </c>
      <c r="N161" s="566"/>
      <c r="O161" s="12"/>
      <c r="P161" s="12"/>
      <c r="Q161" s="346"/>
      <c r="R161" s="339"/>
      <c r="S161" s="274"/>
      <c r="T161" s="274"/>
      <c r="V161" s="347"/>
    </row>
    <row r="162" spans="1:22" ht="12.95">
      <c r="A162" s="358" t="s">
        <v>471</v>
      </c>
      <c r="B162" s="359">
        <f>E63+E80+E101</f>
        <v>0</v>
      </c>
      <c r="D162" s="281"/>
      <c r="G162" s="358" t="s">
        <v>471</v>
      </c>
      <c r="H162" s="359">
        <f>K63+K80+K101</f>
        <v>0</v>
      </c>
      <c r="J162" s="281"/>
      <c r="M162" s="358" t="s">
        <v>471</v>
      </c>
      <c r="N162" s="359">
        <f>Q63+Q80+Q101</f>
        <v>0</v>
      </c>
      <c r="P162" s="281"/>
      <c r="S162" s="137"/>
      <c r="T162" s="281"/>
      <c r="V162" s="129"/>
    </row>
    <row r="163" spans="1:22" ht="12.95">
      <c r="A163" s="479">
        <v>0.03</v>
      </c>
      <c r="B163" s="480">
        <f>-B162*A163</f>
        <v>0</v>
      </c>
      <c r="D163" s="167"/>
      <c r="G163" s="479">
        <v>0.03</v>
      </c>
      <c r="H163" s="480">
        <f>-H162*G163</f>
        <v>0</v>
      </c>
      <c r="J163" s="167"/>
      <c r="M163" s="479">
        <v>0.03</v>
      </c>
      <c r="N163" s="480">
        <f>-N162*M163</f>
        <v>0</v>
      </c>
      <c r="P163" s="167"/>
      <c r="S163" s="277"/>
      <c r="T163" s="288"/>
      <c r="V163" s="281"/>
    </row>
    <row r="164" spans="1:22" ht="13.5" thickBot="1">
      <c r="A164" s="414" t="s">
        <v>472</v>
      </c>
      <c r="B164" s="481">
        <f>SUM(B162:B163)</f>
        <v>0</v>
      </c>
      <c r="G164" s="414" t="s">
        <v>472</v>
      </c>
      <c r="H164" s="481">
        <f>SUM(H162:H163)</f>
        <v>0</v>
      </c>
      <c r="M164" s="414" t="s">
        <v>472</v>
      </c>
      <c r="N164" s="481">
        <f>SUM(N162:N163)</f>
        <v>0</v>
      </c>
      <c r="S164" s="280"/>
      <c r="T164" s="350"/>
      <c r="V164" s="167"/>
    </row>
    <row r="165" spans="1:22" ht="13.5" thickBot="1">
      <c r="A165" s="1023" t="s">
        <v>473</v>
      </c>
      <c r="B165" s="1024"/>
      <c r="G165" s="1023" t="s">
        <v>473</v>
      </c>
      <c r="H165" s="1024"/>
      <c r="M165" s="1023" t="s">
        <v>473</v>
      </c>
      <c r="N165" s="1024"/>
      <c r="S165" s="277"/>
      <c r="T165" s="351"/>
    </row>
    <row r="166" spans="1:22" ht="12.95">
      <c r="A166" s="360" t="s">
        <v>474</v>
      </c>
      <c r="B166" s="567">
        <f>IFERROR(INDEX(Assumptions!$J$64:$L$76,MATCH('2-E Financial'!B$34,Assumptions!$J$64:$J$76,0),3),0)</f>
        <v>0.06</v>
      </c>
      <c r="G166" s="360" t="s">
        <v>474</v>
      </c>
      <c r="H166" s="567">
        <f>IFERROR(INDEX(Assumptions!$J$64:$L$76,MATCH('2-E Financial'!H$34,Assumptions!$J$64:$J$76,0),3),0)</f>
        <v>0</v>
      </c>
      <c r="M166" s="360" t="s">
        <v>474</v>
      </c>
      <c r="N166" s="567">
        <f>IFERROR(INDEX(Assumptions!$J$64:$L$76,MATCH('2-E Financial'!N$34,Assumptions!$J$64:$J$76,0),3),0)</f>
        <v>0</v>
      </c>
      <c r="S166" s="277"/>
      <c r="T166" s="351"/>
    </row>
    <row r="167" spans="1:22" ht="12.95">
      <c r="A167" s="482" t="s">
        <v>475</v>
      </c>
      <c r="B167" s="483">
        <f>IFERROR(E$129/B$166,0)</f>
        <v>122095010.5833333</v>
      </c>
      <c r="C167" s="279"/>
      <c r="G167" s="482" t="s">
        <v>475</v>
      </c>
      <c r="H167" s="483">
        <f>IFERROR(K$129/H$166,0)</f>
        <v>0</v>
      </c>
      <c r="I167" s="279"/>
      <c r="M167" s="482" t="s">
        <v>475</v>
      </c>
      <c r="N167" s="483">
        <f>IFERROR(Q$129/N$166,0)</f>
        <v>0</v>
      </c>
      <c r="O167" s="279"/>
      <c r="S167" s="277"/>
      <c r="T167" s="351"/>
    </row>
    <row r="168" spans="1:22" ht="12.95">
      <c r="A168" s="408" t="s">
        <v>476</v>
      </c>
      <c r="B168" s="484">
        <f>IFERROR(B166-1%,0)</f>
        <v>4.9999999999999996E-2</v>
      </c>
      <c r="C168" s="288"/>
      <c r="F168" s="18"/>
      <c r="G168" s="408" t="s">
        <v>476</v>
      </c>
      <c r="H168" s="484">
        <f>IFERROR(H166-1%,0)</f>
        <v>-0.01</v>
      </c>
      <c r="I168" s="288"/>
      <c r="L168" s="18"/>
      <c r="M168" s="408" t="s">
        <v>476</v>
      </c>
      <c r="N168" s="484">
        <f>IFERROR(N166-1%,0)</f>
        <v>-0.01</v>
      </c>
      <c r="O168" s="288"/>
      <c r="R168" s="18"/>
      <c r="S168" s="352"/>
      <c r="T168" s="281"/>
    </row>
    <row r="169" spans="1:22" ht="12.95">
      <c r="A169" s="408" t="s">
        <v>127</v>
      </c>
      <c r="B169" s="872">
        <f>IFERROR(INDEX(Assumptions!$J$48:$L$60,MATCH('2-E Financial'!B$34,Assumptions!$J$48:$J$60,0),3),0)</f>
        <v>0.04</v>
      </c>
      <c r="F169" s="18"/>
      <c r="G169" s="408" t="s">
        <v>127</v>
      </c>
      <c r="H169" s="872">
        <f>IFERROR(INDEX(Assumptions!$J$48:$L$60,MATCH('2-E Financial'!H$34,Assumptions!$J$48:$J$60,0),3),0)</f>
        <v>0</v>
      </c>
      <c r="L169" s="18"/>
      <c r="M169" s="408" t="s">
        <v>127</v>
      </c>
      <c r="N169" s="872">
        <f>IFERROR(INDEX(Assumptions!$J$48:$L$60,MATCH('2-E Financial'!N$34,Assumptions!$J$48:$J$60,0),3),0)</f>
        <v>0</v>
      </c>
      <c r="R169" s="18"/>
      <c r="S169" s="352"/>
      <c r="T169" s="281"/>
    </row>
    <row r="170" spans="1:22" ht="12.95">
      <c r="A170" s="408" t="s">
        <v>125</v>
      </c>
      <c r="B170" s="485">
        <f>Assumptions!$L$41</f>
        <v>5</v>
      </c>
      <c r="D170" s="279"/>
      <c r="F170" s="18"/>
      <c r="G170" s="408" t="s">
        <v>125</v>
      </c>
      <c r="H170" s="485">
        <f>Assumptions!$L$41</f>
        <v>5</v>
      </c>
      <c r="J170" s="279"/>
      <c r="L170" s="18"/>
      <c r="M170" s="408" t="s">
        <v>125</v>
      </c>
      <c r="N170" s="485">
        <f>Assumptions!$L$41</f>
        <v>5</v>
      </c>
      <c r="P170" s="279"/>
      <c r="R170" s="18"/>
      <c r="S170" s="352"/>
      <c r="T170" s="281"/>
    </row>
    <row r="171" spans="1:22" ht="12.95">
      <c r="A171" s="408" t="s">
        <v>386</v>
      </c>
      <c r="B171" s="419">
        <f>(E$129*(1+B$169)^(B$170+1))</f>
        <v>9269348.3372737244</v>
      </c>
      <c r="D171" s="279"/>
      <c r="F171" s="18"/>
      <c r="G171" s="408" t="s">
        <v>386</v>
      </c>
      <c r="H171" s="419">
        <f>(K$129*(1+H$169)^(H$170+1))</f>
        <v>0</v>
      </c>
      <c r="J171" s="279"/>
      <c r="L171" s="18"/>
      <c r="M171" s="408" t="s">
        <v>386</v>
      </c>
      <c r="N171" s="419">
        <f>(Q$129*(1+N$169)^(N$170+1))</f>
        <v>0</v>
      </c>
      <c r="P171" s="279"/>
      <c r="R171" s="18"/>
      <c r="S171" s="352"/>
      <c r="T171" s="281"/>
    </row>
    <row r="172" spans="1:22" ht="12.95">
      <c r="A172" s="418" t="s">
        <v>477</v>
      </c>
      <c r="B172" s="483">
        <f>IFERROR(B171/B$168,0)</f>
        <v>185386966.74547452</v>
      </c>
      <c r="C172" s="357"/>
      <c r="D172" s="279"/>
      <c r="F172" s="18"/>
      <c r="G172" s="418" t="s">
        <v>477</v>
      </c>
      <c r="H172" s="483">
        <f>IFERROR(H171/H$168,0)</f>
        <v>0</v>
      </c>
      <c r="I172" s="357"/>
      <c r="J172" s="279"/>
      <c r="L172" s="18"/>
      <c r="M172" s="418" t="s">
        <v>477</v>
      </c>
      <c r="N172" s="483">
        <f>IFERROR(N171/N$168,0)</f>
        <v>0</v>
      </c>
      <c r="O172" s="357"/>
      <c r="P172" s="279"/>
      <c r="R172" s="18"/>
      <c r="S172" s="352"/>
      <c r="T172" s="281"/>
    </row>
    <row r="173" spans="1:22" ht="12.95">
      <c r="A173" s="412" t="s">
        <v>471</v>
      </c>
      <c r="B173" s="486">
        <f>B172</f>
        <v>185386966.74547452</v>
      </c>
      <c r="F173" s="18"/>
      <c r="G173" s="412" t="s">
        <v>471</v>
      </c>
      <c r="H173" s="486">
        <f>H172</f>
        <v>0</v>
      </c>
      <c r="L173" s="18"/>
      <c r="M173" s="412" t="s">
        <v>471</v>
      </c>
      <c r="N173" s="486">
        <f>N172</f>
        <v>0</v>
      </c>
      <c r="R173" s="18"/>
      <c r="S173" s="352"/>
      <c r="T173" s="281"/>
    </row>
    <row r="174" spans="1:22" ht="12.95">
      <c r="A174" s="479">
        <v>0.03</v>
      </c>
      <c r="B174" s="413">
        <f>-A$174*B$167</f>
        <v>-3662850.317499999</v>
      </c>
      <c r="D174" s="167"/>
      <c r="G174" s="479">
        <v>0.03</v>
      </c>
      <c r="H174" s="413">
        <f>-G$174*H$167</f>
        <v>0</v>
      </c>
      <c r="J174" s="167"/>
      <c r="M174" s="479">
        <v>0.03</v>
      </c>
      <c r="N174" s="413">
        <f>-M$174*N$167</f>
        <v>0</v>
      </c>
      <c r="P174" s="167"/>
      <c r="S174" s="353"/>
      <c r="T174" s="283"/>
    </row>
    <row r="175" spans="1:22" ht="13.5" thickBot="1">
      <c r="A175" s="414" t="s">
        <v>472</v>
      </c>
      <c r="B175" s="415">
        <f>SUM(B173:B174)</f>
        <v>181724116.42797452</v>
      </c>
      <c r="D175" s="283"/>
      <c r="E175" s="274"/>
      <c r="G175" s="414" t="s">
        <v>472</v>
      </c>
      <c r="H175" s="415">
        <f>SUM(H173:H174)</f>
        <v>0</v>
      </c>
      <c r="J175" s="283"/>
      <c r="K175" s="274"/>
      <c r="M175" s="414" t="s">
        <v>472</v>
      </c>
      <c r="N175" s="415">
        <f>SUM(N173:N174)</f>
        <v>0</v>
      </c>
      <c r="P175" s="283"/>
      <c r="Q175" s="274"/>
      <c r="S175" s="277"/>
      <c r="T175" s="288"/>
      <c r="V175" s="167"/>
    </row>
    <row r="176" spans="1:22" ht="13.5" thickBot="1">
      <c r="A176" s="1023" t="s">
        <v>478</v>
      </c>
      <c r="B176" s="566"/>
      <c r="D176" s="276"/>
      <c r="G176" s="1023" t="s">
        <v>478</v>
      </c>
      <c r="H176" s="566"/>
      <c r="J176" s="276"/>
      <c r="M176" s="1023" t="s">
        <v>478</v>
      </c>
      <c r="N176" s="566"/>
      <c r="P176" s="276"/>
      <c r="S176" s="280"/>
      <c r="T176" s="278"/>
    </row>
    <row r="177" spans="1:23" ht="12.95">
      <c r="A177" s="291" t="s">
        <v>479</v>
      </c>
      <c r="B177" s="292">
        <f>B162+B173</f>
        <v>185386966.74547452</v>
      </c>
      <c r="G177" s="291" t="s">
        <v>479</v>
      </c>
      <c r="H177" s="292">
        <f>H162+H173</f>
        <v>0</v>
      </c>
      <c r="M177" s="291" t="s">
        <v>479</v>
      </c>
      <c r="N177" s="292">
        <f>N162+N173</f>
        <v>0</v>
      </c>
      <c r="S177" s="277"/>
      <c r="T177" s="302"/>
      <c r="V177" s="276"/>
    </row>
    <row r="178" spans="1:23" ht="12.95">
      <c r="A178" s="418" t="s">
        <v>480</v>
      </c>
      <c r="B178" s="486">
        <f>SUM(B164,B175)</f>
        <v>181724116.42797452</v>
      </c>
      <c r="G178" s="418" t="s">
        <v>480</v>
      </c>
      <c r="H178" s="486">
        <f>SUM(H164,H175)</f>
        <v>0</v>
      </c>
      <c r="M178" s="418" t="s">
        <v>480</v>
      </c>
      <c r="N178" s="486">
        <f>SUM(N164,N175)</f>
        <v>0</v>
      </c>
      <c r="S178" s="277"/>
      <c r="T178" s="302"/>
      <c r="V178" s="276"/>
    </row>
    <row r="179" spans="1:23" ht="13.5" thickBot="1">
      <c r="A179" s="416" t="s">
        <v>481</v>
      </c>
      <c r="B179" s="417">
        <f>SUM(B178:B178)</f>
        <v>181724116.42797452</v>
      </c>
      <c r="G179" s="416" t="s">
        <v>481</v>
      </c>
      <c r="H179" s="417">
        <f>SUM(H178:H178)</f>
        <v>0</v>
      </c>
      <c r="M179" s="416" t="s">
        <v>481</v>
      </c>
      <c r="N179" s="417">
        <f>SUM(N178:N178)</f>
        <v>0</v>
      </c>
      <c r="S179" s="277"/>
      <c r="T179" s="302"/>
      <c r="V179" s="276"/>
    </row>
    <row r="180" spans="1:23" ht="23.25" customHeight="1">
      <c r="G180" s="284"/>
      <c r="H180" s="287"/>
      <c r="M180" s="284"/>
      <c r="N180" s="287"/>
      <c r="S180" s="283"/>
      <c r="T180" s="287"/>
      <c r="V180" s="276"/>
      <c r="W180" s="275"/>
    </row>
    <row r="181" spans="1:23" ht="23.25" customHeight="1">
      <c r="G181" s="355"/>
      <c r="H181" s="354"/>
      <c r="M181" s="355"/>
      <c r="N181" s="354"/>
      <c r="S181" s="284"/>
      <c r="T181" s="287"/>
    </row>
    <row r="182" spans="1:23" ht="23.25" customHeight="1">
      <c r="D182" s="277"/>
      <c r="G182" s="356"/>
      <c r="H182" s="288"/>
      <c r="J182" s="277"/>
      <c r="M182" s="356"/>
      <c r="N182" s="288"/>
      <c r="P182" s="277"/>
      <c r="S182" s="355"/>
      <c r="T182" s="354"/>
    </row>
    <row r="183" spans="1:23" ht="23.25" customHeight="1">
      <c r="S183" s="356"/>
      <c r="T183" s="288"/>
      <c r="V183" s="277"/>
    </row>
    <row r="184" spans="1:23" ht="23.25" customHeight="1">
      <c r="B184" s="130"/>
      <c r="D184" s="277"/>
    </row>
  </sheetData>
  <mergeCells count="9">
    <mergeCell ref="A118:E118"/>
    <mergeCell ref="G118:K118"/>
    <mergeCell ref="M118:Q118"/>
    <mergeCell ref="S118:W118"/>
    <mergeCell ref="D2:E2"/>
    <mergeCell ref="B116:C116"/>
    <mergeCell ref="H116:I116"/>
    <mergeCell ref="N116:O116"/>
    <mergeCell ref="T116:U116"/>
  </mergeCells>
  <conditionalFormatting sqref="C49 C66">
    <cfRule type="expression" dxfId="83" priority="8">
      <formula>C55&gt;D48</formula>
    </cfRule>
  </conditionalFormatting>
  <conditionalFormatting sqref="C58 C75 C83">
    <cfRule type="expression" dxfId="82" priority="7">
      <formula>C63&gt;D57</formula>
    </cfRule>
  </conditionalFormatting>
  <conditionalFormatting sqref="I49 I66">
    <cfRule type="expression" dxfId="81" priority="4">
      <formula>I55&gt;J48</formula>
    </cfRule>
  </conditionalFormatting>
  <conditionalFormatting sqref="I58 I75 I83">
    <cfRule type="expression" dxfId="80" priority="3">
      <formula>I63&gt;J57</formula>
    </cfRule>
  </conditionalFormatting>
  <conditionalFormatting sqref="O49 O66">
    <cfRule type="expression" dxfId="79" priority="2">
      <formula>O55&gt;P48</formula>
    </cfRule>
  </conditionalFormatting>
  <conditionalFormatting sqref="O58 O75 O83">
    <cfRule type="expression" dxfId="78" priority="1">
      <formula>O63&gt;P57</formula>
    </cfRule>
  </conditionalFormatting>
  <conditionalFormatting sqref="U49 U66">
    <cfRule type="expression" dxfId="77" priority="6">
      <formula>U55&gt;V48</formula>
    </cfRule>
  </conditionalFormatting>
  <conditionalFormatting sqref="U58 U75 U83">
    <cfRule type="expression" dxfId="76" priority="5">
      <formula>U63&gt;V57</formula>
    </cfRule>
  </conditionalFormatting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1" manualBreakCount="1">
    <brk id="111" max="4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ABC58-DAAA-4F3C-88DC-DE347F802071}">
  <sheetPr>
    <tabColor theme="2" tint="-9.9978637043366805E-2"/>
  </sheetPr>
  <dimension ref="A1:CI185"/>
  <sheetViews>
    <sheetView zoomScale="70" zoomScaleNormal="70" zoomScalePageLayoutView="125" workbookViewId="0">
      <pane xSplit="1" ySplit="9" topLeftCell="R36" activePane="bottomRight" state="frozen"/>
      <selection pane="bottomRight" activeCell="T42" sqref="T42"/>
      <selection pane="bottomLeft" activeCell="B57" sqref="B57"/>
      <selection pane="topRight" activeCell="B57" sqref="B57"/>
    </sheetView>
  </sheetViews>
  <sheetFormatPr defaultColWidth="8.85546875" defaultRowHeight="14.1"/>
  <cols>
    <col min="1" max="1" width="44" style="207" bestFit="1" customWidth="1"/>
    <col min="2" max="2" width="42.5703125" style="208" customWidth="1"/>
    <col min="3" max="4" width="17.85546875" style="207" hidden="1" customWidth="1"/>
    <col min="5" max="43" width="17.85546875" style="207" customWidth="1"/>
    <col min="44" max="44" width="17.85546875" style="208" customWidth="1"/>
    <col min="45" max="58" width="17.5703125" style="207" customWidth="1"/>
    <col min="59" max="59" width="20.42578125" style="207" customWidth="1"/>
    <col min="60" max="84" width="17" style="207" customWidth="1"/>
    <col min="85" max="85" width="16.42578125" style="207" customWidth="1"/>
    <col min="86" max="86" width="15" style="209" customWidth="1"/>
    <col min="87" max="87" width="17.85546875" style="209" bestFit="1" customWidth="1"/>
    <col min="88" max="88" width="9.42578125" style="207" bestFit="1" customWidth="1"/>
    <col min="89" max="89" width="11.85546875" style="207" bestFit="1" customWidth="1"/>
    <col min="90" max="91" width="9.42578125" style="207" bestFit="1" customWidth="1"/>
    <col min="92" max="16384" width="8.85546875" style="207"/>
  </cols>
  <sheetData>
    <row r="1" spans="1:87" ht="20.25" customHeight="1"/>
    <row r="2" spans="1:87" s="488" customFormat="1" ht="20.25" customHeight="1">
      <c r="A2" s="1081" t="str">
        <f>'2-E Financial'!D2</f>
        <v>2-E</v>
      </c>
      <c r="B2" s="775"/>
      <c r="C2" s="1092"/>
      <c r="D2" s="1092"/>
      <c r="E2" s="1082" t="str">
        <f>'Development Program'!C65</f>
        <v>Pre-Development</v>
      </c>
      <c r="F2" s="1083"/>
      <c r="G2" s="1083"/>
      <c r="H2" s="1082" t="str">
        <f>'Development Program'!F65</f>
        <v>Construction</v>
      </c>
      <c r="I2" s="1083"/>
      <c r="J2" s="1083"/>
      <c r="K2" s="1082" t="str">
        <f>'Development Program'!I65</f>
        <v>Close-Out</v>
      </c>
      <c r="L2" s="1083"/>
      <c r="M2" s="1084"/>
      <c r="N2" s="420" t="s">
        <v>202</v>
      </c>
      <c r="O2" s="1092"/>
      <c r="P2" s="1092"/>
      <c r="Q2" s="1092"/>
      <c r="R2" s="1092"/>
      <c r="S2" s="1092"/>
      <c r="T2" s="1092"/>
      <c r="U2" s="1092"/>
      <c r="V2" s="1092"/>
      <c r="W2" s="1092"/>
      <c r="X2" s="1092"/>
      <c r="Y2" s="1092"/>
      <c r="Z2" s="1092"/>
      <c r="AA2" s="1092"/>
      <c r="AB2" s="1092"/>
      <c r="AC2" s="1092"/>
      <c r="AD2" s="1092"/>
      <c r="AE2" s="1092"/>
      <c r="AF2" s="1092"/>
      <c r="AG2" s="1092"/>
      <c r="AH2" s="1092"/>
      <c r="AI2" s="1092"/>
      <c r="AJ2" s="1092"/>
      <c r="AK2" s="1092"/>
      <c r="AL2" s="1092"/>
      <c r="AM2" s="1092"/>
      <c r="AN2" s="1092"/>
      <c r="AO2" s="1092"/>
      <c r="AP2" s="1092"/>
      <c r="AQ2" s="1092"/>
      <c r="AR2" s="775"/>
      <c r="AS2" s="1092"/>
      <c r="AT2" s="1092"/>
      <c r="AU2" s="1092"/>
      <c r="AV2" s="1092"/>
      <c r="AW2" s="1092"/>
      <c r="AX2" s="1092"/>
      <c r="AY2" s="1092"/>
      <c r="AZ2" s="1092"/>
      <c r="BA2" s="1092"/>
      <c r="BB2" s="1092"/>
      <c r="BC2" s="1092"/>
      <c r="BD2" s="1092"/>
      <c r="BE2" s="1092"/>
      <c r="BF2" s="1092"/>
      <c r="BG2" s="1092"/>
      <c r="BH2" s="1092"/>
      <c r="BI2" s="1092"/>
      <c r="BJ2" s="1092"/>
      <c r="BK2" s="1092"/>
      <c r="BL2" s="1092"/>
      <c r="BM2" s="1092"/>
      <c r="BN2" s="1092"/>
      <c r="BO2" s="1092"/>
      <c r="BP2" s="1092"/>
      <c r="BQ2" s="1092"/>
      <c r="BR2" s="1092"/>
      <c r="BS2" s="1092"/>
      <c r="BT2" s="1092"/>
      <c r="BU2" s="1092"/>
      <c r="BV2" s="1092"/>
      <c r="BW2" s="1092"/>
      <c r="BX2" s="1092"/>
      <c r="BY2" s="1092"/>
      <c r="BZ2" s="1092"/>
      <c r="CA2" s="1092"/>
      <c r="CB2" s="1092"/>
      <c r="CC2" s="1092"/>
      <c r="CD2" s="1092"/>
      <c r="CE2" s="1092"/>
      <c r="CF2" s="1092"/>
      <c r="CG2" s="1092"/>
      <c r="CH2" s="1093"/>
      <c r="CI2" s="1093"/>
    </row>
    <row r="3" spans="1:87" ht="20.25" customHeight="1">
      <c r="A3" s="1081"/>
      <c r="B3" s="248" t="s">
        <v>482</v>
      </c>
      <c r="E3" s="765" t="str">
        <f>'Development Program'!C66</f>
        <v>PD Start</v>
      </c>
      <c r="F3" s="1094" t="str">
        <f>'Development Program'!D66</f>
        <v>PD End</v>
      </c>
      <c r="G3" s="766" t="str">
        <f>'Development Program'!E66</f>
        <v>PD Duration</v>
      </c>
      <c r="H3" s="765" t="str">
        <f>'Development Program'!F66</f>
        <v>CS Start</v>
      </c>
      <c r="I3" s="1094" t="str">
        <f>'Development Program'!G66</f>
        <v>CS End</v>
      </c>
      <c r="J3" s="766" t="str">
        <f>'Development Program'!H66</f>
        <v>CS Duration</v>
      </c>
      <c r="K3" s="1025" t="str">
        <f>'Development Program'!I66</f>
        <v>CO Start</v>
      </c>
      <c r="L3" s="767" t="str">
        <f>'Development Program'!J66</f>
        <v>CO End</v>
      </c>
      <c r="M3" s="266" t="str">
        <f>'Development Program'!K66</f>
        <v>CO Duration</v>
      </c>
      <c r="N3" s="262"/>
    </row>
    <row r="4" spans="1:87" s="768" customFormat="1" ht="20.25" customHeight="1">
      <c r="A4" s="1081"/>
      <c r="B4" s="776" t="s">
        <v>483</v>
      </c>
      <c r="E4" s="263">
        <f>INDEX('Development Program'!$B$66:$K$76,MATCH($A$2,'Development Program'!$B$66:$B$76,0),MATCH(E3,'Development Program'!$B$66:$K$66,0))</f>
        <v>46753</v>
      </c>
      <c r="F4" s="264">
        <f>INDEX('Development Program'!$B$66:$K$76,MATCH($A$2,'Development Program'!$B$66:$B$76,0),MATCH(F3,'Development Program'!$B$66:$K$66,0))</f>
        <v>47208</v>
      </c>
      <c r="G4" s="265">
        <f>INDEX('Development Program'!$B$66:$K$76,MATCH($A$2,'Development Program'!$B$66:$B$76,0),MATCH(G3,'Development Program'!$B$66:$K$66,0))</f>
        <v>15</v>
      </c>
      <c r="H4" s="263">
        <f>INDEX('Development Program'!$B$66:$K$76,MATCH($A$2,'Development Program'!$B$66:$B$76,0),MATCH(H3,'Development Program'!$B$66:$K$66,0))</f>
        <v>47209</v>
      </c>
      <c r="I4" s="264">
        <f>INDEX('Development Program'!$B$66:$K$76,MATCH($A$2,'Development Program'!$B$66:$B$76,0),MATCH(I3,'Development Program'!$B$66:$K$66,0))</f>
        <v>48029</v>
      </c>
      <c r="J4" s="265">
        <f>INDEX('Development Program'!$B$66:$K$76,MATCH($A$2,'Development Program'!$B$66:$B$76,0),MATCH(J3,'Development Program'!$B$66:$K$66,0))</f>
        <v>27</v>
      </c>
      <c r="K4" s="263">
        <f>INDEX('Development Program'!$B$66:$K$76,MATCH($A$2,'Development Program'!$B$66:$B$76,0),MATCH(K3,'Development Program'!$B$66:$K$66,0))</f>
        <v>48030</v>
      </c>
      <c r="L4" s="264">
        <f>INDEX('Development Program'!$B$66:$K$76,MATCH($A$2,'Development Program'!$B$66:$B$76,0),MATCH(L3,'Development Program'!$B$66:$K$66,0))</f>
        <v>48213</v>
      </c>
      <c r="M4" s="265">
        <f>INDEX('Development Program'!$B$66:$K$76,MATCH($A$2,'Development Program'!$B$66:$B$76,0),MATCH(M3,'Development Program'!$B$66:$K$66,0))</f>
        <v>6</v>
      </c>
      <c r="N4" s="265">
        <f>INDEX('Development Program'!$B$66:$L$76,MATCH($A$2,'Development Program'!$B$66:$B$76,0),MATCH(N2,'Development Program'!$B$65:$L$65,0))</f>
        <v>48</v>
      </c>
      <c r="O4" s="769"/>
      <c r="U4" s="770"/>
      <c r="AR4" s="771"/>
      <c r="AS4" s="772"/>
      <c r="AT4" s="772"/>
      <c r="AU4" s="772"/>
      <c r="BA4" s="1085" t="s">
        <v>484</v>
      </c>
      <c r="BB4" s="1085"/>
      <c r="BC4" s="1085"/>
      <c r="BD4" s="1085"/>
      <c r="BE4" s="1085"/>
      <c r="BF4" s="773"/>
      <c r="BG4" s="1080" t="s">
        <v>485</v>
      </c>
      <c r="BH4" s="1080"/>
      <c r="BI4" s="1080"/>
      <c r="CH4" s="774"/>
      <c r="CI4" s="774"/>
    </row>
    <row r="5" spans="1:87" s="210" customFormat="1" ht="20.25" customHeight="1">
      <c r="A5" s="261"/>
      <c r="B5" s="249"/>
      <c r="C5" s="258" t="str">
        <f>IFERROR(INDEX($E$2:$N$4,2,MATCH(#REF!+1,$E$4:$N$4,0)),"")</f>
        <v/>
      </c>
      <c r="D5" s="258" t="str">
        <f>IFERROR(INDEX($E$2:$N$4,2,MATCH(C9+1,$E$4:$N$4,0)),"")</f>
        <v/>
      </c>
      <c r="E5" s="258"/>
      <c r="F5" s="258" t="str">
        <f t="shared" ref="F5:X5" si="0">IFERROR(INDEX($E$2:$N$4,2,MATCH(E9+1,$E$4:$N$4,0)),"")</f>
        <v>PD Start</v>
      </c>
      <c r="G5" s="258" t="str">
        <f t="shared" si="0"/>
        <v/>
      </c>
      <c r="H5" s="258" t="str">
        <f t="shared" si="0"/>
        <v/>
      </c>
      <c r="I5" s="258" t="str">
        <f t="shared" si="0"/>
        <v/>
      </c>
      <c r="J5" s="258" t="str">
        <f t="shared" si="0"/>
        <v/>
      </c>
      <c r="K5" s="258" t="str">
        <f t="shared" si="0"/>
        <v>CS Start</v>
      </c>
      <c r="L5" s="258" t="str">
        <f t="shared" si="0"/>
        <v/>
      </c>
      <c r="M5" s="258" t="str">
        <f t="shared" si="0"/>
        <v/>
      </c>
      <c r="N5" s="258" t="str">
        <f t="shared" si="0"/>
        <v/>
      </c>
      <c r="O5" s="258" t="str">
        <f t="shared" si="0"/>
        <v/>
      </c>
      <c r="P5" s="258" t="str">
        <f t="shared" si="0"/>
        <v/>
      </c>
      <c r="Q5" s="258" t="str">
        <f t="shared" si="0"/>
        <v/>
      </c>
      <c r="R5" s="258" t="str">
        <f t="shared" si="0"/>
        <v/>
      </c>
      <c r="S5" s="258" t="str">
        <f t="shared" si="0"/>
        <v/>
      </c>
      <c r="T5" s="258" t="str">
        <f t="shared" si="0"/>
        <v>CO Start</v>
      </c>
      <c r="U5" s="258" t="str">
        <f t="shared" si="0"/>
        <v/>
      </c>
      <c r="V5" s="258" t="str">
        <f t="shared" si="0"/>
        <v/>
      </c>
      <c r="W5" s="258" t="str">
        <f t="shared" si="0"/>
        <v/>
      </c>
      <c r="X5" s="258" t="str">
        <f t="shared" si="0"/>
        <v/>
      </c>
      <c r="Y5" s="246">
        <v>1</v>
      </c>
      <c r="Z5" s="246">
        <v>1</v>
      </c>
      <c r="AA5" s="246">
        <v>1</v>
      </c>
      <c r="AB5" s="246">
        <v>1</v>
      </c>
      <c r="AC5" s="246">
        <v>2</v>
      </c>
      <c r="AD5" s="246">
        <v>2</v>
      </c>
      <c r="AE5" s="246">
        <v>2</v>
      </c>
      <c r="AF5" s="246">
        <v>2</v>
      </c>
      <c r="AG5" s="246">
        <v>3</v>
      </c>
      <c r="AH5" s="246">
        <v>3</v>
      </c>
      <c r="AI5" s="246">
        <v>3</v>
      </c>
      <c r="AJ5" s="246">
        <v>3</v>
      </c>
      <c r="AK5" s="246">
        <v>4</v>
      </c>
      <c r="AL5" s="246">
        <v>4</v>
      </c>
      <c r="AM5" s="246">
        <v>4</v>
      </c>
      <c r="AN5" s="246">
        <v>4</v>
      </c>
      <c r="AO5" s="246">
        <v>5</v>
      </c>
      <c r="AP5" s="246">
        <v>5</v>
      </c>
      <c r="AQ5" s="246">
        <v>5</v>
      </c>
      <c r="AR5" s="247">
        <v>5</v>
      </c>
      <c r="AS5" s="211"/>
      <c r="AT5" s="211"/>
      <c r="AU5" s="211"/>
      <c r="BA5" s="212"/>
      <c r="BB5" s="212"/>
      <c r="BC5" s="212"/>
      <c r="BD5" s="212"/>
      <c r="BE5" s="212"/>
      <c r="BF5" s="212"/>
      <c r="BG5" s="213"/>
      <c r="BH5" s="213"/>
      <c r="BI5" s="213"/>
      <c r="CH5" s="214"/>
      <c r="CI5" s="214"/>
    </row>
    <row r="6" spans="1:87" s="210" customFormat="1" ht="20.25" customHeight="1">
      <c r="A6" s="261"/>
      <c r="B6" s="249"/>
      <c r="C6" s="258"/>
      <c r="D6" s="258"/>
      <c r="E6" s="258" t="str">
        <f t="shared" ref="E6:X6" si="1">IFERROR(INDEX($E$2:$N$4,2,MATCH(E9,$E$4:$N$4,0)),"")</f>
        <v/>
      </c>
      <c r="F6" s="258" t="str">
        <f t="shared" si="1"/>
        <v/>
      </c>
      <c r="G6" s="258" t="str">
        <f t="shared" si="1"/>
        <v/>
      </c>
      <c r="H6" s="258" t="str">
        <f t="shared" si="1"/>
        <v/>
      </c>
      <c r="I6" s="258" t="str">
        <f t="shared" si="1"/>
        <v/>
      </c>
      <c r="J6" s="258" t="str">
        <f t="shared" si="1"/>
        <v>PD End</v>
      </c>
      <c r="K6" s="258" t="str">
        <f t="shared" si="1"/>
        <v/>
      </c>
      <c r="L6" s="258" t="str">
        <f t="shared" si="1"/>
        <v/>
      </c>
      <c r="M6" s="258" t="str">
        <f t="shared" si="1"/>
        <v/>
      </c>
      <c r="N6" s="258" t="str">
        <f t="shared" si="1"/>
        <v/>
      </c>
      <c r="O6" s="258" t="str">
        <f t="shared" si="1"/>
        <v/>
      </c>
      <c r="P6" s="258" t="str">
        <f t="shared" si="1"/>
        <v/>
      </c>
      <c r="Q6" s="258" t="str">
        <f t="shared" si="1"/>
        <v/>
      </c>
      <c r="R6" s="258" t="str">
        <f t="shared" si="1"/>
        <v/>
      </c>
      <c r="S6" s="258" t="str">
        <f t="shared" si="1"/>
        <v>CS End</v>
      </c>
      <c r="T6" s="258" t="str">
        <f t="shared" si="1"/>
        <v/>
      </c>
      <c r="U6" s="258" t="str">
        <f t="shared" si="1"/>
        <v>CO End</v>
      </c>
      <c r="V6" s="258" t="str">
        <f t="shared" si="1"/>
        <v/>
      </c>
      <c r="W6" s="258" t="str">
        <f t="shared" si="1"/>
        <v/>
      </c>
      <c r="X6" s="258" t="str">
        <f t="shared" si="1"/>
        <v/>
      </c>
      <c r="Y6" s="828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247"/>
      <c r="AS6" s="211"/>
      <c r="AT6" s="211"/>
      <c r="AU6" s="211"/>
      <c r="BA6" s="212"/>
      <c r="BB6" s="212"/>
      <c r="BC6" s="212"/>
      <c r="BD6" s="212"/>
      <c r="BE6" s="212"/>
      <c r="BF6" s="212"/>
      <c r="BG6" s="213"/>
      <c r="BH6" s="213"/>
      <c r="BI6" s="213"/>
      <c r="CH6" s="214"/>
      <c r="CI6" s="214"/>
    </row>
    <row r="7" spans="1:87" s="210" customFormat="1" ht="20.25" customHeight="1">
      <c r="A7" s="261"/>
      <c r="B7" s="249" t="s">
        <v>486</v>
      </c>
      <c r="C7" s="258"/>
      <c r="D7" s="258"/>
      <c r="E7" s="258">
        <v>0</v>
      </c>
      <c r="F7" s="258">
        <f t="shared" ref="F7:X7" si="2">IF(OR($H$4&gt;F9,$K$4&lt;F9),0,E7+1)</f>
        <v>0</v>
      </c>
      <c r="G7" s="258">
        <f t="shared" si="2"/>
        <v>0</v>
      </c>
      <c r="H7" s="258">
        <f t="shared" si="2"/>
        <v>0</v>
      </c>
      <c r="I7" s="258">
        <f t="shared" si="2"/>
        <v>0</v>
      </c>
      <c r="J7" s="258">
        <f t="shared" si="2"/>
        <v>0</v>
      </c>
      <c r="K7" s="258">
        <f t="shared" si="2"/>
        <v>1</v>
      </c>
      <c r="L7" s="258">
        <f t="shared" si="2"/>
        <v>2</v>
      </c>
      <c r="M7" s="258">
        <f t="shared" si="2"/>
        <v>3</v>
      </c>
      <c r="N7" s="258">
        <f t="shared" si="2"/>
        <v>4</v>
      </c>
      <c r="O7" s="258">
        <f t="shared" si="2"/>
        <v>5</v>
      </c>
      <c r="P7" s="258">
        <f t="shared" si="2"/>
        <v>6</v>
      </c>
      <c r="Q7" s="258">
        <f t="shared" si="2"/>
        <v>7</v>
      </c>
      <c r="R7" s="258">
        <f t="shared" si="2"/>
        <v>8</v>
      </c>
      <c r="S7" s="258">
        <f t="shared" si="2"/>
        <v>9</v>
      </c>
      <c r="T7" s="258">
        <f t="shared" si="2"/>
        <v>0</v>
      </c>
      <c r="U7" s="258">
        <f t="shared" si="2"/>
        <v>0</v>
      </c>
      <c r="V7" s="258">
        <f t="shared" si="2"/>
        <v>0</v>
      </c>
      <c r="W7" s="258">
        <f t="shared" si="2"/>
        <v>0</v>
      </c>
      <c r="X7" s="258">
        <f t="shared" si="2"/>
        <v>0</v>
      </c>
      <c r="Y7" s="829">
        <v>1</v>
      </c>
      <c r="Z7" s="829">
        <v>2</v>
      </c>
      <c r="AA7" s="829">
        <v>3</v>
      </c>
      <c r="AB7" s="829">
        <v>4</v>
      </c>
      <c r="AC7" s="829">
        <v>1</v>
      </c>
      <c r="AD7" s="829">
        <v>2</v>
      </c>
      <c r="AE7" s="829">
        <v>3</v>
      </c>
      <c r="AF7" s="829">
        <v>4</v>
      </c>
      <c r="AG7" s="829">
        <v>1</v>
      </c>
      <c r="AH7" s="829">
        <v>2</v>
      </c>
      <c r="AI7" s="829">
        <v>3</v>
      </c>
      <c r="AJ7" s="829">
        <v>4</v>
      </c>
      <c r="AK7" s="829">
        <v>1</v>
      </c>
      <c r="AL7" s="829">
        <v>2</v>
      </c>
      <c r="AM7" s="829">
        <v>3</v>
      </c>
      <c r="AN7" s="829">
        <v>4</v>
      </c>
      <c r="AO7" s="829">
        <v>1</v>
      </c>
      <c r="AP7" s="829">
        <v>2</v>
      </c>
      <c r="AQ7" s="829">
        <v>3</v>
      </c>
      <c r="AR7" s="830">
        <v>4</v>
      </c>
      <c r="AS7" s="211"/>
      <c r="AT7" s="211"/>
      <c r="AU7" s="211"/>
      <c r="BA7" s="212"/>
      <c r="BB7" s="212"/>
      <c r="BC7" s="212"/>
      <c r="BD7" s="212"/>
      <c r="BE7" s="212"/>
      <c r="BF7" s="212"/>
      <c r="BG7" s="213"/>
      <c r="BH7" s="213"/>
      <c r="BI7" s="213"/>
      <c r="CH7" s="214"/>
      <c r="CI7" s="214"/>
    </row>
    <row r="8" spans="1:87" s="210" customFormat="1" ht="20.25" customHeight="1">
      <c r="A8" s="261"/>
      <c r="B8" s="249" t="s">
        <v>487</v>
      </c>
      <c r="C8" s="258"/>
      <c r="D8" s="258"/>
      <c r="E8" s="258">
        <v>0</v>
      </c>
      <c r="F8" s="258">
        <f>IF(OR(G6=$I$3,F6=$I$3,F5=$K$3),1,0)</f>
        <v>0</v>
      </c>
      <c r="G8" s="258">
        <f t="shared" ref="G8:W8" si="3">IF(OR(H6=$I$3,G6=$I$3,G5=$K$3),1,0)</f>
        <v>0</v>
      </c>
      <c r="H8" s="258">
        <f t="shared" si="3"/>
        <v>0</v>
      </c>
      <c r="I8" s="258">
        <f t="shared" si="3"/>
        <v>0</v>
      </c>
      <c r="J8" s="258">
        <f t="shared" si="3"/>
        <v>0</v>
      </c>
      <c r="K8" s="258">
        <f t="shared" si="3"/>
        <v>0</v>
      </c>
      <c r="L8" s="258">
        <f t="shared" si="3"/>
        <v>0</v>
      </c>
      <c r="M8" s="258">
        <f t="shared" si="3"/>
        <v>0</v>
      </c>
      <c r="N8" s="258">
        <f t="shared" si="3"/>
        <v>0</v>
      </c>
      <c r="O8" s="258">
        <f t="shared" si="3"/>
        <v>0</v>
      </c>
      <c r="P8" s="258">
        <f t="shared" si="3"/>
        <v>0</v>
      </c>
      <c r="Q8" s="258">
        <f t="shared" si="3"/>
        <v>0</v>
      </c>
      <c r="R8" s="258">
        <f t="shared" si="3"/>
        <v>1</v>
      </c>
      <c r="S8" s="258">
        <f t="shared" si="3"/>
        <v>1</v>
      </c>
      <c r="T8" s="258">
        <f t="shared" si="3"/>
        <v>1</v>
      </c>
      <c r="U8" s="258">
        <f t="shared" si="3"/>
        <v>0</v>
      </c>
      <c r="V8" s="258">
        <f t="shared" si="3"/>
        <v>0</v>
      </c>
      <c r="W8" s="258">
        <f t="shared" si="3"/>
        <v>0</v>
      </c>
      <c r="X8" s="258">
        <f>IF(OR(Y6=$I$3,X6=$I$3,X5=$K$3),1,0)</f>
        <v>0</v>
      </c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7"/>
      <c r="AS8" s="211"/>
      <c r="AT8" s="211"/>
      <c r="AU8" s="211"/>
      <c r="BA8" s="212"/>
      <c r="BB8" s="212"/>
      <c r="BC8" s="212"/>
      <c r="BD8" s="212"/>
      <c r="BE8" s="212"/>
      <c r="BF8" s="212"/>
      <c r="BG8" s="213"/>
      <c r="BH8" s="213"/>
      <c r="BI8" s="213"/>
      <c r="CH8" s="214"/>
      <c r="CI8" s="214"/>
    </row>
    <row r="9" spans="1:87" s="215" customFormat="1" ht="20.25" customHeight="1">
      <c r="A9" s="261"/>
      <c r="B9" s="250" t="s">
        <v>373</v>
      </c>
      <c r="C9" s="218" t="s">
        <v>488</v>
      </c>
      <c r="D9" s="218" t="s">
        <v>489</v>
      </c>
      <c r="E9" s="216">
        <f>E4-1</f>
        <v>46752</v>
      </c>
      <c r="F9" s="216">
        <f>EOMONTH(E9,3)</f>
        <v>46843</v>
      </c>
      <c r="G9" s="216">
        <f t="shared" ref="G9:V9" si="4">EOMONTH(F9,3)</f>
        <v>46934</v>
      </c>
      <c r="H9" s="216">
        <f t="shared" si="4"/>
        <v>47026</v>
      </c>
      <c r="I9" s="216">
        <f t="shared" si="4"/>
        <v>47118</v>
      </c>
      <c r="J9" s="216">
        <f t="shared" si="4"/>
        <v>47208</v>
      </c>
      <c r="K9" s="216">
        <f t="shared" si="4"/>
        <v>47299</v>
      </c>
      <c r="L9" s="216">
        <f t="shared" si="4"/>
        <v>47391</v>
      </c>
      <c r="M9" s="216">
        <f t="shared" si="4"/>
        <v>47483</v>
      </c>
      <c r="N9" s="216">
        <f t="shared" si="4"/>
        <v>47573</v>
      </c>
      <c r="O9" s="216">
        <f t="shared" si="4"/>
        <v>47664</v>
      </c>
      <c r="P9" s="216">
        <f t="shared" si="4"/>
        <v>47756</v>
      </c>
      <c r="Q9" s="216">
        <f t="shared" si="4"/>
        <v>47848</v>
      </c>
      <c r="R9" s="216">
        <f t="shared" si="4"/>
        <v>47938</v>
      </c>
      <c r="S9" s="216">
        <f t="shared" si="4"/>
        <v>48029</v>
      </c>
      <c r="T9" s="216">
        <f t="shared" si="4"/>
        <v>48121</v>
      </c>
      <c r="U9" s="216">
        <f t="shared" si="4"/>
        <v>48213</v>
      </c>
      <c r="V9" s="216">
        <f t="shared" si="4"/>
        <v>48304</v>
      </c>
      <c r="W9" s="216">
        <f>EOMONTH(V9,3)</f>
        <v>48395</v>
      </c>
      <c r="X9" s="216">
        <f>EOMONTH(W9,3)</f>
        <v>48487</v>
      </c>
      <c r="Y9" s="216">
        <f>EOMONTH(X9,3)</f>
        <v>48579</v>
      </c>
      <c r="Z9" s="216">
        <f t="shared" ref="Z9:AR9" si="5">EOMONTH(Y9,3)</f>
        <v>48669</v>
      </c>
      <c r="AA9" s="216">
        <f t="shared" si="5"/>
        <v>48760</v>
      </c>
      <c r="AB9" s="216">
        <f t="shared" si="5"/>
        <v>48852</v>
      </c>
      <c r="AC9" s="216">
        <f t="shared" si="5"/>
        <v>48944</v>
      </c>
      <c r="AD9" s="216">
        <f t="shared" si="5"/>
        <v>49034</v>
      </c>
      <c r="AE9" s="216">
        <f t="shared" si="5"/>
        <v>49125</v>
      </c>
      <c r="AF9" s="216">
        <f t="shared" si="5"/>
        <v>49217</v>
      </c>
      <c r="AG9" s="216">
        <f t="shared" si="5"/>
        <v>49309</v>
      </c>
      <c r="AH9" s="216">
        <f t="shared" si="5"/>
        <v>49399</v>
      </c>
      <c r="AI9" s="216">
        <f t="shared" si="5"/>
        <v>49490</v>
      </c>
      <c r="AJ9" s="216">
        <f t="shared" si="5"/>
        <v>49582</v>
      </c>
      <c r="AK9" s="216">
        <f t="shared" si="5"/>
        <v>49674</v>
      </c>
      <c r="AL9" s="216">
        <f t="shared" si="5"/>
        <v>49765</v>
      </c>
      <c r="AM9" s="216">
        <f t="shared" si="5"/>
        <v>49856</v>
      </c>
      <c r="AN9" s="216">
        <f t="shared" si="5"/>
        <v>49948</v>
      </c>
      <c r="AO9" s="216">
        <f t="shared" si="5"/>
        <v>50040</v>
      </c>
      <c r="AP9" s="216">
        <f t="shared" si="5"/>
        <v>50130</v>
      </c>
      <c r="AQ9" s="216">
        <f t="shared" si="5"/>
        <v>50221</v>
      </c>
      <c r="AR9" s="217">
        <f t="shared" si="5"/>
        <v>50313</v>
      </c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</row>
    <row r="10" spans="1:87" ht="20.25" customHeight="1">
      <c r="A10" s="207" t="s">
        <v>490</v>
      </c>
      <c r="B10" s="251"/>
      <c r="C10" s="220"/>
      <c r="D10" s="222"/>
      <c r="E10" s="271">
        <f>IF(E7&gt;0,NORMSDIST((E7-(($J$4)/6))/1.8),0)</f>
        <v>0</v>
      </c>
      <c r="F10" s="220">
        <f t="shared" ref="F10:X10" si="6">IF(F7&gt;0,NORMSDIST((F7-(($J$4)/6))/1.8),0)</f>
        <v>0</v>
      </c>
      <c r="G10" s="220">
        <f t="shared" si="6"/>
        <v>0</v>
      </c>
      <c r="H10" s="220">
        <f t="shared" si="6"/>
        <v>0</v>
      </c>
      <c r="I10" s="220">
        <f t="shared" si="6"/>
        <v>0</v>
      </c>
      <c r="J10" s="220">
        <f t="shared" si="6"/>
        <v>0</v>
      </c>
      <c r="K10" s="220">
        <f t="shared" si="6"/>
        <v>2.5920939357842999E-2</v>
      </c>
      <c r="L10" s="220">
        <f t="shared" si="6"/>
        <v>8.2433269873954537E-2</v>
      </c>
      <c r="M10" s="220">
        <f t="shared" si="6"/>
        <v>0.20232838096364303</v>
      </c>
      <c r="N10" s="220">
        <f t="shared" si="6"/>
        <v>0.39059147543357498</v>
      </c>
      <c r="O10" s="220">
        <f t="shared" si="6"/>
        <v>0.60940852456642502</v>
      </c>
      <c r="P10" s="220">
        <f t="shared" si="6"/>
        <v>0.79767161903635697</v>
      </c>
      <c r="Q10" s="220">
        <f t="shared" si="6"/>
        <v>0.9175667301260455</v>
      </c>
      <c r="R10" s="220">
        <f t="shared" si="6"/>
        <v>0.97407906064215699</v>
      </c>
      <c r="S10" s="220">
        <f t="shared" si="6"/>
        <v>0.99379033467422384</v>
      </c>
      <c r="T10" s="220">
        <f t="shared" si="6"/>
        <v>0</v>
      </c>
      <c r="U10" s="220">
        <f t="shared" si="6"/>
        <v>0</v>
      </c>
      <c r="V10" s="220">
        <f t="shared" si="6"/>
        <v>0</v>
      </c>
      <c r="W10" s="220">
        <f t="shared" si="6"/>
        <v>0</v>
      </c>
      <c r="X10" s="220">
        <f t="shared" si="6"/>
        <v>0</v>
      </c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1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CH10" s="207"/>
      <c r="CI10" s="207"/>
    </row>
    <row r="11" spans="1:87" ht="20.25" customHeight="1">
      <c r="A11" s="207" t="s">
        <v>491</v>
      </c>
      <c r="B11" s="268">
        <f>SUM(E11:W11)</f>
        <v>0.99379033467422384</v>
      </c>
      <c r="C11" s="220">
        <f>SUM(E11:X11)</f>
        <v>0.99379033467422384</v>
      </c>
      <c r="D11" s="222"/>
      <c r="E11" s="271">
        <f>IF(E10-B10&lt;0,0,E10-B10)</f>
        <v>0</v>
      </c>
      <c r="F11" s="220">
        <f t="shared" ref="F11:X11" si="7">IF(F10-E10&lt;0,0,F10-E10)</f>
        <v>0</v>
      </c>
      <c r="G11" s="220">
        <f t="shared" si="7"/>
        <v>0</v>
      </c>
      <c r="H11" s="220">
        <f t="shared" si="7"/>
        <v>0</v>
      </c>
      <c r="I11" s="220">
        <f t="shared" si="7"/>
        <v>0</v>
      </c>
      <c r="J11" s="220">
        <f t="shared" si="7"/>
        <v>0</v>
      </c>
      <c r="K11" s="220">
        <f t="shared" si="7"/>
        <v>2.5920939357842999E-2</v>
      </c>
      <c r="L11" s="220">
        <f t="shared" si="7"/>
        <v>5.6512330516111542E-2</v>
      </c>
      <c r="M11" s="220">
        <f t="shared" si="7"/>
        <v>0.11989511108968849</v>
      </c>
      <c r="N11" s="220">
        <f t="shared" si="7"/>
        <v>0.18826309446993195</v>
      </c>
      <c r="O11" s="220">
        <f t="shared" si="7"/>
        <v>0.21881704913285005</v>
      </c>
      <c r="P11" s="220">
        <f t="shared" si="7"/>
        <v>0.18826309446993195</v>
      </c>
      <c r="Q11" s="220">
        <f t="shared" si="7"/>
        <v>0.11989511108968853</v>
      </c>
      <c r="R11" s="220">
        <f t="shared" si="7"/>
        <v>5.6512330516111486E-2</v>
      </c>
      <c r="S11" s="220">
        <f t="shared" si="7"/>
        <v>1.971127403206685E-2</v>
      </c>
      <c r="T11" s="220">
        <f t="shared" si="7"/>
        <v>0</v>
      </c>
      <c r="U11" s="220">
        <f t="shared" si="7"/>
        <v>0</v>
      </c>
      <c r="V11" s="220">
        <f t="shared" si="7"/>
        <v>0</v>
      </c>
      <c r="W11" s="220">
        <f t="shared" si="7"/>
        <v>0</v>
      </c>
      <c r="X11" s="220">
        <f t="shared" si="7"/>
        <v>0</v>
      </c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1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CH11" s="207"/>
      <c r="CI11" s="207"/>
    </row>
    <row r="12" spans="1:87" ht="20.25" customHeight="1">
      <c r="A12" s="207" t="s">
        <v>492</v>
      </c>
      <c r="B12" s="268">
        <f>SUM(E12:W12)</f>
        <v>6.2096653257761592E-3</v>
      </c>
      <c r="C12" s="220">
        <f>SUM(E12:X12)</f>
        <v>6.2096653257761592E-3</v>
      </c>
      <c r="D12" s="487">
        <f>B12-C12</f>
        <v>0</v>
      </c>
      <c r="E12" s="269">
        <f t="shared" ref="E12:X12" si="8">IF(E6=$I$3,100%-E10,0)</f>
        <v>0</v>
      </c>
      <c r="F12" s="267">
        <f t="shared" si="8"/>
        <v>0</v>
      </c>
      <c r="G12" s="267">
        <f t="shared" si="8"/>
        <v>0</v>
      </c>
      <c r="H12" s="267">
        <f t="shared" si="8"/>
        <v>0</v>
      </c>
      <c r="I12" s="267">
        <f t="shared" si="8"/>
        <v>0</v>
      </c>
      <c r="J12" s="267">
        <f t="shared" si="8"/>
        <v>0</v>
      </c>
      <c r="K12" s="267">
        <f t="shared" si="8"/>
        <v>0</v>
      </c>
      <c r="L12" s="267">
        <f t="shared" si="8"/>
        <v>0</v>
      </c>
      <c r="M12" s="267">
        <f t="shared" si="8"/>
        <v>0</v>
      </c>
      <c r="N12" s="267">
        <f t="shared" si="8"/>
        <v>0</v>
      </c>
      <c r="O12" s="267">
        <f t="shared" si="8"/>
        <v>0</v>
      </c>
      <c r="P12" s="267">
        <f t="shared" si="8"/>
        <v>0</v>
      </c>
      <c r="Q12" s="267">
        <f t="shared" si="8"/>
        <v>0</v>
      </c>
      <c r="R12" s="267">
        <f t="shared" si="8"/>
        <v>0</v>
      </c>
      <c r="S12" s="267">
        <f t="shared" si="8"/>
        <v>6.2096653257761592E-3</v>
      </c>
      <c r="T12" s="267">
        <f t="shared" si="8"/>
        <v>0</v>
      </c>
      <c r="U12" s="267">
        <f t="shared" si="8"/>
        <v>0</v>
      </c>
      <c r="V12" s="267">
        <f t="shared" si="8"/>
        <v>0</v>
      </c>
      <c r="W12" s="267">
        <f t="shared" si="8"/>
        <v>0</v>
      </c>
      <c r="X12" s="267">
        <f t="shared" si="8"/>
        <v>0</v>
      </c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1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CH12" s="207"/>
      <c r="CI12" s="207"/>
    </row>
    <row r="13" spans="1:87" ht="20.25" customHeight="1">
      <c r="A13" s="207" t="s">
        <v>491</v>
      </c>
      <c r="B13" s="251">
        <f>SUM(E13:W13)</f>
        <v>1</v>
      </c>
      <c r="C13" s="220">
        <f>SUM(E13:X13)</f>
        <v>1</v>
      </c>
      <c r="D13" s="222"/>
      <c r="E13" s="269">
        <f t="shared" ref="E13:X13" si="9">SUM(E11:E12)</f>
        <v>0</v>
      </c>
      <c r="F13" s="267">
        <f t="shared" si="9"/>
        <v>0</v>
      </c>
      <c r="G13" s="267">
        <f t="shared" si="9"/>
        <v>0</v>
      </c>
      <c r="H13" s="267">
        <f t="shared" si="9"/>
        <v>0</v>
      </c>
      <c r="I13" s="267">
        <f t="shared" si="9"/>
        <v>0</v>
      </c>
      <c r="J13" s="267">
        <f t="shared" si="9"/>
        <v>0</v>
      </c>
      <c r="K13" s="267">
        <f t="shared" si="9"/>
        <v>2.5920939357842999E-2</v>
      </c>
      <c r="L13" s="267">
        <f t="shared" si="9"/>
        <v>5.6512330516111542E-2</v>
      </c>
      <c r="M13" s="267">
        <f t="shared" si="9"/>
        <v>0.11989511108968849</v>
      </c>
      <c r="N13" s="267">
        <f t="shared" si="9"/>
        <v>0.18826309446993195</v>
      </c>
      <c r="O13" s="267">
        <f t="shared" si="9"/>
        <v>0.21881704913285005</v>
      </c>
      <c r="P13" s="267">
        <f t="shared" si="9"/>
        <v>0.18826309446993195</v>
      </c>
      <c r="Q13" s="267">
        <f t="shared" si="9"/>
        <v>0.11989511108968853</v>
      </c>
      <c r="R13" s="267">
        <f t="shared" si="9"/>
        <v>5.6512330516111486E-2</v>
      </c>
      <c r="S13" s="267">
        <f t="shared" si="9"/>
        <v>2.5920939357843009E-2</v>
      </c>
      <c r="T13" s="267">
        <f t="shared" si="9"/>
        <v>0</v>
      </c>
      <c r="U13" s="267">
        <f t="shared" si="9"/>
        <v>0</v>
      </c>
      <c r="V13" s="267">
        <f t="shared" si="9"/>
        <v>0</v>
      </c>
      <c r="W13" s="267">
        <f t="shared" si="9"/>
        <v>0</v>
      </c>
      <c r="X13" s="267">
        <f t="shared" si="9"/>
        <v>0</v>
      </c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1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CH13" s="207"/>
      <c r="CI13" s="207"/>
    </row>
    <row r="14" spans="1:87" s="488" customFormat="1" ht="20.25" customHeight="1">
      <c r="A14" s="1092" t="s">
        <v>387</v>
      </c>
      <c r="B14" s="764">
        <f t="shared" ref="B14:B31" si="10">SUM(E14:X14)</f>
        <v>102625200</v>
      </c>
      <c r="C14" s="1095">
        <f>'2-E Financial'!$B7</f>
        <v>102625200</v>
      </c>
      <c r="D14" s="1095">
        <f t="shared" ref="D14:D31" si="11">B14-C14</f>
        <v>0</v>
      </c>
      <c r="E14" s="1096">
        <v>0</v>
      </c>
      <c r="F14" s="1095">
        <f>$C$14*F13</f>
        <v>0</v>
      </c>
      <c r="G14" s="1095">
        <f t="shared" ref="G14:X14" si="12">$C$14*G13</f>
        <v>0</v>
      </c>
      <c r="H14" s="1095">
        <f t="shared" si="12"/>
        <v>0</v>
      </c>
      <c r="I14" s="1095">
        <f t="shared" si="12"/>
        <v>0</v>
      </c>
      <c r="J14" s="1095">
        <f t="shared" si="12"/>
        <v>0</v>
      </c>
      <c r="K14" s="1095">
        <f t="shared" si="12"/>
        <v>2660141.5857865093</v>
      </c>
      <c r="L14" s="1095">
        <f t="shared" si="12"/>
        <v>5799589.2216820503</v>
      </c>
      <c r="M14" s="1095">
        <f t="shared" si="12"/>
        <v>12304259.754601499</v>
      </c>
      <c r="N14" s="1095">
        <f t="shared" si="12"/>
        <v>19320537.722595658</v>
      </c>
      <c r="O14" s="1095">
        <f t="shared" si="12"/>
        <v>22456143.430668563</v>
      </c>
      <c r="P14" s="1095">
        <f t="shared" si="12"/>
        <v>19320537.722595658</v>
      </c>
      <c r="Q14" s="1095">
        <f t="shared" si="12"/>
        <v>12304259.754601503</v>
      </c>
      <c r="R14" s="1095">
        <f t="shared" si="12"/>
        <v>5799589.2216820447</v>
      </c>
      <c r="S14" s="1095">
        <f t="shared" si="12"/>
        <v>2660141.5857865103</v>
      </c>
      <c r="T14" s="1095">
        <f t="shared" si="12"/>
        <v>0</v>
      </c>
      <c r="U14" s="1095">
        <f t="shared" si="12"/>
        <v>0</v>
      </c>
      <c r="V14" s="1095">
        <f t="shared" si="12"/>
        <v>0</v>
      </c>
      <c r="W14" s="1095">
        <f t="shared" si="12"/>
        <v>0</v>
      </c>
      <c r="X14" s="1095">
        <f t="shared" si="12"/>
        <v>0</v>
      </c>
      <c r="Y14" s="1095"/>
      <c r="Z14" s="1095"/>
      <c r="AA14" s="1095"/>
      <c r="AB14" s="1095"/>
      <c r="AC14" s="1095"/>
      <c r="AD14" s="1095"/>
      <c r="AE14" s="1095"/>
      <c r="AF14" s="1095"/>
      <c r="AG14" s="1095"/>
      <c r="AH14" s="1095"/>
      <c r="AI14" s="1095"/>
      <c r="AJ14" s="1095"/>
      <c r="AK14" s="1095"/>
      <c r="AL14" s="1095"/>
      <c r="AM14" s="1095"/>
      <c r="AN14" s="1095"/>
      <c r="AO14" s="1095"/>
      <c r="AP14" s="1095"/>
      <c r="AQ14" s="1095"/>
      <c r="AR14" s="764"/>
      <c r="AS14" s="1092"/>
      <c r="AT14" s="1092"/>
      <c r="AU14" s="1092"/>
      <c r="AV14" s="1093"/>
      <c r="AW14" s="1093"/>
      <c r="AX14" s="1093"/>
      <c r="AY14" s="1093"/>
      <c r="AZ14" s="1093"/>
      <c r="BA14" s="1093"/>
      <c r="BB14" s="1093"/>
      <c r="BC14" s="1093"/>
      <c r="BD14" s="1093"/>
      <c r="BE14" s="1093"/>
      <c r="BF14" s="1093"/>
      <c r="BG14" s="1093"/>
      <c r="BH14" s="1093"/>
      <c r="BI14" s="1093"/>
      <c r="BJ14" s="1093"/>
      <c r="BK14" s="1093"/>
      <c r="BL14" s="1093"/>
      <c r="BM14" s="1093"/>
      <c r="BN14" s="1093"/>
      <c r="BO14" s="1093"/>
      <c r="BP14" s="1093"/>
      <c r="BQ14" s="1093"/>
      <c r="BR14" s="1093"/>
      <c r="BS14" s="1093"/>
      <c r="BT14" s="1093"/>
      <c r="BU14" s="1093"/>
      <c r="BV14" s="1092"/>
      <c r="BW14" s="1092"/>
      <c r="BX14" s="1092"/>
      <c r="BY14" s="1092"/>
      <c r="BZ14" s="1092"/>
      <c r="CA14" s="1092"/>
      <c r="CB14" s="1092"/>
      <c r="CC14" s="1092"/>
      <c r="CD14" s="1092"/>
      <c r="CE14" s="1092"/>
      <c r="CF14" s="1092"/>
      <c r="CG14" s="1092"/>
      <c r="CH14" s="1092"/>
      <c r="CI14" s="1092"/>
    </row>
    <row r="15" spans="1:87" ht="20.25" customHeight="1">
      <c r="A15" s="207" t="s">
        <v>77</v>
      </c>
      <c r="B15" s="224">
        <f t="shared" si="10"/>
        <v>5131260</v>
      </c>
      <c r="C15" s="223">
        <f>'2-E Financial'!$B8</f>
        <v>5131260</v>
      </c>
      <c r="D15" s="223">
        <f t="shared" si="11"/>
        <v>0</v>
      </c>
      <c r="E15" s="270">
        <v>0</v>
      </c>
      <c r="F15" s="223">
        <f>$C15*F$13</f>
        <v>0</v>
      </c>
      <c r="G15" s="223">
        <f t="shared" ref="G15:X15" si="13">$C15*G$13</f>
        <v>0</v>
      </c>
      <c r="H15" s="223">
        <f t="shared" si="13"/>
        <v>0</v>
      </c>
      <c r="I15" s="223">
        <f t="shared" si="13"/>
        <v>0</v>
      </c>
      <c r="J15" s="223">
        <f t="shared" si="13"/>
        <v>0</v>
      </c>
      <c r="K15" s="223">
        <f t="shared" si="13"/>
        <v>133007.07928932545</v>
      </c>
      <c r="L15" s="223">
        <f t="shared" si="13"/>
        <v>289979.46108410251</v>
      </c>
      <c r="M15" s="223">
        <f t="shared" si="13"/>
        <v>615212.98773007502</v>
      </c>
      <c r="N15" s="223">
        <f t="shared" si="13"/>
        <v>966026.886129783</v>
      </c>
      <c r="O15" s="223">
        <f t="shared" si="13"/>
        <v>1122807.1715334281</v>
      </c>
      <c r="P15" s="223">
        <f t="shared" si="13"/>
        <v>966026.886129783</v>
      </c>
      <c r="Q15" s="223">
        <f t="shared" si="13"/>
        <v>615212.98773007514</v>
      </c>
      <c r="R15" s="223">
        <f t="shared" si="13"/>
        <v>289979.46108410222</v>
      </c>
      <c r="S15" s="223">
        <f t="shared" si="13"/>
        <v>133007.07928932551</v>
      </c>
      <c r="T15" s="223">
        <f t="shared" si="13"/>
        <v>0</v>
      </c>
      <c r="U15" s="223">
        <f t="shared" si="13"/>
        <v>0</v>
      </c>
      <c r="V15" s="223">
        <f t="shared" si="13"/>
        <v>0</v>
      </c>
      <c r="W15" s="223">
        <f t="shared" si="13"/>
        <v>0</v>
      </c>
      <c r="X15" s="223">
        <f t="shared" si="13"/>
        <v>0</v>
      </c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4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CH15" s="207"/>
      <c r="CI15" s="207"/>
    </row>
    <row r="16" spans="1:87" ht="20.25" customHeight="1">
      <c r="A16" s="207" t="s">
        <v>389</v>
      </c>
      <c r="B16" s="224">
        <f t="shared" si="10"/>
        <v>0</v>
      </c>
      <c r="C16" s="223">
        <f>'2-E Financial'!$B9</f>
        <v>0</v>
      </c>
      <c r="D16" s="223">
        <f t="shared" si="11"/>
        <v>0</v>
      </c>
      <c r="E16" s="270">
        <v>0</v>
      </c>
      <c r="F16" s="223">
        <f>IF(AND(F$9&gt;$E$4,F$9&lt;$H$4),$C16/(($G$4)/3),0)</f>
        <v>0</v>
      </c>
      <c r="G16" s="223">
        <f t="shared" ref="G16:X16" si="14">IF(AND(G$9&gt;$E$4,G$9&lt;$H$4),$C16/(($G$4)/3),0)</f>
        <v>0</v>
      </c>
      <c r="H16" s="223">
        <f t="shared" si="14"/>
        <v>0</v>
      </c>
      <c r="I16" s="223">
        <f t="shared" si="14"/>
        <v>0</v>
      </c>
      <c r="J16" s="223">
        <f t="shared" si="14"/>
        <v>0</v>
      </c>
      <c r="K16" s="223">
        <f t="shared" si="14"/>
        <v>0</v>
      </c>
      <c r="L16" s="223">
        <f t="shared" si="14"/>
        <v>0</v>
      </c>
      <c r="M16" s="223">
        <f t="shared" si="14"/>
        <v>0</v>
      </c>
      <c r="N16" s="223">
        <f t="shared" si="14"/>
        <v>0</v>
      </c>
      <c r="O16" s="223">
        <f t="shared" si="14"/>
        <v>0</v>
      </c>
      <c r="P16" s="223">
        <f t="shared" si="14"/>
        <v>0</v>
      </c>
      <c r="Q16" s="223">
        <f t="shared" si="14"/>
        <v>0</v>
      </c>
      <c r="R16" s="223">
        <f t="shared" si="14"/>
        <v>0</v>
      </c>
      <c r="S16" s="223">
        <f t="shared" si="14"/>
        <v>0</v>
      </c>
      <c r="T16" s="223">
        <f t="shared" si="14"/>
        <v>0</v>
      </c>
      <c r="U16" s="223">
        <f t="shared" si="14"/>
        <v>0</v>
      </c>
      <c r="V16" s="223">
        <f t="shared" si="14"/>
        <v>0</v>
      </c>
      <c r="W16" s="223">
        <f t="shared" si="14"/>
        <v>0</v>
      </c>
      <c r="X16" s="223">
        <f t="shared" si="14"/>
        <v>0</v>
      </c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4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CH16" s="207"/>
      <c r="CI16" s="207"/>
    </row>
    <row r="17" spans="1:87" ht="20.25" customHeight="1">
      <c r="A17" s="207" t="s">
        <v>391</v>
      </c>
      <c r="B17" s="224">
        <f t="shared" si="10"/>
        <v>808909.2</v>
      </c>
      <c r="C17" s="223">
        <f>'2-E Financial'!$B10</f>
        <v>808909.2</v>
      </c>
      <c r="D17" s="223">
        <f t="shared" si="11"/>
        <v>0</v>
      </c>
      <c r="E17" s="270">
        <v>0</v>
      </c>
      <c r="F17" s="223">
        <f>IF(F6=$F$3,$C$17,0)</f>
        <v>0</v>
      </c>
      <c r="G17" s="223">
        <f t="shared" ref="G17:X17" si="15">IF(G6=$F$3,$C$17,0)</f>
        <v>0</v>
      </c>
      <c r="H17" s="223">
        <f t="shared" si="15"/>
        <v>0</v>
      </c>
      <c r="I17" s="223">
        <f t="shared" si="15"/>
        <v>0</v>
      </c>
      <c r="J17" s="223">
        <f t="shared" si="15"/>
        <v>808909.2</v>
      </c>
      <c r="K17" s="223">
        <f t="shared" si="15"/>
        <v>0</v>
      </c>
      <c r="L17" s="223">
        <f t="shared" si="15"/>
        <v>0</v>
      </c>
      <c r="M17" s="223">
        <f t="shared" si="15"/>
        <v>0</v>
      </c>
      <c r="N17" s="223">
        <f t="shared" si="15"/>
        <v>0</v>
      </c>
      <c r="O17" s="223">
        <f t="shared" si="15"/>
        <v>0</v>
      </c>
      <c r="P17" s="223">
        <f t="shared" si="15"/>
        <v>0</v>
      </c>
      <c r="Q17" s="223">
        <f t="shared" si="15"/>
        <v>0</v>
      </c>
      <c r="R17" s="223">
        <f t="shared" si="15"/>
        <v>0</v>
      </c>
      <c r="S17" s="223">
        <f t="shared" si="15"/>
        <v>0</v>
      </c>
      <c r="T17" s="223">
        <f t="shared" si="15"/>
        <v>0</v>
      </c>
      <c r="U17" s="223">
        <f t="shared" si="15"/>
        <v>0</v>
      </c>
      <c r="V17" s="223">
        <f t="shared" si="15"/>
        <v>0</v>
      </c>
      <c r="W17" s="223">
        <f t="shared" si="15"/>
        <v>0</v>
      </c>
      <c r="X17" s="223">
        <f t="shared" si="15"/>
        <v>0</v>
      </c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4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CH17" s="207"/>
      <c r="CI17" s="207"/>
    </row>
    <row r="18" spans="1:87" ht="20.25" customHeight="1">
      <c r="A18" s="207" t="s">
        <v>393</v>
      </c>
      <c r="B18" s="224">
        <f t="shared" si="10"/>
        <v>2480000</v>
      </c>
      <c r="C18" s="223">
        <f>'2-E Financial'!$B11</f>
        <v>2480000</v>
      </c>
      <c r="D18" s="223">
        <f t="shared" si="11"/>
        <v>0</v>
      </c>
      <c r="E18" s="270">
        <v>0</v>
      </c>
      <c r="F18" s="223">
        <f>$C18*F$13</f>
        <v>0</v>
      </c>
      <c r="G18" s="223">
        <f t="shared" ref="G18:X19" si="16">$C18*G$13</f>
        <v>0</v>
      </c>
      <c r="H18" s="223">
        <f t="shared" si="16"/>
        <v>0</v>
      </c>
      <c r="I18" s="223">
        <f t="shared" si="16"/>
        <v>0</v>
      </c>
      <c r="J18" s="223">
        <f t="shared" si="16"/>
        <v>0</v>
      </c>
      <c r="K18" s="223">
        <f t="shared" si="16"/>
        <v>64283.929607450635</v>
      </c>
      <c r="L18" s="223">
        <f t="shared" si="16"/>
        <v>140150.57967995663</v>
      </c>
      <c r="M18" s="223">
        <f t="shared" si="16"/>
        <v>297339.87550242746</v>
      </c>
      <c r="N18" s="223">
        <f t="shared" si="16"/>
        <v>466892.47428543121</v>
      </c>
      <c r="O18" s="223">
        <f t="shared" si="16"/>
        <v>542666.28184946813</v>
      </c>
      <c r="P18" s="223">
        <f t="shared" si="16"/>
        <v>466892.47428543121</v>
      </c>
      <c r="Q18" s="223">
        <f t="shared" si="16"/>
        <v>297339.87550242757</v>
      </c>
      <c r="R18" s="223">
        <f t="shared" si="16"/>
        <v>140150.57967995649</v>
      </c>
      <c r="S18" s="223">
        <f t="shared" si="16"/>
        <v>64283.929607450664</v>
      </c>
      <c r="T18" s="223">
        <f t="shared" si="16"/>
        <v>0</v>
      </c>
      <c r="U18" s="223">
        <f t="shared" si="16"/>
        <v>0</v>
      </c>
      <c r="V18" s="223">
        <f t="shared" si="16"/>
        <v>0</v>
      </c>
      <c r="W18" s="223">
        <f t="shared" si="16"/>
        <v>0</v>
      </c>
      <c r="X18" s="223">
        <f t="shared" si="16"/>
        <v>0</v>
      </c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4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CH18" s="207"/>
      <c r="CI18" s="207"/>
    </row>
    <row r="19" spans="1:87" ht="20.25" customHeight="1">
      <c r="A19" s="207" t="s">
        <v>79</v>
      </c>
      <c r="B19" s="224">
        <f t="shared" si="10"/>
        <v>2052504.0000000002</v>
      </c>
      <c r="C19" s="223">
        <f>'2-E Financial'!$B12</f>
        <v>2052504</v>
      </c>
      <c r="D19" s="223">
        <f t="shared" si="11"/>
        <v>0</v>
      </c>
      <c r="E19" s="270">
        <v>0</v>
      </c>
      <c r="F19" s="223">
        <f>$C19*F$13</f>
        <v>0</v>
      </c>
      <c r="G19" s="223">
        <f t="shared" si="16"/>
        <v>0</v>
      </c>
      <c r="H19" s="223">
        <f t="shared" si="16"/>
        <v>0</v>
      </c>
      <c r="I19" s="223">
        <f t="shared" si="16"/>
        <v>0</v>
      </c>
      <c r="J19" s="223">
        <f t="shared" si="16"/>
        <v>0</v>
      </c>
      <c r="K19" s="223">
        <f t="shared" si="16"/>
        <v>53202.831715730186</v>
      </c>
      <c r="L19" s="223">
        <f t="shared" si="16"/>
        <v>115991.78443364101</v>
      </c>
      <c r="M19" s="223">
        <f t="shared" si="16"/>
        <v>246085.19509202999</v>
      </c>
      <c r="N19" s="223">
        <f t="shared" si="16"/>
        <v>386410.75445191318</v>
      </c>
      <c r="O19" s="223">
        <f t="shared" si="16"/>
        <v>449122.86861337128</v>
      </c>
      <c r="P19" s="223">
        <f t="shared" si="16"/>
        <v>386410.75445191318</v>
      </c>
      <c r="Q19" s="223">
        <f t="shared" si="16"/>
        <v>246085.19509203007</v>
      </c>
      <c r="R19" s="223">
        <f t="shared" si="16"/>
        <v>115991.78443364089</v>
      </c>
      <c r="S19" s="223">
        <f t="shared" si="16"/>
        <v>53202.831715730208</v>
      </c>
      <c r="T19" s="223">
        <f t="shared" si="16"/>
        <v>0</v>
      </c>
      <c r="U19" s="223">
        <f t="shared" si="16"/>
        <v>0</v>
      </c>
      <c r="V19" s="223">
        <f t="shared" si="16"/>
        <v>0</v>
      </c>
      <c r="W19" s="223">
        <f t="shared" si="16"/>
        <v>0</v>
      </c>
      <c r="X19" s="223">
        <f t="shared" si="16"/>
        <v>0</v>
      </c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4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CH19" s="207"/>
      <c r="CI19" s="207"/>
    </row>
    <row r="20" spans="1:87" ht="20.25" customHeight="1">
      <c r="A20" s="207" t="s">
        <v>83</v>
      </c>
      <c r="B20" s="224">
        <f t="shared" si="10"/>
        <v>1539377.9999999998</v>
      </c>
      <c r="C20" s="223">
        <f>'2-E Financial'!$B13</f>
        <v>1539378</v>
      </c>
      <c r="D20" s="223">
        <f t="shared" si="11"/>
        <v>0</v>
      </c>
      <c r="E20" s="270">
        <v>0</v>
      </c>
      <c r="F20" s="223">
        <f>IF(AND(F9&gt;$E$4,F9&lt;$H$4), (($C20)*60%/(($G$4)/3)),IF(OR(F7=1,F7=2,F7=3,F7=4,F7=5,F7=6),(($C20)*40%/6),0))</f>
        <v>184725.36</v>
      </c>
      <c r="G20" s="223">
        <f t="shared" ref="G20:X20" si="17">IF(AND(G9&gt;$E$4,G9&lt;$H$4), (($C20)*60%/(($G$4)/3)),IF(OR(G7=1,G7=2,G7=3,G7=4,G7=5,G7=6),(($C20)*40%/6),0))</f>
        <v>184725.36</v>
      </c>
      <c r="H20" s="223">
        <f t="shared" si="17"/>
        <v>184725.36</v>
      </c>
      <c r="I20" s="223">
        <f t="shared" si="17"/>
        <v>184725.36</v>
      </c>
      <c r="J20" s="223">
        <f t="shared" si="17"/>
        <v>184725.36</v>
      </c>
      <c r="K20" s="223">
        <f t="shared" si="17"/>
        <v>102625.20000000001</v>
      </c>
      <c r="L20" s="223">
        <f t="shared" si="17"/>
        <v>102625.20000000001</v>
      </c>
      <c r="M20" s="223">
        <f t="shared" si="17"/>
        <v>102625.20000000001</v>
      </c>
      <c r="N20" s="223">
        <f t="shared" si="17"/>
        <v>102625.20000000001</v>
      </c>
      <c r="O20" s="223">
        <f t="shared" si="17"/>
        <v>102625.20000000001</v>
      </c>
      <c r="P20" s="223">
        <f t="shared" si="17"/>
        <v>102625.20000000001</v>
      </c>
      <c r="Q20" s="223">
        <f t="shared" si="17"/>
        <v>0</v>
      </c>
      <c r="R20" s="223">
        <f t="shared" si="17"/>
        <v>0</v>
      </c>
      <c r="S20" s="223">
        <f t="shared" si="17"/>
        <v>0</v>
      </c>
      <c r="T20" s="223">
        <f t="shared" si="17"/>
        <v>0</v>
      </c>
      <c r="U20" s="223">
        <f t="shared" si="17"/>
        <v>0</v>
      </c>
      <c r="V20" s="223">
        <f t="shared" si="17"/>
        <v>0</v>
      </c>
      <c r="W20" s="223">
        <f t="shared" si="17"/>
        <v>0</v>
      </c>
      <c r="X20" s="223">
        <f t="shared" si="17"/>
        <v>0</v>
      </c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4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CH20" s="207"/>
      <c r="CI20" s="207"/>
    </row>
    <row r="21" spans="1:87" ht="20.25" customHeight="1">
      <c r="A21" s="207" t="s">
        <v>84</v>
      </c>
      <c r="B21" s="224">
        <f t="shared" si="10"/>
        <v>20222.73</v>
      </c>
      <c r="C21" s="223">
        <f>'2-E Financial'!$B14</f>
        <v>20222.73</v>
      </c>
      <c r="D21" s="223">
        <f t="shared" si="11"/>
        <v>0</v>
      </c>
      <c r="E21" s="270">
        <v>0</v>
      </c>
      <c r="F21" s="223">
        <f>IF(F17=0,0,$C$21)</f>
        <v>0</v>
      </c>
      <c r="G21" s="223">
        <f t="shared" ref="G21:X21" si="18">IF(G17=0,0,$C$21)</f>
        <v>0</v>
      </c>
      <c r="H21" s="223">
        <f t="shared" si="18"/>
        <v>0</v>
      </c>
      <c r="I21" s="223">
        <f t="shared" si="18"/>
        <v>0</v>
      </c>
      <c r="J21" s="223">
        <f t="shared" si="18"/>
        <v>20222.73</v>
      </c>
      <c r="K21" s="223">
        <f t="shared" si="18"/>
        <v>0</v>
      </c>
      <c r="L21" s="223">
        <f t="shared" si="18"/>
        <v>0</v>
      </c>
      <c r="M21" s="223">
        <f t="shared" si="18"/>
        <v>0</v>
      </c>
      <c r="N21" s="223">
        <f t="shared" si="18"/>
        <v>0</v>
      </c>
      <c r="O21" s="223">
        <f t="shared" si="18"/>
        <v>0</v>
      </c>
      <c r="P21" s="223">
        <f t="shared" si="18"/>
        <v>0</v>
      </c>
      <c r="Q21" s="223">
        <f t="shared" si="18"/>
        <v>0</v>
      </c>
      <c r="R21" s="223">
        <f t="shared" si="18"/>
        <v>0</v>
      </c>
      <c r="S21" s="223">
        <f t="shared" si="18"/>
        <v>0</v>
      </c>
      <c r="T21" s="223">
        <f t="shared" si="18"/>
        <v>0</v>
      </c>
      <c r="U21" s="223">
        <f t="shared" si="18"/>
        <v>0</v>
      </c>
      <c r="V21" s="223">
        <f t="shared" si="18"/>
        <v>0</v>
      </c>
      <c r="W21" s="223">
        <f t="shared" si="18"/>
        <v>0</v>
      </c>
      <c r="X21" s="223">
        <f t="shared" si="18"/>
        <v>0</v>
      </c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4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CH21" s="207"/>
      <c r="CI21" s="207"/>
    </row>
    <row r="22" spans="1:87" ht="20.25" customHeight="1">
      <c r="A22" s="207" t="s">
        <v>85</v>
      </c>
      <c r="B22" s="224">
        <f t="shared" si="10"/>
        <v>2052504.0000000005</v>
      </c>
      <c r="C22" s="223">
        <f>'2-E Financial'!$B15</f>
        <v>2052504</v>
      </c>
      <c r="D22" s="223">
        <f t="shared" si="11"/>
        <v>0</v>
      </c>
      <c r="E22" s="270">
        <v>0</v>
      </c>
      <c r="F22" s="223">
        <f>IF(AND(F9&gt;$E$4,F9&lt;$H$4), (($C22)*60%/(($G$4)/3)),IF(OR(F7=1,F7=2,F7=3,F7=4,F7=5,F7=6),(($C22)*40%/6),0))</f>
        <v>246300.47999999998</v>
      </c>
      <c r="G22" s="223">
        <f t="shared" ref="G22:X22" si="19">IF(AND(G9&gt;$E$4,G9&lt;$H$4), (($C22)*60%/(($G$4)/3)),IF(OR(G7=1,G7=2,G7=3,G7=4,G7=5,G7=6),(($C22)*40%/6),0))</f>
        <v>246300.47999999998</v>
      </c>
      <c r="H22" s="223">
        <f t="shared" si="19"/>
        <v>246300.47999999998</v>
      </c>
      <c r="I22" s="223">
        <f t="shared" si="19"/>
        <v>246300.47999999998</v>
      </c>
      <c r="J22" s="223">
        <f t="shared" si="19"/>
        <v>246300.47999999998</v>
      </c>
      <c r="K22" s="223">
        <f t="shared" si="19"/>
        <v>136833.60000000001</v>
      </c>
      <c r="L22" s="223">
        <f t="shared" si="19"/>
        <v>136833.60000000001</v>
      </c>
      <c r="M22" s="223">
        <f t="shared" si="19"/>
        <v>136833.60000000001</v>
      </c>
      <c r="N22" s="223">
        <f t="shared" si="19"/>
        <v>136833.60000000001</v>
      </c>
      <c r="O22" s="223">
        <f t="shared" si="19"/>
        <v>136833.60000000001</v>
      </c>
      <c r="P22" s="223">
        <f t="shared" si="19"/>
        <v>136833.60000000001</v>
      </c>
      <c r="Q22" s="223">
        <f t="shared" si="19"/>
        <v>0</v>
      </c>
      <c r="R22" s="223">
        <f t="shared" si="19"/>
        <v>0</v>
      </c>
      <c r="S22" s="223">
        <f t="shared" si="19"/>
        <v>0</v>
      </c>
      <c r="T22" s="223">
        <f t="shared" si="19"/>
        <v>0</v>
      </c>
      <c r="U22" s="223">
        <f t="shared" si="19"/>
        <v>0</v>
      </c>
      <c r="V22" s="223">
        <f t="shared" si="19"/>
        <v>0</v>
      </c>
      <c r="W22" s="223">
        <f t="shared" si="19"/>
        <v>0</v>
      </c>
      <c r="X22" s="223">
        <f t="shared" si="19"/>
        <v>0</v>
      </c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4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CH22" s="207"/>
      <c r="CI22" s="207"/>
    </row>
    <row r="23" spans="1:87" ht="20.25" customHeight="1">
      <c r="A23" s="207" t="s">
        <v>86</v>
      </c>
      <c r="B23" s="224">
        <f t="shared" si="10"/>
        <v>3591882.0000000005</v>
      </c>
      <c r="C23" s="223">
        <f>'2-E Financial'!$B16</f>
        <v>3591882.0000000005</v>
      </c>
      <c r="D23" s="223">
        <f t="shared" si="11"/>
        <v>0</v>
      </c>
      <c r="E23" s="270">
        <v>0</v>
      </c>
      <c r="F23" s="223">
        <f>IF(AND(F$9&gt;$F$4,F9&lt;$K$4),$C23/(($J$4)/3),0)</f>
        <v>0</v>
      </c>
      <c r="G23" s="223">
        <f t="shared" ref="G23:X23" si="20">IF(AND(G$9&gt;$F$4,G9&lt;$K$4),$C23/(($J$4)/3),0)</f>
        <v>0</v>
      </c>
      <c r="H23" s="223">
        <f t="shared" si="20"/>
        <v>0</v>
      </c>
      <c r="I23" s="223">
        <f t="shared" si="20"/>
        <v>0</v>
      </c>
      <c r="J23" s="223">
        <f t="shared" si="20"/>
        <v>0</v>
      </c>
      <c r="K23" s="223">
        <f t="shared" si="20"/>
        <v>399098.00000000006</v>
      </c>
      <c r="L23" s="223">
        <f t="shared" si="20"/>
        <v>399098.00000000006</v>
      </c>
      <c r="M23" s="223">
        <f t="shared" si="20"/>
        <v>399098.00000000006</v>
      </c>
      <c r="N23" s="223">
        <f t="shared" si="20"/>
        <v>399098.00000000006</v>
      </c>
      <c r="O23" s="223">
        <f t="shared" si="20"/>
        <v>399098.00000000006</v>
      </c>
      <c r="P23" s="223">
        <f t="shared" si="20"/>
        <v>399098.00000000006</v>
      </c>
      <c r="Q23" s="223">
        <f t="shared" si="20"/>
        <v>399098.00000000006</v>
      </c>
      <c r="R23" s="223">
        <f t="shared" si="20"/>
        <v>399098.00000000006</v>
      </c>
      <c r="S23" s="223">
        <f t="shared" si="20"/>
        <v>399098.00000000006</v>
      </c>
      <c r="T23" s="223">
        <f t="shared" si="20"/>
        <v>0</v>
      </c>
      <c r="U23" s="223">
        <f t="shared" si="20"/>
        <v>0</v>
      </c>
      <c r="V23" s="223">
        <f t="shared" si="20"/>
        <v>0</v>
      </c>
      <c r="W23" s="223">
        <f t="shared" si="20"/>
        <v>0</v>
      </c>
      <c r="X23" s="223">
        <f t="shared" si="20"/>
        <v>0</v>
      </c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4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CH23" s="207"/>
      <c r="CI23" s="207"/>
    </row>
    <row r="24" spans="1:87" ht="20.25" customHeight="1">
      <c r="A24" s="207" t="s">
        <v>88</v>
      </c>
      <c r="B24" s="224">
        <f t="shared" si="10"/>
        <v>2052504</v>
      </c>
      <c r="C24" s="223">
        <f>'2-E Financial'!$B17</f>
        <v>2052504</v>
      </c>
      <c r="D24" s="223">
        <f t="shared" si="11"/>
        <v>0</v>
      </c>
      <c r="E24" s="270">
        <v>0</v>
      </c>
      <c r="F24" s="223">
        <f>IF(AND(F$9&gt;$F$4,F$9&lt;$K$4),$C24/(($J$4)/3),0)</f>
        <v>0</v>
      </c>
      <c r="G24" s="223">
        <f t="shared" ref="G24:X24" si="21">IF(AND(G$9&gt;$F$4,G$9&lt;$K$4),$C24/(($J$4)/3),0)</f>
        <v>0</v>
      </c>
      <c r="H24" s="223">
        <f t="shared" si="21"/>
        <v>0</v>
      </c>
      <c r="I24" s="223">
        <f t="shared" si="21"/>
        <v>0</v>
      </c>
      <c r="J24" s="223">
        <f t="shared" si="21"/>
        <v>0</v>
      </c>
      <c r="K24" s="223">
        <f t="shared" si="21"/>
        <v>228056</v>
      </c>
      <c r="L24" s="223">
        <f t="shared" si="21"/>
        <v>228056</v>
      </c>
      <c r="M24" s="223">
        <f t="shared" si="21"/>
        <v>228056</v>
      </c>
      <c r="N24" s="223">
        <f t="shared" si="21"/>
        <v>228056</v>
      </c>
      <c r="O24" s="223">
        <f t="shared" si="21"/>
        <v>228056</v>
      </c>
      <c r="P24" s="223">
        <f t="shared" si="21"/>
        <v>228056</v>
      </c>
      <c r="Q24" s="223">
        <f t="shared" si="21"/>
        <v>228056</v>
      </c>
      <c r="R24" s="223">
        <f t="shared" si="21"/>
        <v>228056</v>
      </c>
      <c r="S24" s="223">
        <f t="shared" si="21"/>
        <v>228056</v>
      </c>
      <c r="T24" s="223">
        <f t="shared" si="21"/>
        <v>0</v>
      </c>
      <c r="U24" s="223">
        <f t="shared" si="21"/>
        <v>0</v>
      </c>
      <c r="V24" s="223">
        <f t="shared" si="21"/>
        <v>0</v>
      </c>
      <c r="W24" s="223">
        <f t="shared" si="21"/>
        <v>0</v>
      </c>
      <c r="X24" s="223">
        <f t="shared" si="21"/>
        <v>0</v>
      </c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4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CH24" s="207"/>
      <c r="CI24" s="207"/>
    </row>
    <row r="25" spans="1:87" ht="20.25" customHeight="1">
      <c r="A25" s="207" t="s">
        <v>93</v>
      </c>
      <c r="B25" s="224">
        <f t="shared" si="10"/>
        <v>5131260</v>
      </c>
      <c r="C25" s="223">
        <f>'2-E Financial'!$B18</f>
        <v>5131260</v>
      </c>
      <c r="D25" s="223">
        <f t="shared" si="11"/>
        <v>0</v>
      </c>
      <c r="E25" s="270">
        <v>0</v>
      </c>
      <c r="F25" s="223">
        <f>$C25*F$13</f>
        <v>0</v>
      </c>
      <c r="G25" s="223">
        <f t="shared" ref="G25:X25" si="22">$C25*G$13</f>
        <v>0</v>
      </c>
      <c r="H25" s="223">
        <f t="shared" si="22"/>
        <v>0</v>
      </c>
      <c r="I25" s="223">
        <f t="shared" si="22"/>
        <v>0</v>
      </c>
      <c r="J25" s="223">
        <f t="shared" si="22"/>
        <v>0</v>
      </c>
      <c r="K25" s="223">
        <f t="shared" si="22"/>
        <v>133007.07928932545</v>
      </c>
      <c r="L25" s="223">
        <f t="shared" si="22"/>
        <v>289979.46108410251</v>
      </c>
      <c r="M25" s="223">
        <f t="shared" si="22"/>
        <v>615212.98773007502</v>
      </c>
      <c r="N25" s="223">
        <f t="shared" si="22"/>
        <v>966026.886129783</v>
      </c>
      <c r="O25" s="223">
        <f t="shared" si="22"/>
        <v>1122807.1715334281</v>
      </c>
      <c r="P25" s="223">
        <f t="shared" si="22"/>
        <v>966026.886129783</v>
      </c>
      <c r="Q25" s="223">
        <f t="shared" si="22"/>
        <v>615212.98773007514</v>
      </c>
      <c r="R25" s="223">
        <f t="shared" si="22"/>
        <v>289979.46108410222</v>
      </c>
      <c r="S25" s="223">
        <f t="shared" si="22"/>
        <v>133007.07928932551</v>
      </c>
      <c r="T25" s="223">
        <f t="shared" si="22"/>
        <v>0</v>
      </c>
      <c r="U25" s="223">
        <f t="shared" si="22"/>
        <v>0</v>
      </c>
      <c r="V25" s="223">
        <f t="shared" si="22"/>
        <v>0</v>
      </c>
      <c r="W25" s="223">
        <f t="shared" si="22"/>
        <v>0</v>
      </c>
      <c r="X25" s="223">
        <f t="shared" si="22"/>
        <v>0</v>
      </c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4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CH25" s="207"/>
      <c r="CI25" s="207"/>
    </row>
    <row r="26" spans="1:87" ht="20.25" customHeight="1">
      <c r="A26" s="207" t="s">
        <v>97</v>
      </c>
      <c r="B26" s="224">
        <f t="shared" si="10"/>
        <v>1539378.0000000002</v>
      </c>
      <c r="C26" s="223">
        <f>'2-E Financial'!$B19</f>
        <v>1539378</v>
      </c>
      <c r="D26" s="223">
        <f t="shared" si="11"/>
        <v>0</v>
      </c>
      <c r="E26" s="270">
        <v>0</v>
      </c>
      <c r="F26" s="273">
        <f>IF(AND(F9&gt;$E$4,F9&lt;$H$4),(($C26)*20%/(($G$4)/3)),IF((F7=1),(($C26)*80%),0))</f>
        <v>61575.12000000001</v>
      </c>
      <c r="G26" s="273">
        <f t="shared" ref="G26:X26" si="23">IF(AND(G9&gt;$E$4,G9&lt;$H$4),(($C26)*20%/(($G$4)/3)),IF((G7=1),(($C26)*80%),0))</f>
        <v>61575.12000000001</v>
      </c>
      <c r="H26" s="273">
        <f t="shared" si="23"/>
        <v>61575.12000000001</v>
      </c>
      <c r="I26" s="273">
        <f t="shared" si="23"/>
        <v>61575.12000000001</v>
      </c>
      <c r="J26" s="273">
        <f t="shared" si="23"/>
        <v>61575.12000000001</v>
      </c>
      <c r="K26" s="273">
        <f t="shared" si="23"/>
        <v>1231502.4000000001</v>
      </c>
      <c r="L26" s="273">
        <f t="shared" si="23"/>
        <v>0</v>
      </c>
      <c r="M26" s="273">
        <f t="shared" si="23"/>
        <v>0</v>
      </c>
      <c r="N26" s="273">
        <f t="shared" si="23"/>
        <v>0</v>
      </c>
      <c r="O26" s="273">
        <f t="shared" si="23"/>
        <v>0</v>
      </c>
      <c r="P26" s="273">
        <f t="shared" si="23"/>
        <v>0</v>
      </c>
      <c r="Q26" s="273">
        <f t="shared" si="23"/>
        <v>0</v>
      </c>
      <c r="R26" s="273">
        <f t="shared" si="23"/>
        <v>0</v>
      </c>
      <c r="S26" s="273">
        <f t="shared" si="23"/>
        <v>0</v>
      </c>
      <c r="T26" s="273">
        <f t="shared" si="23"/>
        <v>0</v>
      </c>
      <c r="U26" s="273">
        <f t="shared" si="23"/>
        <v>0</v>
      </c>
      <c r="V26" s="273">
        <f t="shared" si="23"/>
        <v>0</v>
      </c>
      <c r="W26" s="273">
        <f t="shared" si="23"/>
        <v>0</v>
      </c>
      <c r="X26" s="273">
        <f t="shared" si="23"/>
        <v>0</v>
      </c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4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CH26" s="207"/>
      <c r="CI26" s="207"/>
    </row>
    <row r="27" spans="1:87" ht="20.25" customHeight="1">
      <c r="A27" s="207" t="s">
        <v>100</v>
      </c>
      <c r="B27" s="224">
        <f t="shared" si="10"/>
        <v>500000</v>
      </c>
      <c r="C27" s="223">
        <f>'2-E Financial'!$B20</f>
        <v>500000</v>
      </c>
      <c r="D27" s="223">
        <f t="shared" si="11"/>
        <v>0</v>
      </c>
      <c r="E27" s="270">
        <v>0</v>
      </c>
      <c r="F27" s="223">
        <f>IF(F$8=1,$C27/COUNTIF($E$8:$X$8,"1"),0)</f>
        <v>0</v>
      </c>
      <c r="G27" s="223">
        <f t="shared" ref="G27:X27" si="24">IF(G$8=1,$C27/COUNTIF($E$8:$X$8,"1"),0)</f>
        <v>0</v>
      </c>
      <c r="H27" s="223">
        <f>IF(H$8=1,$C27/COUNTIF($E$8:$X$8,"1"),0)</f>
        <v>0</v>
      </c>
      <c r="I27" s="223">
        <f t="shared" si="24"/>
        <v>0</v>
      </c>
      <c r="J27" s="223">
        <f t="shared" si="24"/>
        <v>0</v>
      </c>
      <c r="K27" s="223">
        <f t="shared" si="24"/>
        <v>0</v>
      </c>
      <c r="L27" s="223">
        <f t="shared" si="24"/>
        <v>0</v>
      </c>
      <c r="M27" s="223">
        <f t="shared" si="24"/>
        <v>0</v>
      </c>
      <c r="N27" s="223">
        <f t="shared" si="24"/>
        <v>0</v>
      </c>
      <c r="O27" s="223">
        <f t="shared" si="24"/>
        <v>0</v>
      </c>
      <c r="P27" s="223">
        <f t="shared" si="24"/>
        <v>0</v>
      </c>
      <c r="Q27" s="223">
        <f t="shared" si="24"/>
        <v>0</v>
      </c>
      <c r="R27" s="223">
        <f t="shared" si="24"/>
        <v>166666.66666666666</v>
      </c>
      <c r="S27" s="223">
        <f t="shared" si="24"/>
        <v>166666.66666666666</v>
      </c>
      <c r="T27" s="223">
        <f t="shared" si="24"/>
        <v>166666.66666666666</v>
      </c>
      <c r="U27" s="223">
        <f t="shared" si="24"/>
        <v>0</v>
      </c>
      <c r="V27" s="223">
        <f t="shared" si="24"/>
        <v>0</v>
      </c>
      <c r="W27" s="223">
        <f t="shared" si="24"/>
        <v>0</v>
      </c>
      <c r="X27" s="223">
        <f t="shared" si="24"/>
        <v>0</v>
      </c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4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CH27" s="207"/>
      <c r="CI27" s="207"/>
    </row>
    <row r="28" spans="1:87" ht="20.25" customHeight="1">
      <c r="A28" s="207" t="s">
        <v>103</v>
      </c>
      <c r="B28" s="224">
        <f t="shared" si="10"/>
        <v>3055373.6624999992</v>
      </c>
      <c r="C28" s="223">
        <f>'2-E Financial'!$B21</f>
        <v>3055373.6624999992</v>
      </c>
      <c r="D28" s="223">
        <f t="shared" si="11"/>
        <v>0</v>
      </c>
      <c r="E28" s="270">
        <v>0</v>
      </c>
      <c r="F28" s="223">
        <f>IF(AND(F9&gt;$I$4,F9&lt;=$L$4),$C28/(($M$4)/3),0)</f>
        <v>0</v>
      </c>
      <c r="G28" s="223">
        <f t="shared" ref="G28:X28" si="25">IF(AND(G9&gt;$I$4,G9&lt;=$L$4),$C28/(($M$4)/3),0)</f>
        <v>0</v>
      </c>
      <c r="H28" s="223">
        <f t="shared" si="25"/>
        <v>0</v>
      </c>
      <c r="I28" s="223">
        <f t="shared" si="25"/>
        <v>0</v>
      </c>
      <c r="J28" s="223">
        <f t="shared" si="25"/>
        <v>0</v>
      </c>
      <c r="K28" s="223">
        <f t="shared" si="25"/>
        <v>0</v>
      </c>
      <c r="L28" s="223">
        <f t="shared" si="25"/>
        <v>0</v>
      </c>
      <c r="M28" s="223">
        <f t="shared" si="25"/>
        <v>0</v>
      </c>
      <c r="N28" s="223">
        <f t="shared" si="25"/>
        <v>0</v>
      </c>
      <c r="O28" s="223">
        <f t="shared" si="25"/>
        <v>0</v>
      </c>
      <c r="P28" s="223">
        <f t="shared" si="25"/>
        <v>0</v>
      </c>
      <c r="Q28" s="223">
        <f t="shared" si="25"/>
        <v>0</v>
      </c>
      <c r="R28" s="223">
        <f t="shared" si="25"/>
        <v>0</v>
      </c>
      <c r="S28" s="223">
        <f t="shared" si="25"/>
        <v>0</v>
      </c>
      <c r="T28" s="223">
        <f t="shared" si="25"/>
        <v>1527686.8312499996</v>
      </c>
      <c r="U28" s="223">
        <f t="shared" si="25"/>
        <v>1527686.8312499996</v>
      </c>
      <c r="V28" s="223">
        <f t="shared" si="25"/>
        <v>0</v>
      </c>
      <c r="W28" s="223">
        <f t="shared" si="25"/>
        <v>0</v>
      </c>
      <c r="X28" s="223">
        <f t="shared" si="25"/>
        <v>0</v>
      </c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4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CH28" s="207"/>
      <c r="CI28" s="207"/>
    </row>
    <row r="29" spans="1:87" ht="20.25" customHeight="1">
      <c r="A29" s="207" t="s">
        <v>106</v>
      </c>
      <c r="B29" s="224">
        <f t="shared" si="10"/>
        <v>6789719.2499999981</v>
      </c>
      <c r="C29" s="223">
        <f>'2-E Financial'!$B22</f>
        <v>6789719.2499999991</v>
      </c>
      <c r="D29" s="223">
        <f t="shared" si="11"/>
        <v>0</v>
      </c>
      <c r="E29" s="270">
        <v>0</v>
      </c>
      <c r="F29" s="223">
        <f>IF(F$8=1,$C29/COUNTIF($E$8:$X$8,"1"),0)</f>
        <v>0</v>
      </c>
      <c r="G29" s="223">
        <f t="shared" ref="G29:X29" si="26">IF(G$8=1,$C29/COUNTIF($E$8:$X$8,"1"),0)</f>
        <v>0</v>
      </c>
      <c r="H29" s="223">
        <f t="shared" si="26"/>
        <v>0</v>
      </c>
      <c r="I29" s="223">
        <f t="shared" si="26"/>
        <v>0</v>
      </c>
      <c r="J29" s="223">
        <f t="shared" si="26"/>
        <v>0</v>
      </c>
      <c r="K29" s="223">
        <f t="shared" si="26"/>
        <v>0</v>
      </c>
      <c r="L29" s="223">
        <f t="shared" si="26"/>
        <v>0</v>
      </c>
      <c r="M29" s="223">
        <f t="shared" si="26"/>
        <v>0</v>
      </c>
      <c r="N29" s="223">
        <f t="shared" si="26"/>
        <v>0</v>
      </c>
      <c r="O29" s="223">
        <f t="shared" si="26"/>
        <v>0</v>
      </c>
      <c r="P29" s="223">
        <f t="shared" si="26"/>
        <v>0</v>
      </c>
      <c r="Q29" s="223">
        <f t="shared" si="26"/>
        <v>0</v>
      </c>
      <c r="R29" s="223">
        <f t="shared" si="26"/>
        <v>2263239.7499999995</v>
      </c>
      <c r="S29" s="223">
        <f t="shared" si="26"/>
        <v>2263239.7499999995</v>
      </c>
      <c r="T29" s="223">
        <f t="shared" si="26"/>
        <v>2263239.7499999995</v>
      </c>
      <c r="U29" s="223">
        <f t="shared" si="26"/>
        <v>0</v>
      </c>
      <c r="V29" s="223">
        <f t="shared" si="26"/>
        <v>0</v>
      </c>
      <c r="W29" s="223">
        <f t="shared" si="26"/>
        <v>0</v>
      </c>
      <c r="X29" s="223">
        <f t="shared" si="26"/>
        <v>0</v>
      </c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4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CH29" s="207"/>
      <c r="CI29" s="207"/>
    </row>
    <row r="30" spans="1:87" ht="20.25" customHeight="1">
      <c r="A30" s="207" t="s">
        <v>403</v>
      </c>
      <c r="B30" s="224">
        <f t="shared" si="10"/>
        <v>305537.3662499999</v>
      </c>
      <c r="C30" s="223">
        <f>'2-E Financial'!$B23</f>
        <v>305537.3662499999</v>
      </c>
      <c r="D30" s="223">
        <f t="shared" si="11"/>
        <v>0</v>
      </c>
      <c r="E30" s="270">
        <v>0</v>
      </c>
      <c r="F30" s="223">
        <f>IF(AND(F$9&gt;$I$4,F$9&lt;$L$4),$C30,0)</f>
        <v>0</v>
      </c>
      <c r="G30" s="223">
        <f t="shared" ref="G30:X30" si="27">IF(AND(G$9&gt;$I$4,G$9&lt;$L$4),$C30,0)</f>
        <v>0</v>
      </c>
      <c r="H30" s="223">
        <f t="shared" si="27"/>
        <v>0</v>
      </c>
      <c r="I30" s="223">
        <f t="shared" si="27"/>
        <v>0</v>
      </c>
      <c r="J30" s="223">
        <f t="shared" si="27"/>
        <v>0</v>
      </c>
      <c r="K30" s="223">
        <f t="shared" si="27"/>
        <v>0</v>
      </c>
      <c r="L30" s="223">
        <f t="shared" si="27"/>
        <v>0</v>
      </c>
      <c r="M30" s="223">
        <f t="shared" si="27"/>
        <v>0</v>
      </c>
      <c r="N30" s="223">
        <f t="shared" si="27"/>
        <v>0</v>
      </c>
      <c r="O30" s="223">
        <f t="shared" si="27"/>
        <v>0</v>
      </c>
      <c r="P30" s="223">
        <f t="shared" si="27"/>
        <v>0</v>
      </c>
      <c r="Q30" s="223">
        <f t="shared" si="27"/>
        <v>0</v>
      </c>
      <c r="R30" s="223">
        <f t="shared" si="27"/>
        <v>0</v>
      </c>
      <c r="S30" s="223">
        <f t="shared" si="27"/>
        <v>0</v>
      </c>
      <c r="T30" s="223">
        <f t="shared" si="27"/>
        <v>305537.3662499999</v>
      </c>
      <c r="U30" s="223">
        <f t="shared" si="27"/>
        <v>0</v>
      </c>
      <c r="V30" s="223">
        <f t="shared" si="27"/>
        <v>0</v>
      </c>
      <c r="W30" s="223">
        <f t="shared" si="27"/>
        <v>0</v>
      </c>
      <c r="X30" s="223">
        <f t="shared" si="27"/>
        <v>0</v>
      </c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4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CH30" s="207"/>
      <c r="CI30" s="207"/>
    </row>
    <row r="31" spans="1:87" ht="20.25" customHeight="1">
      <c r="A31" s="207" t="s">
        <v>112</v>
      </c>
      <c r="B31" s="224">
        <f t="shared" si="10"/>
        <v>535803.94513124996</v>
      </c>
      <c r="C31" s="223">
        <f>'2-E Financial'!$B24</f>
        <v>535803.94513124996</v>
      </c>
      <c r="D31" s="223">
        <f t="shared" si="11"/>
        <v>0</v>
      </c>
      <c r="E31" s="270">
        <v>0</v>
      </c>
      <c r="F31" s="223">
        <f t="shared" ref="F31:X31" si="28">IF(F$13&gt;0,$C31/(($J$4)/3),0)</f>
        <v>0</v>
      </c>
      <c r="G31" s="223">
        <f t="shared" si="28"/>
        <v>0</v>
      </c>
      <c r="H31" s="223">
        <f t="shared" si="28"/>
        <v>0</v>
      </c>
      <c r="I31" s="223">
        <f t="shared" si="28"/>
        <v>0</v>
      </c>
      <c r="J31" s="223">
        <f t="shared" si="28"/>
        <v>0</v>
      </c>
      <c r="K31" s="223">
        <f t="shared" si="28"/>
        <v>59533.771681249993</v>
      </c>
      <c r="L31" s="223">
        <f t="shared" si="28"/>
        <v>59533.771681249993</v>
      </c>
      <c r="M31" s="223">
        <f t="shared" si="28"/>
        <v>59533.771681249993</v>
      </c>
      <c r="N31" s="223">
        <f t="shared" si="28"/>
        <v>59533.771681249993</v>
      </c>
      <c r="O31" s="223">
        <f t="shared" si="28"/>
        <v>59533.771681249993</v>
      </c>
      <c r="P31" s="223">
        <f t="shared" si="28"/>
        <v>59533.771681249993</v>
      </c>
      <c r="Q31" s="223">
        <f t="shared" si="28"/>
        <v>59533.771681249993</v>
      </c>
      <c r="R31" s="223">
        <f t="shared" si="28"/>
        <v>59533.771681249993</v>
      </c>
      <c r="S31" s="223">
        <f t="shared" si="28"/>
        <v>59533.771681249993</v>
      </c>
      <c r="T31" s="223">
        <f t="shared" si="28"/>
        <v>0</v>
      </c>
      <c r="U31" s="223">
        <f t="shared" si="28"/>
        <v>0</v>
      </c>
      <c r="V31" s="223">
        <f t="shared" si="28"/>
        <v>0</v>
      </c>
      <c r="W31" s="223">
        <f t="shared" si="28"/>
        <v>0</v>
      </c>
      <c r="X31" s="223">
        <f t="shared" si="28"/>
        <v>0</v>
      </c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CH31" s="207"/>
      <c r="CI31" s="207"/>
    </row>
    <row r="32" spans="1:87" ht="20.25" customHeight="1">
      <c r="A32" s="207" t="s">
        <v>165</v>
      </c>
      <c r="B32" s="224">
        <f>SUM(E32:X32)</f>
        <v>-3499999.9999999995</v>
      </c>
      <c r="C32" s="223">
        <f>'2-E Financial'!$B25</f>
        <v>-3500000</v>
      </c>
      <c r="D32" s="223">
        <f>B32-C32</f>
        <v>0</v>
      </c>
      <c r="E32" s="270">
        <v>0</v>
      </c>
      <c r="F32" s="223">
        <f>$C32*F$13</f>
        <v>0</v>
      </c>
      <c r="G32" s="223">
        <f t="shared" ref="G32:X32" si="29">$C32*G$13</f>
        <v>0</v>
      </c>
      <c r="H32" s="223">
        <f t="shared" si="29"/>
        <v>0</v>
      </c>
      <c r="I32" s="223">
        <f t="shared" si="29"/>
        <v>0</v>
      </c>
      <c r="J32" s="223">
        <f t="shared" si="29"/>
        <v>0</v>
      </c>
      <c r="K32" s="223">
        <f t="shared" si="29"/>
        <v>-90723.287752450502</v>
      </c>
      <c r="L32" s="223">
        <f t="shared" si="29"/>
        <v>-197793.15680639038</v>
      </c>
      <c r="M32" s="223">
        <f t="shared" si="29"/>
        <v>-419632.88881390973</v>
      </c>
      <c r="N32" s="223">
        <f t="shared" si="29"/>
        <v>-658920.83064476179</v>
      </c>
      <c r="O32" s="223">
        <f t="shared" si="29"/>
        <v>-765859.67196497519</v>
      </c>
      <c r="P32" s="223">
        <f t="shared" si="29"/>
        <v>-658920.83064476179</v>
      </c>
      <c r="Q32" s="223">
        <f t="shared" si="29"/>
        <v>-419632.88881390984</v>
      </c>
      <c r="R32" s="223">
        <f t="shared" si="29"/>
        <v>-197793.15680639021</v>
      </c>
      <c r="S32" s="223">
        <f t="shared" si="29"/>
        <v>-90723.287752450531</v>
      </c>
      <c r="T32" s="223">
        <f t="shared" si="29"/>
        <v>0</v>
      </c>
      <c r="U32" s="223">
        <f t="shared" si="29"/>
        <v>0</v>
      </c>
      <c r="V32" s="223">
        <f t="shared" si="29"/>
        <v>0</v>
      </c>
      <c r="W32" s="223">
        <f t="shared" si="29"/>
        <v>0</v>
      </c>
      <c r="X32" s="223">
        <f t="shared" si="29"/>
        <v>0</v>
      </c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4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CH32" s="207"/>
      <c r="CI32" s="207"/>
    </row>
    <row r="33" spans="1:87" ht="20.25" customHeight="1">
      <c r="A33" s="207" t="s">
        <v>38</v>
      </c>
      <c r="B33" s="224">
        <f ca="1">SUM(E33:X33)</f>
        <v>410000</v>
      </c>
      <c r="C33" s="223">
        <f>'2-E Financial'!$B26</f>
        <v>410000</v>
      </c>
      <c r="D33" s="223">
        <f ca="1">B33-C33</f>
        <v>0</v>
      </c>
      <c r="E33" s="270">
        <v>0</v>
      </c>
      <c r="F33" s="223">
        <f t="shared" ref="F33:X33" ca="1" si="30">IF(AND(G39&gt;0,F39=0),$C$33,0)</f>
        <v>0</v>
      </c>
      <c r="G33" s="223">
        <f t="shared" ca="1" si="30"/>
        <v>0</v>
      </c>
      <c r="H33" s="223">
        <f t="shared" ca="1" si="30"/>
        <v>0</v>
      </c>
      <c r="I33" s="223">
        <f t="shared" ca="1" si="30"/>
        <v>0</v>
      </c>
      <c r="J33" s="223">
        <f t="shared" ca="1" si="30"/>
        <v>0</v>
      </c>
      <c r="K33" s="223">
        <f t="shared" ca="1" si="30"/>
        <v>0</v>
      </c>
      <c r="L33" s="223">
        <f t="shared" ca="1" si="30"/>
        <v>0</v>
      </c>
      <c r="M33" s="223">
        <f t="shared" ca="1" si="30"/>
        <v>0</v>
      </c>
      <c r="N33" s="223">
        <f t="shared" ca="1" si="30"/>
        <v>410000</v>
      </c>
      <c r="O33" s="223">
        <f t="shared" ca="1" si="30"/>
        <v>0</v>
      </c>
      <c r="P33" s="223">
        <f t="shared" ca="1" si="30"/>
        <v>0</v>
      </c>
      <c r="Q33" s="223">
        <f t="shared" ca="1" si="30"/>
        <v>0</v>
      </c>
      <c r="R33" s="223">
        <f t="shared" ca="1" si="30"/>
        <v>0</v>
      </c>
      <c r="S33" s="223">
        <f t="shared" ca="1" si="30"/>
        <v>0</v>
      </c>
      <c r="T33" s="223">
        <f t="shared" ca="1" si="30"/>
        <v>0</v>
      </c>
      <c r="U33" s="223">
        <f t="shared" ca="1" si="30"/>
        <v>0</v>
      </c>
      <c r="V33" s="223">
        <f t="shared" ca="1" si="30"/>
        <v>0</v>
      </c>
      <c r="W33" s="223">
        <f t="shared" ca="1" si="30"/>
        <v>0</v>
      </c>
      <c r="X33" s="223">
        <f t="shared" ca="1" si="30"/>
        <v>0</v>
      </c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4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CH33" s="207"/>
      <c r="CI33" s="207"/>
    </row>
    <row r="34" spans="1:87" ht="20.25" customHeight="1">
      <c r="A34" s="207" t="s">
        <v>407</v>
      </c>
      <c r="B34" s="224">
        <f>SUM(E34:X34)</f>
        <v>6679999.9999999991</v>
      </c>
      <c r="C34" s="223">
        <f>'2-E Financial'!$B27</f>
        <v>6680000</v>
      </c>
      <c r="D34" s="223">
        <f>B34-C34</f>
        <v>0</v>
      </c>
      <c r="E34" s="270">
        <v>0</v>
      </c>
      <c r="F34" s="223">
        <f>IF(F7&lt;&gt;0,$C$34/($J$4/3),0)</f>
        <v>0</v>
      </c>
      <c r="G34" s="223">
        <f t="shared" ref="G34:X34" si="31">IF(G7&lt;&gt;0,$C$34/($J$4/3),0)</f>
        <v>0</v>
      </c>
      <c r="H34" s="223">
        <f t="shared" si="31"/>
        <v>0</v>
      </c>
      <c r="I34" s="223">
        <f t="shared" si="31"/>
        <v>0</v>
      </c>
      <c r="J34" s="223">
        <f t="shared" si="31"/>
        <v>0</v>
      </c>
      <c r="K34" s="223">
        <f t="shared" si="31"/>
        <v>742222.22222222225</v>
      </c>
      <c r="L34" s="223">
        <f t="shared" si="31"/>
        <v>742222.22222222225</v>
      </c>
      <c r="M34" s="223">
        <f t="shared" si="31"/>
        <v>742222.22222222225</v>
      </c>
      <c r="N34" s="223">
        <f t="shared" si="31"/>
        <v>742222.22222222225</v>
      </c>
      <c r="O34" s="223">
        <f t="shared" si="31"/>
        <v>742222.22222222225</v>
      </c>
      <c r="P34" s="223">
        <f t="shared" si="31"/>
        <v>742222.22222222225</v>
      </c>
      <c r="Q34" s="223">
        <f t="shared" si="31"/>
        <v>742222.22222222225</v>
      </c>
      <c r="R34" s="223">
        <f t="shared" si="31"/>
        <v>742222.22222222225</v>
      </c>
      <c r="S34" s="223">
        <f t="shared" si="31"/>
        <v>742222.22222222225</v>
      </c>
      <c r="T34" s="223">
        <f t="shared" si="31"/>
        <v>0</v>
      </c>
      <c r="U34" s="223">
        <f t="shared" si="31"/>
        <v>0</v>
      </c>
      <c r="V34" s="223">
        <f t="shared" si="31"/>
        <v>0</v>
      </c>
      <c r="W34" s="223">
        <f t="shared" si="31"/>
        <v>0</v>
      </c>
      <c r="X34" s="223">
        <f t="shared" si="31"/>
        <v>0</v>
      </c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4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CH34" s="207"/>
      <c r="CI34" s="207"/>
    </row>
    <row r="35" spans="1:87" ht="20.25" customHeight="1">
      <c r="B35" s="252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CH35" s="207"/>
      <c r="CI35" s="207"/>
    </row>
    <row r="36" spans="1:87" s="254" customFormat="1" ht="30" customHeight="1">
      <c r="A36" s="254" t="s">
        <v>408</v>
      </c>
      <c r="B36" s="256">
        <f ca="1">SUM(E36:X36)</f>
        <v>143801436.15388125</v>
      </c>
      <c r="C36" s="255">
        <f>SUM(C14:C34)</f>
        <v>143801436.15388125</v>
      </c>
      <c r="D36" s="255">
        <f ca="1">B36-C36</f>
        <v>0</v>
      </c>
      <c r="E36" s="255">
        <f>SUM(E14:E34)</f>
        <v>0</v>
      </c>
      <c r="F36" s="255">
        <f ca="1">SUM(F14:F34)</f>
        <v>492600.95999999996</v>
      </c>
      <c r="G36" s="255">
        <f t="shared" ref="G36:X36" ca="1" si="32">SUM(G14:G34)</f>
        <v>492600.95999999996</v>
      </c>
      <c r="H36" s="255">
        <f t="shared" ca="1" si="32"/>
        <v>492600.95999999996</v>
      </c>
      <c r="I36" s="255">
        <f t="shared" ca="1" si="32"/>
        <v>492600.95999999996</v>
      </c>
      <c r="J36" s="255">
        <f t="shared" ca="1" si="32"/>
        <v>1321732.8900000001</v>
      </c>
      <c r="K36" s="255">
        <f t="shared" ca="1" si="32"/>
        <v>5852790.4118393632</v>
      </c>
      <c r="L36" s="255">
        <f t="shared" ca="1" si="32"/>
        <v>8106266.1450609332</v>
      </c>
      <c r="M36" s="255">
        <f t="shared" ca="1" si="32"/>
        <v>15326846.705745667</v>
      </c>
      <c r="N36" s="255">
        <f t="shared" ca="1" si="32"/>
        <v>23525342.686851278</v>
      </c>
      <c r="O36" s="255">
        <f t="shared" ca="1" si="32"/>
        <v>26596056.046136752</v>
      </c>
      <c r="P36" s="255">
        <f t="shared" ca="1" si="32"/>
        <v>23115342.686851278</v>
      </c>
      <c r="Q36" s="255">
        <f t="shared" ca="1" si="32"/>
        <v>15087387.905745672</v>
      </c>
      <c r="R36" s="255">
        <f t="shared" ca="1" si="32"/>
        <v>10296713.761727594</v>
      </c>
      <c r="S36" s="255">
        <f t="shared" ca="1" si="32"/>
        <v>6811735.628506029</v>
      </c>
      <c r="T36" s="255">
        <f t="shared" ca="1" si="32"/>
        <v>4263130.6141666658</v>
      </c>
      <c r="U36" s="255">
        <f t="shared" ca="1" si="32"/>
        <v>1527686.8312499996</v>
      </c>
      <c r="V36" s="255">
        <f t="shared" ca="1" si="32"/>
        <v>0</v>
      </c>
      <c r="W36" s="255">
        <f t="shared" ca="1" si="32"/>
        <v>0</v>
      </c>
      <c r="X36" s="255">
        <f t="shared" ca="1" si="32"/>
        <v>0</v>
      </c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6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</row>
    <row r="37" spans="1:87" s="227" customFormat="1" ht="20.25" customHeight="1">
      <c r="A37" s="227" t="s">
        <v>493</v>
      </c>
      <c r="B37" s="369">
        <f ca="1">SUM(E37:X37)</f>
        <v>60396603.184630133</v>
      </c>
      <c r="C37" s="228"/>
      <c r="D37" s="230"/>
      <c r="E37" s="228">
        <f>E36</f>
        <v>0</v>
      </c>
      <c r="F37" s="228">
        <f t="shared" ref="F37:X37" ca="1" si="33">IF(((E38+F36)&lt;=$B$38),F36,($B$38-E38))</f>
        <v>492600.95999999996</v>
      </c>
      <c r="G37" s="228">
        <f t="shared" ca="1" si="33"/>
        <v>492600.95999999996</v>
      </c>
      <c r="H37" s="228">
        <f t="shared" ca="1" si="33"/>
        <v>492600.95999999996</v>
      </c>
      <c r="I37" s="228">
        <f t="shared" ca="1" si="33"/>
        <v>492600.95999999996</v>
      </c>
      <c r="J37" s="228">
        <f t="shared" ca="1" si="33"/>
        <v>1321732.8900000001</v>
      </c>
      <c r="K37" s="228">
        <f t="shared" ca="1" si="33"/>
        <v>5852790.4118393632</v>
      </c>
      <c r="L37" s="228">
        <f t="shared" ca="1" si="33"/>
        <v>8106266.1450609332</v>
      </c>
      <c r="M37" s="228">
        <f t="shared" ca="1" si="33"/>
        <v>15326846.705745667</v>
      </c>
      <c r="N37" s="228">
        <f t="shared" ca="1" si="33"/>
        <v>23525342.686851278</v>
      </c>
      <c r="O37" s="228">
        <f t="shared" ca="1" si="33"/>
        <v>4293220.5051328912</v>
      </c>
      <c r="P37" s="228">
        <f t="shared" ca="1" si="33"/>
        <v>0</v>
      </c>
      <c r="Q37" s="228">
        <f t="shared" ca="1" si="33"/>
        <v>0</v>
      </c>
      <c r="R37" s="228">
        <f t="shared" ca="1" si="33"/>
        <v>0</v>
      </c>
      <c r="S37" s="228">
        <f t="shared" ca="1" si="33"/>
        <v>0</v>
      </c>
      <c r="T37" s="228">
        <f t="shared" ca="1" si="33"/>
        <v>0</v>
      </c>
      <c r="U37" s="228">
        <f t="shared" ca="1" si="33"/>
        <v>0</v>
      </c>
      <c r="V37" s="228">
        <f t="shared" ca="1" si="33"/>
        <v>0</v>
      </c>
      <c r="W37" s="228">
        <f t="shared" ca="1" si="33"/>
        <v>0</v>
      </c>
      <c r="X37" s="228">
        <f t="shared" ca="1" si="33"/>
        <v>0</v>
      </c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9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</row>
    <row r="38" spans="1:87" ht="20.25" customHeight="1">
      <c r="A38" s="207" t="s">
        <v>494</v>
      </c>
      <c r="B38" s="224">
        <f>'2-E Financial'!$D$15</f>
        <v>60396603.184630133</v>
      </c>
      <c r="C38" s="223"/>
      <c r="D38" s="223"/>
      <c r="E38" s="223">
        <f>IF(OR(E9&lt;$E$4,E9&gt;$L$4),0,IF(SUM($E$37:E37)&lt;=$B38,SUM($E$37:E37),$B$38))</f>
        <v>0</v>
      </c>
      <c r="F38" s="223">
        <f ca="1">IF(OR(F9&lt;$E$4,F9&gt;$L$4),0,IF(SUM($E$37:F37)&lt;=$B38,SUM($E$37:F37),$B$38))</f>
        <v>492600.95999999996</v>
      </c>
      <c r="G38" s="223">
        <f ca="1">IF(OR(G9&lt;$E$4,G9&gt;$L$4),0,IF(SUM($E$37:G37)&lt;=$B38,SUM($E$37:G37),$B$38))</f>
        <v>985201.91999999993</v>
      </c>
      <c r="H38" s="223">
        <f ca="1">IF(OR(H9&lt;$E$4,H9&gt;$L$4),0,IF(SUM($E$37:H37)&lt;=$B38,SUM($E$37:H37),$B$38))</f>
        <v>1477802.88</v>
      </c>
      <c r="I38" s="223">
        <f ca="1">IF(OR(I9&lt;$E$4,I9&gt;$L$4),0,IF(SUM($E$37:I37)&lt;=$B38,SUM($E$37:I37),$B$38))</f>
        <v>1970403.8399999999</v>
      </c>
      <c r="J38" s="223">
        <f ca="1">IF(OR(J9&lt;$E$4,J9&gt;$L$4),0,IF(SUM($E$37:J37)&lt;=$B38,SUM($E$37:J37),$B$38))</f>
        <v>3292136.73</v>
      </c>
      <c r="K38" s="223">
        <f ca="1">IF(OR(K9&lt;$E$4,K9&gt;$L$4),0,IF(SUM($E$37:K37)&lt;=$B38,SUM($E$37:K37),$B$38))</f>
        <v>9144927.1418393627</v>
      </c>
      <c r="L38" s="223">
        <f ca="1">IF(OR(L9&lt;$E$4,L9&gt;$L$4),0,IF(SUM($E$37:L37)&lt;=$B38,SUM($E$37:L37),$B$38))</f>
        <v>17251193.286900297</v>
      </c>
      <c r="M38" s="223">
        <f ca="1">IF(OR(M9&lt;$E$4,M9&gt;$L$4),0,IF(SUM($E$37:M37)&lt;=$B38,SUM($E$37:M37),$B$38))</f>
        <v>32578039.992645964</v>
      </c>
      <c r="N38" s="223">
        <f ca="1">IF(OR(N9&lt;$E$4,N9&gt;$L$4),0,IF(SUM($E$37:N37)&lt;=$B38,SUM($E$37:N37),$B$38))</f>
        <v>56103382.679497242</v>
      </c>
      <c r="O38" s="223">
        <f ca="1">IF(OR(O9&lt;$E$4,O9&gt;$L$4),0,IF(SUM($E$37:O37)&lt;=$B38,SUM($E$37:O37),$B$38))</f>
        <v>60396603.184630133</v>
      </c>
      <c r="P38" s="223">
        <f ca="1">IF(OR(P9&lt;$E$4,P9&gt;$L$4),0,IF(SUM($E$37:P37)&lt;=$B38,SUM($E$37:P37),$B$38))</f>
        <v>60396603.184630133</v>
      </c>
      <c r="Q38" s="223">
        <f ca="1">IF(OR(Q9&lt;$E$4,Q9&gt;$L$4),0,IF(SUM($E$37:Q37)&lt;=$B38,SUM($E$37:Q37),$B$38))</f>
        <v>60396603.184630133</v>
      </c>
      <c r="R38" s="223">
        <f ca="1">IF(OR(R9&lt;$E$4,R9&gt;$L$4),0,IF(SUM($E$37:R37)&lt;=$B38,SUM($E$37:R37),$B$38))</f>
        <v>60396603.184630133</v>
      </c>
      <c r="S38" s="223">
        <f ca="1">IF(OR(S9&lt;$E$4,S9&gt;$L$4),0,IF(SUM($E$37:S37)&lt;=$B38,SUM($E$37:S37),$B$38))</f>
        <v>60396603.184630133</v>
      </c>
      <c r="T38" s="223">
        <f ca="1">IF(OR(T9&lt;$E$4,T9&gt;$L$4),0,IF(SUM($E$37:T37)&lt;=$B38,SUM($E$37:T37),$B$38))</f>
        <v>60396603.184630133</v>
      </c>
      <c r="U38" s="223">
        <f ca="1">IF(OR(U9&lt;$E$4,U9&gt;$L$4),0,IF(SUM($E$37:U37)&lt;=$B38,SUM($E$37:U37),$B$38))</f>
        <v>60396603.184630133</v>
      </c>
      <c r="V38" s="223">
        <f>IF(OR(V9&lt;$E$4,V9&gt;$L$4),0,IF(SUM($E$37:V37)&lt;=$B38,SUM($E$37:V37),$B$38))</f>
        <v>0</v>
      </c>
      <c r="W38" s="223">
        <f>IF(OR(W9&lt;$E$4,W9&gt;$L$4),0,IF(SUM($E$37:W37)&lt;=$B38,SUM($E$37:W37),$B$38))</f>
        <v>0</v>
      </c>
      <c r="X38" s="223">
        <f>IF(OR(X9&lt;$E$4,X9&gt;$L$4),0,IF(SUM($E$37:X37)&lt;=$B38,SUM($E$37:X37),$B$38))</f>
        <v>0</v>
      </c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4"/>
      <c r="AS38" s="223"/>
      <c r="AT38" s="223"/>
      <c r="AU38" s="223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CH38" s="207"/>
      <c r="CI38" s="207"/>
    </row>
    <row r="39" spans="1:87" ht="20.25" customHeight="1">
      <c r="A39" s="207" t="s">
        <v>495</v>
      </c>
      <c r="B39" s="365">
        <f ca="1">SUM(E39:X39)</f>
        <v>83404832.969251096</v>
      </c>
      <c r="C39" s="223"/>
      <c r="D39" s="223"/>
      <c r="E39" s="223">
        <f t="shared" ref="E39:X39" si="34">IF(E36&gt;E37,E36-E37,0)</f>
        <v>0</v>
      </c>
      <c r="F39" s="223">
        <f t="shared" ca="1" si="34"/>
        <v>0</v>
      </c>
      <c r="G39" s="223">
        <f t="shared" ca="1" si="34"/>
        <v>0</v>
      </c>
      <c r="H39" s="223">
        <f t="shared" ca="1" si="34"/>
        <v>0</v>
      </c>
      <c r="I39" s="223">
        <f t="shared" ca="1" si="34"/>
        <v>0</v>
      </c>
      <c r="J39" s="223">
        <f t="shared" ca="1" si="34"/>
        <v>0</v>
      </c>
      <c r="K39" s="223">
        <f t="shared" ca="1" si="34"/>
        <v>0</v>
      </c>
      <c r="L39" s="223">
        <f t="shared" ca="1" si="34"/>
        <v>0</v>
      </c>
      <c r="M39" s="223">
        <f t="shared" ca="1" si="34"/>
        <v>0</v>
      </c>
      <c r="N39" s="223">
        <f t="shared" ca="1" si="34"/>
        <v>0</v>
      </c>
      <c r="O39" s="223">
        <f t="shared" ca="1" si="34"/>
        <v>22302835.541003861</v>
      </c>
      <c r="P39" s="223">
        <f t="shared" ca="1" si="34"/>
        <v>23115342.686851278</v>
      </c>
      <c r="Q39" s="223">
        <f t="shared" ca="1" si="34"/>
        <v>15087387.905745672</v>
      </c>
      <c r="R39" s="223">
        <f t="shared" ca="1" si="34"/>
        <v>10296713.761727594</v>
      </c>
      <c r="S39" s="223">
        <f t="shared" ca="1" si="34"/>
        <v>6811735.628506029</v>
      </c>
      <c r="T39" s="223">
        <f t="shared" ca="1" si="34"/>
        <v>4263130.6141666658</v>
      </c>
      <c r="U39" s="223">
        <f t="shared" ca="1" si="34"/>
        <v>1527686.8312499996</v>
      </c>
      <c r="V39" s="223">
        <f t="shared" ca="1" si="34"/>
        <v>0</v>
      </c>
      <c r="W39" s="223">
        <f t="shared" ca="1" si="34"/>
        <v>0</v>
      </c>
      <c r="X39" s="223">
        <f t="shared" ca="1" si="34"/>
        <v>0</v>
      </c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4"/>
      <c r="AS39" s="245"/>
      <c r="AT39" s="223"/>
      <c r="AU39" s="223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CH39" s="207"/>
      <c r="CI39" s="207"/>
    </row>
    <row r="40" spans="1:87" s="227" customFormat="1" ht="20.25" customHeight="1">
      <c r="A40" s="227" t="s">
        <v>496</v>
      </c>
      <c r="B40" s="229">
        <f ca="1">-B39</f>
        <v>-83404832.969251096</v>
      </c>
      <c r="C40" s="228"/>
      <c r="D40" s="228"/>
      <c r="E40" s="228">
        <f>IF(E6=$K$3,$B$40,0)</f>
        <v>0</v>
      </c>
      <c r="F40" s="228">
        <f t="shared" ref="F40:X40" si="35">IF(F6=$L$3,$B$40,0)</f>
        <v>0</v>
      </c>
      <c r="G40" s="228">
        <f t="shared" si="35"/>
        <v>0</v>
      </c>
      <c r="H40" s="228">
        <f t="shared" si="35"/>
        <v>0</v>
      </c>
      <c r="I40" s="228">
        <f t="shared" si="35"/>
        <v>0</v>
      </c>
      <c r="J40" s="228">
        <f t="shared" si="35"/>
        <v>0</v>
      </c>
      <c r="K40" s="228">
        <f t="shared" si="35"/>
        <v>0</v>
      </c>
      <c r="L40" s="228">
        <f t="shared" si="35"/>
        <v>0</v>
      </c>
      <c r="M40" s="228">
        <f t="shared" si="35"/>
        <v>0</v>
      </c>
      <c r="N40" s="228">
        <f t="shared" si="35"/>
        <v>0</v>
      </c>
      <c r="O40" s="228">
        <f t="shared" si="35"/>
        <v>0</v>
      </c>
      <c r="P40" s="228">
        <f t="shared" si="35"/>
        <v>0</v>
      </c>
      <c r="Q40" s="228">
        <f t="shared" si="35"/>
        <v>0</v>
      </c>
      <c r="R40" s="228">
        <f t="shared" si="35"/>
        <v>0</v>
      </c>
      <c r="S40" s="228">
        <f t="shared" si="35"/>
        <v>0</v>
      </c>
      <c r="T40" s="228">
        <f t="shared" si="35"/>
        <v>0</v>
      </c>
      <c r="U40" s="228">
        <f t="shared" ca="1" si="35"/>
        <v>-83404832.969251096</v>
      </c>
      <c r="V40" s="228">
        <f t="shared" si="35"/>
        <v>0</v>
      </c>
      <c r="W40" s="228">
        <f t="shared" si="35"/>
        <v>0</v>
      </c>
      <c r="X40" s="228">
        <f t="shared" si="35"/>
        <v>0</v>
      </c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9"/>
      <c r="AS40" s="228"/>
      <c r="AT40" s="228"/>
      <c r="AU40" s="228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</row>
    <row r="41" spans="1:87" s="366" customFormat="1" ht="20.25" customHeight="1">
      <c r="A41" s="371" t="s">
        <v>497</v>
      </c>
      <c r="B41" s="372">
        <f>'2-E Financial'!$D$9</f>
        <v>0</v>
      </c>
      <c r="C41" s="373"/>
      <c r="D41" s="373"/>
      <c r="E41" s="373">
        <f t="shared" ref="E41:X41" si="36">IF(E6=$L$3,$B41,0)</f>
        <v>0</v>
      </c>
      <c r="F41" s="373">
        <f t="shared" si="36"/>
        <v>0</v>
      </c>
      <c r="G41" s="373">
        <f t="shared" si="36"/>
        <v>0</v>
      </c>
      <c r="H41" s="373">
        <f t="shared" si="36"/>
        <v>0</v>
      </c>
      <c r="I41" s="373">
        <f t="shared" si="36"/>
        <v>0</v>
      </c>
      <c r="J41" s="373">
        <f t="shared" si="36"/>
        <v>0</v>
      </c>
      <c r="K41" s="373">
        <f t="shared" si="36"/>
        <v>0</v>
      </c>
      <c r="L41" s="373">
        <f t="shared" si="36"/>
        <v>0</v>
      </c>
      <c r="M41" s="373">
        <f t="shared" si="36"/>
        <v>0</v>
      </c>
      <c r="N41" s="373">
        <f t="shared" si="36"/>
        <v>0</v>
      </c>
      <c r="O41" s="373">
        <f t="shared" si="36"/>
        <v>0</v>
      </c>
      <c r="P41" s="373">
        <f t="shared" si="36"/>
        <v>0</v>
      </c>
      <c r="Q41" s="373">
        <f t="shared" si="36"/>
        <v>0</v>
      </c>
      <c r="R41" s="373">
        <f t="shared" si="36"/>
        <v>0</v>
      </c>
      <c r="S41" s="373">
        <f t="shared" si="36"/>
        <v>0</v>
      </c>
      <c r="T41" s="373">
        <f t="shared" si="36"/>
        <v>0</v>
      </c>
      <c r="U41" s="373">
        <f t="shared" si="36"/>
        <v>0</v>
      </c>
      <c r="V41" s="373">
        <f t="shared" si="36"/>
        <v>0</v>
      </c>
      <c r="W41" s="373">
        <f t="shared" si="36"/>
        <v>0</v>
      </c>
      <c r="X41" s="373">
        <f t="shared" si="36"/>
        <v>0</v>
      </c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2"/>
      <c r="AS41" s="373"/>
      <c r="AT41" s="373"/>
      <c r="AU41" s="373"/>
      <c r="AV41" s="374"/>
      <c r="AW41" s="374"/>
      <c r="AX41" s="374"/>
      <c r="AY41" s="374"/>
      <c r="AZ41" s="374"/>
      <c r="BA41" s="374"/>
      <c r="BB41" s="374"/>
      <c r="BC41" s="374"/>
      <c r="BD41" s="374"/>
      <c r="BE41" s="374"/>
      <c r="BF41" s="374"/>
      <c r="BG41" s="374"/>
      <c r="BH41" s="374"/>
      <c r="BI41" s="374"/>
      <c r="BJ41" s="374"/>
      <c r="BK41" s="374"/>
      <c r="BL41" s="374"/>
      <c r="BM41" s="374"/>
      <c r="BN41" s="374"/>
      <c r="BO41" s="374"/>
      <c r="BP41" s="374"/>
      <c r="BQ41" s="374"/>
      <c r="BR41" s="374"/>
      <c r="BS41" s="374"/>
      <c r="BT41" s="374"/>
      <c r="BU41" s="374"/>
      <c r="BV41" s="371"/>
      <c r="BW41" s="371"/>
      <c r="BX41" s="371"/>
      <c r="BY41" s="371"/>
      <c r="BZ41" s="371"/>
      <c r="CA41" s="371"/>
      <c r="CB41" s="371"/>
      <c r="CC41" s="371"/>
      <c r="CD41" s="371"/>
      <c r="CE41" s="371"/>
      <c r="CF41" s="371"/>
      <c r="CG41" s="371"/>
      <c r="CH41" s="371"/>
      <c r="CI41" s="371"/>
    </row>
    <row r="42" spans="1:87" s="488" customFormat="1" ht="20.25" customHeight="1">
      <c r="A42" s="1092" t="s">
        <v>498</v>
      </c>
      <c r="B42" s="838">
        <f ca="1">SUM(E42:AR42)</f>
        <v>87227575.885427773</v>
      </c>
      <c r="C42" s="1095"/>
      <c r="D42" s="1095"/>
      <c r="E42" s="1095">
        <f ca="1">IF(E41&gt;$B$39,0,IF('2-E Financial'!$D$11="NO",IF(E6&lt;&gt;$L$3,0,'2-E Amortization'!$E$4),IF(E6=$L$3,'2-E Amortization'!$E$4,0)))</f>
        <v>0</v>
      </c>
      <c r="F42" s="1095">
        <f ca="1">IF(F41&gt;$B$39,0,IF('2-E Financial'!$D$11="NO",IF(F6&lt;&gt;$L$3,0,'2-E Amortization'!$E$4),IF(F6=$L$3,'2-E Amortization'!$E$4,0)))</f>
        <v>0</v>
      </c>
      <c r="G42" s="1095">
        <f ca="1">IF(G41&gt;$B$39,0,IF('2-E Financial'!$D$11="NO",IF(G6&lt;&gt;$L$3,0,'2-E Amortization'!$E$4),IF(G6=$L$3,'2-E Amortization'!$E$4,0)))</f>
        <v>0</v>
      </c>
      <c r="H42" s="1095">
        <f ca="1">IF(H41&gt;$B$39,0,IF('2-E Financial'!$D$11="NO",IF(H6&lt;&gt;$L$3,0,'2-E Amortization'!$E$4),IF(H6=$L$3,'2-E Amortization'!$E$4,0)))</f>
        <v>0</v>
      </c>
      <c r="I42" s="1095">
        <f ca="1">IF(I41&gt;$B$39,0,IF('2-E Financial'!$D$11="NO",IF(I6&lt;&gt;$L$3,0,'2-E Amortization'!$E$4),IF(I6=$L$3,'2-E Amortization'!$E$4,0)))</f>
        <v>0</v>
      </c>
      <c r="J42" s="1095">
        <f ca="1">IF(J41&gt;$B$39,0,IF('2-E Financial'!$D$11="NO",IF(J6&lt;&gt;$L$3,0,'2-E Amortization'!$E$4),IF(J6=$L$3,'2-E Amortization'!$E$4,0)))</f>
        <v>0</v>
      </c>
      <c r="K42" s="1095">
        <f ca="1">IF(K41&gt;$B$39,0,IF('2-E Financial'!$D$11="NO",IF(K6&lt;&gt;$L$3,0,'2-E Amortization'!$E$4),IF(K6=$L$3,'2-E Amortization'!$E$4,0)))</f>
        <v>0</v>
      </c>
      <c r="L42" s="1095">
        <f ca="1">IF(L41&gt;$B$39,0,IF('2-E Financial'!$D$11="NO",IF(L6&lt;&gt;$L$3,0,'2-E Amortization'!$E$4),IF(L6=$L$3,'2-E Amortization'!$E$4,0)))</f>
        <v>0</v>
      </c>
      <c r="M42" s="1095">
        <f ca="1">IF(M41&gt;$B$39,0,IF('2-E Financial'!$D$11="NO",IF(M6&lt;&gt;$L$3,0,'2-E Amortization'!$E$4),IF(M6=$L$3,'2-E Amortization'!$E$4,0)))</f>
        <v>0</v>
      </c>
      <c r="N42" s="1095">
        <f ca="1">IF(N41&gt;$B$39,0,IF('2-E Financial'!$D$11="NO",IF(N6&lt;&gt;$L$3,0,'2-E Amortization'!$E$4),IF(N6=$L$3,'2-E Amortization'!$E$4,0)))</f>
        <v>0</v>
      </c>
      <c r="O42" s="1095">
        <f ca="1">IF(O41&gt;$B$39,0,IF('2-E Financial'!$D$11="NO",IF(O6&lt;&gt;$L$3,0,'2-E Amortization'!$E$4),IF(O6=$L$3,'2-E Amortization'!$E$4,0)))</f>
        <v>0</v>
      </c>
      <c r="P42" s="1095">
        <f ca="1">IF(P41&gt;$B$39,0,IF('2-E Financial'!$D$11="NO",IF(P6&lt;&gt;$L$3,0,'2-E Amortization'!$E$4),IF(P6=$L$3,'2-E Amortization'!$E$4,0)))</f>
        <v>0</v>
      </c>
      <c r="Q42" s="1095">
        <f ca="1">IF(Q41&gt;$B$39,0,IF('2-E Financial'!$D$11="NO",IF(Q6&lt;&gt;$L$3,0,'2-E Amortization'!$E$4),IF(Q6=$L$3,'2-E Amortization'!$E$4,0)))</f>
        <v>0</v>
      </c>
      <c r="R42" s="1095">
        <f ca="1">IF(R41&gt;$B$39,0,IF('2-E Financial'!$D$11="NO",IF(R6&lt;&gt;$L$3,0,'2-E Amortization'!$E$4),IF(R6=$L$3,'2-E Amortization'!$E$4,0)))</f>
        <v>0</v>
      </c>
      <c r="S42" s="1095">
        <f ca="1">IF(S41&gt;$B$39,0,IF('2-E Financial'!$D$11="NO",IF(S6&lt;&gt;$L$3,0,'2-E Amortization'!$E$4),IF(S6=$L$3,'2-E Amortization'!$E$4,0)))</f>
        <v>0</v>
      </c>
      <c r="T42" s="1095">
        <f ca="1">IF(T41&gt;$B$39,0,IF('2-E Financial'!$D$11="NO",IF(T6&lt;&gt;$L$3,0,'2-E Amortization'!$E$4),IF(T6=$L$3,'2-E Amortization'!$E$4,0)))</f>
        <v>0</v>
      </c>
      <c r="U42" s="1095">
        <f ca="1">IF(U41&gt;$B$39,0,IF('2-E Financial'!$D$11="NO",IF(U6&lt;&gt;$L$3,0,'2-E Amortization'!$E$4),IF(U6=$L$3,'2-E Amortization'!$E$4,0)))</f>
        <v>87227575.885427773</v>
      </c>
      <c r="V42" s="1095">
        <f ca="1">IF(V41&gt;$B$39,0,IF('2-E Financial'!$D$11="NO",IF(V6&lt;&gt;$L$3,0,'2-E Amortization'!$E$4),IF(V6=$L$3,'2-E Amortization'!$E$4,0)))</f>
        <v>0</v>
      </c>
      <c r="W42" s="1095">
        <f ca="1">IF(W41&gt;$B$39,0,IF('2-E Financial'!$D$11="NO",IF(W6&lt;&gt;$L$3,0,'2-E Amortization'!$E$4),IF(W6=$L$3,'2-E Amortization'!$E$4,0)))</f>
        <v>0</v>
      </c>
      <c r="X42" s="1095">
        <f ca="1">IF(X41&gt;$B$39,0,IF('2-E Financial'!$D$11="NO",IF(X6&lt;&gt;$L$3,0,'2-E Amortization'!$E$4),IF(X6=$L$3,'2-E Amortization'!$E$4,0)))</f>
        <v>0</v>
      </c>
      <c r="Y42" s="1095"/>
      <c r="Z42" s="1095"/>
      <c r="AA42" s="1095"/>
      <c r="AB42" s="1095"/>
      <c r="AC42" s="1095"/>
      <c r="AD42" s="1095"/>
      <c r="AE42" s="1095"/>
      <c r="AF42" s="1095"/>
      <c r="AG42" s="1095"/>
      <c r="AH42" s="1095"/>
      <c r="AI42" s="1095"/>
      <c r="AJ42" s="1095"/>
      <c r="AK42" s="1095"/>
      <c r="AL42" s="1095"/>
      <c r="AM42" s="1095"/>
      <c r="AN42" s="1095"/>
      <c r="AO42" s="1095"/>
      <c r="AP42" s="1095"/>
      <c r="AQ42" s="1095"/>
      <c r="AR42" s="764"/>
      <c r="AS42" s="1095"/>
      <c r="AT42" s="1095"/>
      <c r="AU42" s="1095"/>
      <c r="AV42" s="1093"/>
      <c r="AW42" s="1093"/>
      <c r="AX42" s="1093"/>
      <c r="AY42" s="1093"/>
      <c r="AZ42" s="1093"/>
      <c r="BA42" s="1093"/>
      <c r="BB42" s="1093"/>
      <c r="BC42" s="1093"/>
      <c r="BD42" s="1093"/>
      <c r="BE42" s="1093"/>
      <c r="BF42" s="1093"/>
      <c r="BG42" s="1093"/>
      <c r="BH42" s="1093"/>
      <c r="BI42" s="1093"/>
      <c r="BJ42" s="1093"/>
      <c r="BK42" s="1093"/>
      <c r="BL42" s="1093"/>
      <c r="BM42" s="1093"/>
      <c r="BN42" s="1093"/>
      <c r="BO42" s="1093"/>
      <c r="BP42" s="1093"/>
      <c r="BQ42" s="1093"/>
      <c r="BR42" s="1093"/>
      <c r="BS42" s="1093"/>
      <c r="BT42" s="1093"/>
      <c r="BU42" s="1093"/>
      <c r="BV42" s="1092"/>
      <c r="BW42" s="1092"/>
      <c r="BX42" s="1092"/>
      <c r="BY42" s="1092"/>
      <c r="BZ42" s="1092"/>
      <c r="CA42" s="1092"/>
      <c r="CB42" s="1092"/>
      <c r="CC42" s="1092"/>
      <c r="CD42" s="1092"/>
      <c r="CE42" s="1092"/>
      <c r="CF42" s="1092"/>
      <c r="CG42" s="1092"/>
      <c r="CH42" s="1092"/>
      <c r="CI42" s="1092"/>
    </row>
    <row r="43" spans="1:87" ht="20.25" customHeight="1">
      <c r="A43" s="207" t="s">
        <v>517</v>
      </c>
      <c r="B43" s="224">
        <f ca="1">SUM(E43:AR43)</f>
        <v>-436137.87942713889</v>
      </c>
      <c r="C43" s="223"/>
      <c r="D43" s="223"/>
      <c r="E43" s="223">
        <f ca="1">IF(E42&gt;0,-'2-E Amortization'!$F$11,0)</f>
        <v>0</v>
      </c>
      <c r="F43" s="223">
        <f ca="1">IF(F42&gt;0,-'2-E Amortization'!$F$11,0)</f>
        <v>0</v>
      </c>
      <c r="G43" s="223">
        <f ca="1">IF(G42&gt;0,-'2-E Amortization'!$F$11,0)</f>
        <v>0</v>
      </c>
      <c r="H43" s="223">
        <f ca="1">IF(H42&gt;0,-'2-E Amortization'!$F$11,0)</f>
        <v>0</v>
      </c>
      <c r="I43" s="223">
        <f ca="1">IF(I42&gt;0,-'2-E Amortization'!$F$11,0)</f>
        <v>0</v>
      </c>
      <c r="J43" s="223">
        <f ca="1">IF(J42&gt;0,-'2-E Amortization'!$F$11,0)</f>
        <v>0</v>
      </c>
      <c r="K43" s="223">
        <f ca="1">IF(K42&gt;0,-'2-E Amortization'!$F$11,0)</f>
        <v>0</v>
      </c>
      <c r="L43" s="223">
        <f ca="1">IF(L42&gt;0,-'2-E Amortization'!$F$11,0)</f>
        <v>0</v>
      </c>
      <c r="M43" s="223">
        <f ca="1">IF(M42&gt;0,-'2-E Amortization'!$F$11,0)</f>
        <v>0</v>
      </c>
      <c r="N43" s="223">
        <f ca="1">IF(N42&gt;0,-'2-E Amortization'!$F$11,0)</f>
        <v>0</v>
      </c>
      <c r="O43" s="223">
        <f ca="1">IF(O42&gt;0,-'2-E Amortization'!$F$11,0)</f>
        <v>0</v>
      </c>
      <c r="P43" s="223">
        <f ca="1">IF(P42&gt;0,-'2-E Amortization'!$F$11,0)</f>
        <v>0</v>
      </c>
      <c r="Q43" s="223">
        <f ca="1">IF(Q42&gt;0,-'2-E Amortization'!$F$11,0)</f>
        <v>0</v>
      </c>
      <c r="R43" s="223">
        <f ca="1">IF(R42&gt;0,-'2-E Amortization'!$F$11,0)</f>
        <v>0</v>
      </c>
      <c r="S43" s="223">
        <f ca="1">IF(S42&gt;0,-'2-E Amortization'!$F$11,0)</f>
        <v>0</v>
      </c>
      <c r="T43" s="223">
        <f ca="1">IF(T42&gt;0,-'2-E Amortization'!$F$11,0)</f>
        <v>0</v>
      </c>
      <c r="U43" s="223">
        <f ca="1">IF(U42&gt;0,-'2-E Amortization'!$F$11,0)</f>
        <v>-436137.87942713889</v>
      </c>
      <c r="V43" s="223">
        <f ca="1">IF(V42&gt;0,-'2-E Amortization'!$F$11,0)</f>
        <v>0</v>
      </c>
      <c r="W43" s="223">
        <f ca="1">IF(W42&gt;0,-'2-E Amortization'!$F$11,0)</f>
        <v>0</v>
      </c>
      <c r="X43" s="223">
        <f ca="1">IF(X42&gt;0,-'2-E Amortization'!$F$11,0)</f>
        <v>0</v>
      </c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4"/>
      <c r="AS43" s="223"/>
      <c r="AT43" s="223"/>
      <c r="AU43" s="223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CH43" s="207"/>
      <c r="CI43" s="207"/>
    </row>
    <row r="44" spans="1:87" s="227" customFormat="1" ht="20.25" customHeight="1">
      <c r="A44" s="227" t="s">
        <v>499</v>
      </c>
      <c r="B44" s="369">
        <f ca="1">SUM(E44:AR44)</f>
        <v>3386605.036749538</v>
      </c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>
        <f ca="1">U40+U41+U42+U43</f>
        <v>3386605.036749538</v>
      </c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9"/>
      <c r="AS44" s="228"/>
      <c r="AT44" s="228"/>
      <c r="AU44" s="228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</row>
    <row r="45" spans="1:87" s="227" customFormat="1" ht="20.25" customHeight="1">
      <c r="A45" s="227" t="s">
        <v>500</v>
      </c>
      <c r="B45" s="369">
        <f>SUM(E45:AR45)</f>
        <v>39678357.617156811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>
        <f>'2-E Financial'!$D$5*(1+'2-E Financial'!$D$7)^(Y5-1)/4</f>
        <v>1831425.1587499995</v>
      </c>
      <c r="Z45" s="228">
        <f>'2-E Financial'!$D$5*(1+'2-E Financial'!$D$7)^(Z5-1)/4</f>
        <v>1831425.1587499995</v>
      </c>
      <c r="AA45" s="228">
        <f>'2-E Financial'!$D$5*(1+'2-E Financial'!$D$7)^(AA5-1)/4</f>
        <v>1831425.1587499995</v>
      </c>
      <c r="AB45" s="228">
        <f>'2-E Financial'!$D$5*(1+'2-E Financial'!$D$7)^(AB5-1)/4</f>
        <v>1831425.1587499995</v>
      </c>
      <c r="AC45" s="228">
        <f>'2-E Financial'!$D$5*(1+'2-E Financial'!$D$7)^(AC5-1)/4</f>
        <v>1904682.1650999996</v>
      </c>
      <c r="AD45" s="228">
        <f>'2-E Financial'!$D$5*(1+'2-E Financial'!$D$7)^(AD5-1)/4</f>
        <v>1904682.1650999996</v>
      </c>
      <c r="AE45" s="228">
        <f>'2-E Financial'!$D$5*(1+'2-E Financial'!$D$7)^(AE5-1)/4</f>
        <v>1904682.1650999996</v>
      </c>
      <c r="AF45" s="228">
        <f>'2-E Financial'!$D$5*(1+'2-E Financial'!$D$7)^(AF5-1)/4</f>
        <v>1904682.1650999996</v>
      </c>
      <c r="AG45" s="228">
        <f>'2-E Financial'!$D$5*(1+'2-E Financial'!$D$7)^(AG5-1)/4</f>
        <v>1980869.4517039997</v>
      </c>
      <c r="AH45" s="228">
        <f>'2-E Financial'!$D$5*(1+'2-E Financial'!$D$7)^(AH5-1)/4</f>
        <v>1980869.4517039997</v>
      </c>
      <c r="AI45" s="228">
        <f>'2-E Financial'!$D$5*(1+'2-E Financial'!$D$7)^(AI5-1)/4</f>
        <v>1980869.4517039997</v>
      </c>
      <c r="AJ45" s="228">
        <f>'2-E Financial'!$D$5*(1+'2-E Financial'!$D$7)^(AJ5-1)/4</f>
        <v>1980869.4517039997</v>
      </c>
      <c r="AK45" s="228">
        <f>'2-E Financial'!$D$5*(1+'2-E Financial'!$D$7)^(AK5-1)/4</f>
        <v>2060104.2297721596</v>
      </c>
      <c r="AL45" s="228">
        <f>'2-E Financial'!$D$5*(1+'2-E Financial'!$D$7)^(AL5-1)/4</f>
        <v>2060104.2297721596</v>
      </c>
      <c r="AM45" s="228">
        <f>'2-E Financial'!$D$5*(1+'2-E Financial'!$D$7)^(AM5-1)/4</f>
        <v>2060104.2297721596</v>
      </c>
      <c r="AN45" s="228">
        <f>'2-E Financial'!$D$5*(1+'2-E Financial'!$D$7)^(AN5-1)/4</f>
        <v>2060104.2297721596</v>
      </c>
      <c r="AO45" s="228">
        <f>'2-E Financial'!$D$5*(1+'2-E Financial'!$D$7)^(AO5-1)/4</f>
        <v>2142508.3989630463</v>
      </c>
      <c r="AP45" s="228">
        <f>'2-E Financial'!$D$5*(1+'2-E Financial'!$D$7)^(AP5-1)/4</f>
        <v>2142508.3989630463</v>
      </c>
      <c r="AQ45" s="228">
        <f>'2-E Financial'!$D$5*(1+'2-E Financial'!$D$7)^(AQ5-1)/4</f>
        <v>2142508.3989630463</v>
      </c>
      <c r="AR45" s="229">
        <f>'2-E Financial'!$D$5*(1+'2-E Financial'!$D$7)^(AR5-1)/4</f>
        <v>2142508.3989630463</v>
      </c>
      <c r="AS45" s="228"/>
      <c r="AT45" s="228"/>
      <c r="AU45" s="228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  <c r="BH45" s="230"/>
      <c r="BI45" s="230"/>
      <c r="BJ45" s="230"/>
      <c r="BK45" s="230"/>
      <c r="BL45" s="230"/>
      <c r="BM45" s="230"/>
      <c r="BN45" s="230"/>
      <c r="BO45" s="230"/>
      <c r="BP45" s="230"/>
      <c r="BQ45" s="230"/>
      <c r="BR45" s="230"/>
      <c r="BS45" s="230"/>
      <c r="BT45" s="230"/>
      <c r="BU45" s="230"/>
    </row>
    <row r="46" spans="1:87" ht="20.25" customHeight="1">
      <c r="A46" s="207" t="s">
        <v>501</v>
      </c>
      <c r="B46" s="224">
        <f>SUM(E46:AR46)</f>
        <v>-29449335.51106292</v>
      </c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 cm="1">
        <f t="array" ref="Y46">INDEX('2-E Amortization'!$J$4:$J$23,MATCH(1,('2-E Amortization'!$I$4:$I$23=Y7)*('2-E Amortization'!$H$4:$H$23=Y5),0),0)</f>
        <v>-1253896.4033530243</v>
      </c>
      <c r="Z46" s="223" cm="1">
        <f t="array" ref="Z46">INDEX('2-E Amortization'!$J$4:$J$23,MATCH(1,('2-E Amortization'!$I$4:$I$23=Z7)*('2-E Amortization'!$H$4:$H$23=Z5),0),0)</f>
        <v>-1253896.4033530243</v>
      </c>
      <c r="AA46" s="223" cm="1">
        <f t="array" ref="AA46">INDEX('2-E Amortization'!$J$4:$J$23,MATCH(1,('2-E Amortization'!$I$4:$I$23=AA7)*('2-E Amortization'!$H$4:$H$23=AA5),0),0)</f>
        <v>-1253896.4033530243</v>
      </c>
      <c r="AB46" s="223" cm="1">
        <f t="array" ref="AB46">INDEX('2-E Amortization'!$J$4:$J$23,MATCH(1,('2-E Amortization'!$I$4:$I$23=AB7)*('2-E Amortization'!$H$4:$H$23=AB5),0),0)</f>
        <v>-1253896.4033530243</v>
      </c>
      <c r="AC46" s="223" cm="1">
        <f t="array" ref="AC46">INDEX('2-E Amortization'!$J$4:$J$23,MATCH(1,('2-E Amortization'!$I$4:$I$23=AC7)*('2-E Amortization'!$H$4:$H$23=AC5),0),0)</f>
        <v>-1527109.3686031757</v>
      </c>
      <c r="AD46" s="223" cm="1">
        <f t="array" ref="AD46">INDEX('2-E Amortization'!$J$4:$J$23,MATCH(1,('2-E Amortization'!$I$4:$I$23=AD7)*('2-E Amortization'!$H$4:$H$23=AD5),0),0)</f>
        <v>-1527109.368603176</v>
      </c>
      <c r="AE46" s="223" cm="1">
        <f t="array" ref="AE46">INDEX('2-E Amortization'!$J$4:$J$23,MATCH(1,('2-E Amortization'!$I$4:$I$23=AE7)*('2-E Amortization'!$H$4:$H$23=AE5),0),0)</f>
        <v>-1527109.368603176</v>
      </c>
      <c r="AF46" s="223" cm="1">
        <f t="array" ref="AF46">INDEX('2-E Amortization'!$J$4:$J$23,MATCH(1,('2-E Amortization'!$I$4:$I$23=AF7)*('2-E Amortization'!$H$4:$H$23=AF5),0),0)</f>
        <v>-1527109.368603176</v>
      </c>
      <c r="AG46" s="223" cm="1">
        <f t="array" ref="AG46">INDEX('2-E Amortization'!$J$4:$J$23,MATCH(1,('2-E Amortization'!$I$4:$I$23=AG7)*('2-E Amortization'!$H$4:$H$23=AG5),0),0)</f>
        <v>-1527109.368603176</v>
      </c>
      <c r="AH46" s="223" cm="1">
        <f t="array" ref="AH46">INDEX('2-E Amortization'!$J$4:$J$23,MATCH(1,('2-E Amortization'!$I$4:$I$23=AH7)*('2-E Amortization'!$H$4:$H$23=AH5),0),0)</f>
        <v>-1527109.368603176</v>
      </c>
      <c r="AI46" s="223" cm="1">
        <f t="array" ref="AI46">INDEX('2-E Amortization'!$J$4:$J$23,MATCH(1,('2-E Amortization'!$I$4:$I$23=AI7)*('2-E Amortization'!$H$4:$H$23=AI5),0),0)</f>
        <v>-1527109.368603176</v>
      </c>
      <c r="AJ46" s="223" cm="1">
        <f t="array" ref="AJ46">INDEX('2-E Amortization'!$J$4:$J$23,MATCH(1,('2-E Amortization'!$I$4:$I$23=AJ7)*('2-E Amortization'!$H$4:$H$23=AJ5),0),0)</f>
        <v>-1527109.3686031762</v>
      </c>
      <c r="AK46" s="223" cm="1">
        <f t="array" ref="AK46">INDEX('2-E Amortization'!$J$4:$J$23,MATCH(1,('2-E Amortization'!$I$4:$I$23=AK7)*('2-E Amortization'!$H$4:$H$23=AK5),0),0)</f>
        <v>-1527109.368603176</v>
      </c>
      <c r="AL46" s="223" cm="1">
        <f t="array" ref="AL46">INDEX('2-E Amortization'!$J$4:$J$23,MATCH(1,('2-E Amortization'!$I$4:$I$23=AL7)*('2-E Amortization'!$H$4:$H$23=AL5),0),0)</f>
        <v>-1527109.3686031762</v>
      </c>
      <c r="AM46" s="223" cm="1">
        <f t="array" ref="AM46">INDEX('2-E Amortization'!$J$4:$J$23,MATCH(1,('2-E Amortization'!$I$4:$I$23=AM7)*('2-E Amortization'!$H$4:$H$23=AM5),0),0)</f>
        <v>-1527109.368603176</v>
      </c>
      <c r="AN46" s="223" cm="1">
        <f t="array" ref="AN46">INDEX('2-E Amortization'!$J$4:$J$23,MATCH(1,('2-E Amortization'!$I$4:$I$23=AN7)*('2-E Amortization'!$H$4:$H$23=AN5),0),0)</f>
        <v>-1527109.368603176</v>
      </c>
      <c r="AO46" s="223" cm="1">
        <f t="array" ref="AO46">INDEX('2-E Amortization'!$J$4:$J$23,MATCH(1,('2-E Amortization'!$I$4:$I$23=AO7)*('2-E Amortization'!$H$4:$H$23=AO5),0),0)</f>
        <v>-1527109.368603176</v>
      </c>
      <c r="AP46" s="223" cm="1">
        <f t="array" ref="AP46">INDEX('2-E Amortization'!$J$4:$J$23,MATCH(1,('2-E Amortization'!$I$4:$I$23=AP7)*('2-E Amortization'!$H$4:$H$23=AP5),0),0)</f>
        <v>-1527109.3686031762</v>
      </c>
      <c r="AQ46" s="223" cm="1">
        <f t="array" ref="AQ46">INDEX('2-E Amortization'!$J$4:$J$23,MATCH(1,('2-E Amortization'!$I$4:$I$23=AQ7)*('2-E Amortization'!$H$4:$H$23=AQ5),0),0)</f>
        <v>-1527109.368603176</v>
      </c>
      <c r="AR46" s="224" cm="1">
        <f t="array" ref="AR46">INDEX('2-E Amortization'!$J$4:$J$23,MATCH(1,('2-E Amortization'!$I$4:$I$23=AR7)*('2-E Amortization'!$H$4:$H$23=AR5),0),0)</f>
        <v>-1527109.3686031762</v>
      </c>
      <c r="AS46" s="223"/>
      <c r="AT46" s="223"/>
      <c r="AU46" s="223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CH46" s="207"/>
      <c r="CI46" s="207"/>
    </row>
    <row r="47" spans="1:87" ht="20.25" customHeight="1">
      <c r="A47" s="207" t="s">
        <v>502</v>
      </c>
      <c r="B47" s="224">
        <f ca="1">-B42</f>
        <v>-87227575.885427773</v>
      </c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N47" s="223"/>
      <c r="AO47" s="223"/>
      <c r="AP47" s="223"/>
      <c r="AQ47" s="223"/>
      <c r="AR47" s="224">
        <f>-'2-E Amortization'!$E$13</f>
        <v>-82325729.199059144</v>
      </c>
      <c r="AS47" s="223"/>
      <c r="AT47" s="223"/>
      <c r="AU47" s="223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CH47" s="207"/>
      <c r="CI47" s="207"/>
    </row>
    <row r="48" spans="1:87" ht="20.25" customHeight="1">
      <c r="A48" s="207" t="s">
        <v>503</v>
      </c>
      <c r="B48" s="224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837">
        <f t="shared" ref="Y48:AR48" si="37">Y45/(-Y46)</f>
        <v>1.4605872972062244</v>
      </c>
      <c r="Z48" s="837">
        <f t="shared" si="37"/>
        <v>1.4605872972062244</v>
      </c>
      <c r="AA48" s="837">
        <f t="shared" si="37"/>
        <v>1.4605872972062244</v>
      </c>
      <c r="AB48" s="837">
        <f t="shared" si="37"/>
        <v>1.4605872972062244</v>
      </c>
      <c r="AC48" s="837">
        <f t="shared" si="37"/>
        <v>1.2472467291862561</v>
      </c>
      <c r="AD48" s="837">
        <f t="shared" si="37"/>
        <v>1.2472467291862559</v>
      </c>
      <c r="AE48" s="837">
        <f t="shared" si="37"/>
        <v>1.2472467291862559</v>
      </c>
      <c r="AF48" s="837">
        <f t="shared" si="37"/>
        <v>1.2472467291862559</v>
      </c>
      <c r="AG48" s="837">
        <f t="shared" si="37"/>
        <v>1.2971365983537062</v>
      </c>
      <c r="AH48" s="837">
        <f t="shared" si="37"/>
        <v>1.2971365983537062</v>
      </c>
      <c r="AI48" s="837">
        <f t="shared" si="37"/>
        <v>1.2971365983537062</v>
      </c>
      <c r="AJ48" s="837">
        <f t="shared" si="37"/>
        <v>1.297136598353706</v>
      </c>
      <c r="AK48" s="837">
        <f t="shared" si="37"/>
        <v>1.3490220622878544</v>
      </c>
      <c r="AL48" s="837">
        <f t="shared" si="37"/>
        <v>1.3490220622878542</v>
      </c>
      <c r="AM48" s="837">
        <f t="shared" si="37"/>
        <v>1.3490220622878544</v>
      </c>
      <c r="AN48" s="837">
        <f t="shared" si="37"/>
        <v>1.3490220622878544</v>
      </c>
      <c r="AO48" s="837">
        <f t="shared" si="37"/>
        <v>1.4029829447793687</v>
      </c>
      <c r="AP48" s="837">
        <f t="shared" si="37"/>
        <v>1.4029829447793685</v>
      </c>
      <c r="AQ48" s="837">
        <f t="shared" si="37"/>
        <v>1.4029829447793687</v>
      </c>
      <c r="AR48" s="839">
        <f t="shared" si="37"/>
        <v>1.4029829447793685</v>
      </c>
      <c r="AS48" s="223"/>
      <c r="AT48" s="223"/>
      <c r="AU48" s="223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CH48" s="207"/>
      <c r="CI48" s="207"/>
    </row>
    <row r="49" spans="1:87" s="371" customFormat="1" ht="20.25" customHeight="1">
      <c r="A49" s="371" t="s">
        <v>504</v>
      </c>
      <c r="B49" s="372">
        <f>'2-E Financial'!$D$10</f>
        <v>181724116.42797452</v>
      </c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N49" s="373"/>
      <c r="AO49" s="373"/>
      <c r="AP49" s="373"/>
      <c r="AQ49" s="373"/>
      <c r="AR49" s="372">
        <f>B49</f>
        <v>181724116.42797452</v>
      </c>
      <c r="AS49" s="373"/>
      <c r="AT49" s="373"/>
      <c r="AU49" s="373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</row>
    <row r="50" spans="1:87" s="367" customFormat="1" ht="20.25" customHeight="1">
      <c r="A50" s="1092" t="s">
        <v>505</v>
      </c>
      <c r="B50" s="224">
        <f ca="1">SUM(E50:AR50)</f>
        <v>113014014.37175882</v>
      </c>
      <c r="C50" s="1095"/>
      <c r="D50" s="1095"/>
      <c r="E50" s="1095"/>
      <c r="F50" s="1095"/>
      <c r="G50" s="1095"/>
      <c r="H50" s="1095"/>
      <c r="I50" s="1095"/>
      <c r="J50" s="1095"/>
      <c r="K50" s="1095"/>
      <c r="L50" s="1095"/>
      <c r="M50" s="1095"/>
      <c r="N50" s="1095"/>
      <c r="O50" s="1095"/>
      <c r="P50" s="1095"/>
      <c r="Q50" s="1095"/>
      <c r="R50" s="1095"/>
      <c r="S50" s="1095"/>
      <c r="T50" s="1095"/>
      <c r="U50" s="1095">
        <f ca="1">SUM(U45,U44,U46,U47,U49)</f>
        <v>3386605.036749538</v>
      </c>
      <c r="V50" s="1095"/>
      <c r="W50" s="1095"/>
      <c r="X50" s="1095"/>
      <c r="Y50" s="1095">
        <f t="shared" ref="Y50:AR50" si="38">SUM(Y45,Y44,Y46,Y47,Y49)</f>
        <v>577528.7553969752</v>
      </c>
      <c r="Z50" s="1095">
        <f t="shared" si="38"/>
        <v>577528.7553969752</v>
      </c>
      <c r="AA50" s="1095">
        <f t="shared" si="38"/>
        <v>577528.7553969752</v>
      </c>
      <c r="AB50" s="1095">
        <f t="shared" si="38"/>
        <v>577528.7553969752</v>
      </c>
      <c r="AC50" s="1095">
        <f t="shared" si="38"/>
        <v>377572.7964968239</v>
      </c>
      <c r="AD50" s="1095">
        <f t="shared" si="38"/>
        <v>377572.79649682366</v>
      </c>
      <c r="AE50" s="1095">
        <f t="shared" si="38"/>
        <v>377572.79649682366</v>
      </c>
      <c r="AF50" s="1095">
        <f t="shared" si="38"/>
        <v>377572.79649682366</v>
      </c>
      <c r="AG50" s="1095">
        <f t="shared" si="38"/>
        <v>453760.08310082369</v>
      </c>
      <c r="AH50" s="1095">
        <f t="shared" si="38"/>
        <v>453760.08310082369</v>
      </c>
      <c r="AI50" s="1095">
        <f t="shared" si="38"/>
        <v>453760.08310082369</v>
      </c>
      <c r="AJ50" s="1095">
        <f t="shared" si="38"/>
        <v>453760.08310082345</v>
      </c>
      <c r="AK50" s="1095">
        <f t="shared" si="38"/>
        <v>532994.86116898363</v>
      </c>
      <c r="AL50" s="1095">
        <f t="shared" si="38"/>
        <v>532994.86116898339</v>
      </c>
      <c r="AM50" s="1095">
        <f t="shared" si="38"/>
        <v>532994.86116898363</v>
      </c>
      <c r="AN50" s="1095">
        <f t="shared" si="38"/>
        <v>532994.86116898363</v>
      </c>
      <c r="AO50" s="1095">
        <f t="shared" si="38"/>
        <v>615399.03035987029</v>
      </c>
      <c r="AP50" s="1095">
        <f t="shared" si="38"/>
        <v>615399.03035987006</v>
      </c>
      <c r="AQ50" s="1095">
        <f t="shared" si="38"/>
        <v>615399.03035987029</v>
      </c>
      <c r="AR50" s="764">
        <f t="shared" si="38"/>
        <v>100013786.25927524</v>
      </c>
      <c r="AS50" s="1095"/>
      <c r="AT50" s="1095"/>
      <c r="AU50" s="1095"/>
      <c r="AV50" s="1093"/>
      <c r="AW50" s="1093"/>
      <c r="AX50" s="1093"/>
      <c r="AY50" s="1093"/>
      <c r="AZ50" s="1093"/>
      <c r="BA50" s="1093"/>
      <c r="BB50" s="1093"/>
      <c r="BC50" s="1093"/>
      <c r="BD50" s="1093"/>
      <c r="BE50" s="1093"/>
      <c r="BF50" s="1093"/>
      <c r="BG50" s="1093"/>
      <c r="BH50" s="1093"/>
      <c r="BI50" s="1093"/>
      <c r="BJ50" s="1093"/>
      <c r="BK50" s="1093"/>
      <c r="BL50" s="1093"/>
      <c r="BM50" s="1093"/>
      <c r="BN50" s="1093"/>
      <c r="BO50" s="1093"/>
      <c r="BP50" s="1093"/>
      <c r="BQ50" s="1093"/>
      <c r="BR50" s="1093"/>
      <c r="BS50" s="1093"/>
      <c r="BT50" s="1093"/>
      <c r="BU50" s="1093"/>
      <c r="BV50" s="1092"/>
      <c r="BW50" s="1092"/>
      <c r="BX50" s="1092"/>
      <c r="BY50" s="1092"/>
      <c r="BZ50" s="1092"/>
      <c r="CA50" s="1092"/>
      <c r="CB50" s="1092"/>
      <c r="CC50" s="1092"/>
      <c r="CD50" s="1092"/>
      <c r="CE50" s="1092"/>
      <c r="CF50" s="1092"/>
      <c r="CG50" s="1092"/>
      <c r="CH50" s="1092"/>
      <c r="CI50" s="1092"/>
    </row>
    <row r="51" spans="1:87" ht="20.25" customHeight="1">
      <c r="B51" s="224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4"/>
      <c r="AS51" s="223"/>
      <c r="AT51" s="223"/>
      <c r="AU51" s="223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CH51" s="207"/>
      <c r="CI51" s="207"/>
    </row>
    <row r="52" spans="1:87" s="238" customFormat="1" ht="20.25" customHeight="1">
      <c r="A52" s="241" t="s">
        <v>506</v>
      </c>
      <c r="B52" s="253"/>
      <c r="C52" s="242"/>
      <c r="D52" s="242"/>
      <c r="E52" s="242"/>
      <c r="F52" s="242"/>
      <c r="G52" s="242"/>
      <c r="H52" s="242"/>
      <c r="I52" s="242"/>
      <c r="J52" s="242"/>
      <c r="K52" s="243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4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T52" s="239"/>
      <c r="BU52" s="239"/>
    </row>
    <row r="53" spans="1:87" ht="20.25" customHeight="1">
      <c r="A53" s="207" t="s">
        <v>507</v>
      </c>
      <c r="B53" s="224">
        <f ca="1">SUM(F53:AR53)</f>
        <v>77601037.891250074</v>
      </c>
      <c r="C53" s="223"/>
      <c r="D53" s="223"/>
      <c r="E53" s="223">
        <f t="shared" ref="E53:AR53" si="39">SUM(-E36,E45,E49)</f>
        <v>0</v>
      </c>
      <c r="F53" s="223">
        <f t="shared" ca="1" si="39"/>
        <v>-492600.95999999996</v>
      </c>
      <c r="G53" s="223">
        <f t="shared" ca="1" si="39"/>
        <v>-492600.95999999996</v>
      </c>
      <c r="H53" s="223">
        <f t="shared" ca="1" si="39"/>
        <v>-492600.95999999996</v>
      </c>
      <c r="I53" s="223">
        <f t="shared" ca="1" si="39"/>
        <v>-492600.95999999996</v>
      </c>
      <c r="J53" s="223">
        <f t="shared" ca="1" si="39"/>
        <v>-1321732.8900000001</v>
      </c>
      <c r="K53" s="223">
        <f t="shared" ca="1" si="39"/>
        <v>-5852790.4118393632</v>
      </c>
      <c r="L53" s="223">
        <f t="shared" ca="1" si="39"/>
        <v>-8106266.1450609332</v>
      </c>
      <c r="M53" s="223">
        <f t="shared" ca="1" si="39"/>
        <v>-15326846.705745667</v>
      </c>
      <c r="N53" s="223">
        <f t="shared" ca="1" si="39"/>
        <v>-23525342.686851278</v>
      </c>
      <c r="O53" s="223">
        <f t="shared" ca="1" si="39"/>
        <v>-26596056.046136752</v>
      </c>
      <c r="P53" s="223">
        <f t="shared" ca="1" si="39"/>
        <v>-23115342.686851278</v>
      </c>
      <c r="Q53" s="223">
        <f t="shared" ca="1" si="39"/>
        <v>-15087387.905745672</v>
      </c>
      <c r="R53" s="223">
        <f t="shared" ca="1" si="39"/>
        <v>-10296713.761727594</v>
      </c>
      <c r="S53" s="223">
        <f t="shared" ca="1" si="39"/>
        <v>-6811735.628506029</v>
      </c>
      <c r="T53" s="223">
        <f t="shared" ca="1" si="39"/>
        <v>-4263130.6141666658</v>
      </c>
      <c r="U53" s="223">
        <f t="shared" ca="1" si="39"/>
        <v>-1527686.8312499996</v>
      </c>
      <c r="V53" s="223">
        <f t="shared" ca="1" si="39"/>
        <v>0</v>
      </c>
      <c r="W53" s="223">
        <f t="shared" ca="1" si="39"/>
        <v>0</v>
      </c>
      <c r="X53" s="223">
        <f t="shared" ca="1" si="39"/>
        <v>0</v>
      </c>
      <c r="Y53" s="223">
        <f t="shared" si="39"/>
        <v>1831425.1587499995</v>
      </c>
      <c r="Z53" s="223">
        <f t="shared" si="39"/>
        <v>1831425.1587499995</v>
      </c>
      <c r="AA53" s="223">
        <f t="shared" si="39"/>
        <v>1831425.1587499995</v>
      </c>
      <c r="AB53" s="223">
        <f t="shared" si="39"/>
        <v>1831425.1587499995</v>
      </c>
      <c r="AC53" s="223">
        <f t="shared" si="39"/>
        <v>1904682.1650999996</v>
      </c>
      <c r="AD53" s="223">
        <f t="shared" si="39"/>
        <v>1904682.1650999996</v>
      </c>
      <c r="AE53" s="223">
        <f t="shared" si="39"/>
        <v>1904682.1650999996</v>
      </c>
      <c r="AF53" s="223">
        <f t="shared" si="39"/>
        <v>1904682.1650999996</v>
      </c>
      <c r="AG53" s="223">
        <f t="shared" si="39"/>
        <v>1980869.4517039997</v>
      </c>
      <c r="AH53" s="223">
        <f t="shared" si="39"/>
        <v>1980869.4517039997</v>
      </c>
      <c r="AI53" s="223">
        <f t="shared" si="39"/>
        <v>1980869.4517039997</v>
      </c>
      <c r="AJ53" s="223">
        <f t="shared" si="39"/>
        <v>1980869.4517039997</v>
      </c>
      <c r="AK53" s="223">
        <f t="shared" si="39"/>
        <v>2060104.2297721596</v>
      </c>
      <c r="AL53" s="223">
        <f t="shared" si="39"/>
        <v>2060104.2297721596</v>
      </c>
      <c r="AM53" s="223">
        <f t="shared" si="39"/>
        <v>2060104.2297721596</v>
      </c>
      <c r="AN53" s="223">
        <f t="shared" si="39"/>
        <v>2060104.2297721596</v>
      </c>
      <c r="AO53" s="223">
        <f t="shared" si="39"/>
        <v>2142508.3989630463</v>
      </c>
      <c r="AP53" s="223">
        <f t="shared" si="39"/>
        <v>2142508.3989630463</v>
      </c>
      <c r="AQ53" s="223">
        <f t="shared" si="39"/>
        <v>2142508.3989630463</v>
      </c>
      <c r="AR53" s="224">
        <f t="shared" si="39"/>
        <v>183866624.82693756</v>
      </c>
      <c r="AS53" s="231"/>
      <c r="BT53" s="209"/>
      <c r="BU53" s="209"/>
      <c r="CH53" s="207"/>
      <c r="CI53" s="207"/>
    </row>
    <row r="54" spans="1:87" ht="20.25" customHeight="1">
      <c r="A54" s="207" t="s">
        <v>508</v>
      </c>
      <c r="B54" s="777">
        <f ca="1">IF(B53&lt;0,0,IRR(F53:AR53))</f>
        <v>1.6042452200909274E-2</v>
      </c>
      <c r="G54" s="223"/>
      <c r="BT54" s="209"/>
      <c r="BU54" s="209"/>
      <c r="CH54" s="207"/>
      <c r="CI54" s="207"/>
    </row>
    <row r="55" spans="1:87" ht="20.25" customHeight="1">
      <c r="A55" s="207" t="s">
        <v>509</v>
      </c>
      <c r="B55" s="368">
        <f ca="1">POWER((1+B54),4)-1</f>
        <v>6.5730551433145212E-2</v>
      </c>
      <c r="G55" s="223"/>
      <c r="BT55" s="209"/>
      <c r="BU55" s="209"/>
      <c r="CH55" s="207"/>
      <c r="CI55" s="207"/>
    </row>
    <row r="56" spans="1:87" s="238" customFormat="1" ht="20.25" customHeight="1">
      <c r="A56" s="241" t="s">
        <v>510</v>
      </c>
      <c r="B56" s="253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6"/>
      <c r="AS56" s="240"/>
      <c r="AT56" s="225"/>
      <c r="AU56" s="225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</row>
    <row r="57" spans="1:87" ht="20.25" customHeight="1">
      <c r="A57" s="207" t="s">
        <v>511</v>
      </c>
      <c r="B57" s="224">
        <f ca="1">SUM(F57:AR57)</f>
        <v>52617411.187128685</v>
      </c>
      <c r="C57" s="223"/>
      <c r="D57" s="223"/>
      <c r="E57" s="223">
        <f t="shared" ref="E57:AR57" si="40">SUM(-E37,E50)</f>
        <v>0</v>
      </c>
      <c r="F57" s="223">
        <f t="shared" ca="1" si="40"/>
        <v>-492600.95999999996</v>
      </c>
      <c r="G57" s="223">
        <f t="shared" ca="1" si="40"/>
        <v>-492600.95999999996</v>
      </c>
      <c r="H57" s="223">
        <f t="shared" ca="1" si="40"/>
        <v>-492600.95999999996</v>
      </c>
      <c r="I57" s="223">
        <f t="shared" ca="1" si="40"/>
        <v>-492600.95999999996</v>
      </c>
      <c r="J57" s="223">
        <f t="shared" ca="1" si="40"/>
        <v>-1321732.8900000001</v>
      </c>
      <c r="K57" s="223">
        <f t="shared" ca="1" si="40"/>
        <v>-5852790.4118393632</v>
      </c>
      <c r="L57" s="223">
        <f t="shared" ca="1" si="40"/>
        <v>-8106266.1450609332</v>
      </c>
      <c r="M57" s="223">
        <f t="shared" ca="1" si="40"/>
        <v>-15326846.705745667</v>
      </c>
      <c r="N57" s="223">
        <f t="shared" ca="1" si="40"/>
        <v>-23525342.686851278</v>
      </c>
      <c r="O57" s="223">
        <f t="shared" ca="1" si="40"/>
        <v>-4293220.5051328912</v>
      </c>
      <c r="P57" s="223">
        <f t="shared" ca="1" si="40"/>
        <v>0</v>
      </c>
      <c r="Q57" s="223">
        <f t="shared" ca="1" si="40"/>
        <v>0</v>
      </c>
      <c r="R57" s="223">
        <f t="shared" ca="1" si="40"/>
        <v>0</v>
      </c>
      <c r="S57" s="223">
        <f t="shared" ca="1" si="40"/>
        <v>0</v>
      </c>
      <c r="T57" s="223">
        <f t="shared" ca="1" si="40"/>
        <v>0</v>
      </c>
      <c r="U57" s="223">
        <f t="shared" ca="1" si="40"/>
        <v>3386605.036749538</v>
      </c>
      <c r="V57" s="223">
        <f t="shared" ca="1" si="40"/>
        <v>0</v>
      </c>
      <c r="W57" s="223">
        <f t="shared" ca="1" si="40"/>
        <v>0</v>
      </c>
      <c r="X57" s="223">
        <f t="shared" ca="1" si="40"/>
        <v>0</v>
      </c>
      <c r="Y57" s="223">
        <f t="shared" si="40"/>
        <v>577528.7553969752</v>
      </c>
      <c r="Z57" s="223">
        <f t="shared" si="40"/>
        <v>577528.7553969752</v>
      </c>
      <c r="AA57" s="223">
        <f t="shared" si="40"/>
        <v>577528.7553969752</v>
      </c>
      <c r="AB57" s="223">
        <f t="shared" si="40"/>
        <v>577528.7553969752</v>
      </c>
      <c r="AC57" s="223">
        <f t="shared" si="40"/>
        <v>377572.7964968239</v>
      </c>
      <c r="AD57" s="223">
        <f t="shared" si="40"/>
        <v>377572.79649682366</v>
      </c>
      <c r="AE57" s="223">
        <f t="shared" si="40"/>
        <v>377572.79649682366</v>
      </c>
      <c r="AF57" s="223">
        <f t="shared" si="40"/>
        <v>377572.79649682366</v>
      </c>
      <c r="AG57" s="223">
        <f t="shared" si="40"/>
        <v>453760.08310082369</v>
      </c>
      <c r="AH57" s="223">
        <f t="shared" si="40"/>
        <v>453760.08310082369</v>
      </c>
      <c r="AI57" s="223">
        <f t="shared" si="40"/>
        <v>453760.08310082369</v>
      </c>
      <c r="AJ57" s="223">
        <f t="shared" si="40"/>
        <v>453760.08310082345</v>
      </c>
      <c r="AK57" s="223">
        <f t="shared" si="40"/>
        <v>532994.86116898363</v>
      </c>
      <c r="AL57" s="223">
        <f t="shared" si="40"/>
        <v>532994.86116898339</v>
      </c>
      <c r="AM57" s="223">
        <f t="shared" si="40"/>
        <v>532994.86116898363</v>
      </c>
      <c r="AN57" s="223">
        <f t="shared" si="40"/>
        <v>532994.86116898363</v>
      </c>
      <c r="AO57" s="223">
        <f t="shared" si="40"/>
        <v>615399.03035987029</v>
      </c>
      <c r="AP57" s="223">
        <f t="shared" si="40"/>
        <v>615399.03035987006</v>
      </c>
      <c r="AQ57" s="223">
        <f t="shared" si="40"/>
        <v>615399.03035987029</v>
      </c>
      <c r="AR57" s="224">
        <f t="shared" si="40"/>
        <v>100013786.25927524</v>
      </c>
      <c r="AS57" s="233"/>
      <c r="AT57" s="223"/>
      <c r="AU57" s="223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CH57" s="207"/>
      <c r="CI57" s="207"/>
    </row>
    <row r="58" spans="1:87" ht="20.25" customHeight="1">
      <c r="A58" s="207" t="s">
        <v>512</v>
      </c>
      <c r="B58" s="777">
        <f ca="1">IF(B57&lt;0,0,IRR(F57:AR57))</f>
        <v>2.1648384706991486E-2</v>
      </c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2"/>
      <c r="AT58" s="231"/>
      <c r="AU58" s="231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CH58" s="207"/>
      <c r="CI58" s="207"/>
    </row>
    <row r="59" spans="1:87" ht="20.25" customHeight="1">
      <c r="A59" s="207" t="s">
        <v>377</v>
      </c>
      <c r="B59" s="368">
        <f ca="1">POWER((1+B58),4)-1</f>
        <v>8.9446256109407374E-2</v>
      </c>
      <c r="C59" s="234"/>
      <c r="D59" s="234"/>
      <c r="E59" s="234"/>
      <c r="F59" s="234"/>
      <c r="G59" s="234"/>
      <c r="H59" s="234"/>
      <c r="I59" s="234"/>
      <c r="J59" s="234"/>
      <c r="K59" s="235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6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T59" s="209"/>
      <c r="BU59" s="209"/>
      <c r="CH59" s="207"/>
      <c r="CI59" s="207"/>
    </row>
    <row r="160" spans="2:2">
      <c r="B160" s="370">
        <v>0.06</v>
      </c>
    </row>
    <row r="181" spans="1:7">
      <c r="E181" s="207">
        <f>A98</f>
        <v>0</v>
      </c>
    </row>
    <row r="182" spans="1:7">
      <c r="E182" s="207" t="s">
        <v>513</v>
      </c>
      <c r="F182" s="207" t="s">
        <v>514</v>
      </c>
    </row>
    <row r="183" spans="1:7">
      <c r="A183" s="207" t="s">
        <v>515</v>
      </c>
      <c r="B183" s="208">
        <f>IFERROR(G183/$B$100,0)</f>
        <v>0</v>
      </c>
      <c r="E183" s="207">
        <f>IFERROR(G183/$B$99,0)</f>
        <v>0</v>
      </c>
      <c r="G183" s="207">
        <f>G106</f>
        <v>0</v>
      </c>
    </row>
    <row r="184" spans="1:7">
      <c r="A184" s="207" t="s">
        <v>516</v>
      </c>
      <c r="F184" s="237">
        <f>IFERROR(G184/$B$166,0)</f>
        <v>0</v>
      </c>
      <c r="G184" s="207">
        <f>G166</f>
        <v>0</v>
      </c>
    </row>
    <row r="185" spans="1:7">
      <c r="G185" s="207">
        <f>SUM(G183:G184)</f>
        <v>0</v>
      </c>
    </row>
  </sheetData>
  <mergeCells count="6">
    <mergeCell ref="BG4:BI4"/>
    <mergeCell ref="A2:A4"/>
    <mergeCell ref="E2:G2"/>
    <mergeCell ref="H2:J2"/>
    <mergeCell ref="K2:M2"/>
    <mergeCell ref="BA4:BE4"/>
  </mergeCells>
  <conditionalFormatting sqref="C9:D10">
    <cfRule type="cellIs" dxfId="75" priority="1" operator="equal">
      <formula>#REF!</formula>
    </cfRule>
    <cfRule type="cellIs" dxfId="74" priority="2" operator="equal">
      <formula>#REF!</formula>
    </cfRule>
    <cfRule type="cellIs" dxfId="73" priority="3" operator="equal">
      <formula>#REF!</formula>
    </cfRule>
    <cfRule type="cellIs" dxfId="72" priority="4" operator="equal">
      <formula>#REF!</formula>
    </cfRule>
  </conditionalFormatting>
  <pageMargins left="0.7" right="0.7" top="0.75" bottom="0.75" header="0.3" footer="0.3"/>
  <pageSetup paperSize="3" orientation="landscape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EC164-A085-456F-96E5-206864B2800B}">
  <sheetPr>
    <tabColor rgb="FFC00000"/>
  </sheetPr>
  <dimension ref="B1:AL81"/>
  <sheetViews>
    <sheetView zoomScale="55" zoomScaleNormal="55" workbookViewId="0">
      <selection activeCell="K79" sqref="K79"/>
    </sheetView>
  </sheetViews>
  <sheetFormatPr defaultColWidth="8.5703125" defaultRowHeight="12.6"/>
  <cols>
    <col min="1" max="2" width="1.5703125" style="516" customWidth="1"/>
    <col min="3" max="3" width="2.140625" style="516" customWidth="1"/>
    <col min="4" max="4" width="28.42578125" style="516" bestFit="1" customWidth="1"/>
    <col min="5" max="5" width="31.42578125" style="516" bestFit="1" customWidth="1"/>
    <col min="6" max="6" width="25.42578125" style="516" bestFit="1" customWidth="1"/>
    <col min="7" max="7" width="2.5703125" style="516" customWidth="1"/>
    <col min="8" max="8" width="1.5703125" style="516" customWidth="1"/>
    <col min="9" max="9" width="2.140625" style="516" customWidth="1"/>
    <col min="10" max="10" width="19.140625" style="516" bestFit="1" customWidth="1"/>
    <col min="11" max="11" width="17.85546875" style="516" bestFit="1" customWidth="1"/>
    <col min="12" max="12" width="10.5703125" style="516" customWidth="1"/>
    <col min="13" max="13" width="14.85546875" style="516" bestFit="1" customWidth="1"/>
    <col min="14" max="14" width="2.5703125" style="516" customWidth="1"/>
    <col min="15" max="16" width="2.140625" style="516" customWidth="1"/>
    <col min="17" max="17" width="17.5703125" style="516" bestFit="1" customWidth="1"/>
    <col min="18" max="18" width="12.85546875" style="516" bestFit="1" customWidth="1"/>
    <col min="19" max="19" width="15.85546875" style="516" bestFit="1" customWidth="1"/>
    <col min="20" max="20" width="2.5703125" style="516" customWidth="1"/>
    <col min="21" max="21" width="1.5703125" style="516" customWidth="1"/>
    <col min="22" max="22" width="2.140625" style="516" customWidth="1"/>
    <col min="23" max="24" width="10.5703125" style="516" customWidth="1"/>
    <col min="25" max="25" width="13.5703125" style="516" bestFit="1" customWidth="1"/>
    <col min="26" max="34" width="10.5703125" style="516" customWidth="1"/>
    <col min="35" max="35" width="17.85546875" style="516" bestFit="1" customWidth="1"/>
    <col min="36" max="36" width="4.42578125" style="516" bestFit="1" customWidth="1"/>
    <col min="37" max="37" width="18.28515625" style="516" bestFit="1" customWidth="1"/>
    <col min="38" max="38" width="12.140625" style="516" bestFit="1" customWidth="1"/>
    <col min="39" max="16384" width="8.5703125" style="516"/>
  </cols>
  <sheetData>
    <row r="1" spans="2:38" ht="5.0999999999999996" customHeight="1" thickBot="1">
      <c r="AH1" s="19"/>
    </row>
    <row r="2" spans="2:38" ht="12.6" customHeight="1">
      <c r="B2" s="977" t="s">
        <v>22</v>
      </c>
      <c r="C2" s="978"/>
      <c r="D2" s="978"/>
      <c r="E2" s="978"/>
      <c r="F2" s="979"/>
      <c r="H2" s="899" t="s">
        <v>23</v>
      </c>
      <c r="I2" s="587"/>
      <c r="J2" s="587"/>
      <c r="K2" s="587"/>
      <c r="L2" s="587"/>
      <c r="M2" s="900"/>
      <c r="O2" s="899" t="s">
        <v>24</v>
      </c>
      <c r="P2" s="587"/>
      <c r="Q2" s="587"/>
      <c r="R2" s="587"/>
      <c r="S2" s="900"/>
      <c r="U2" s="899" t="s">
        <v>25</v>
      </c>
      <c r="V2" s="587"/>
      <c r="W2" s="587"/>
      <c r="X2" s="587"/>
      <c r="Y2" s="900"/>
      <c r="AH2" s="19"/>
      <c r="AJ2" s="885"/>
      <c r="AK2" s="885"/>
      <c r="AL2" s="885"/>
    </row>
    <row r="3" spans="2:38" ht="12.6" customHeight="1">
      <c r="B3" s="526"/>
      <c r="C3" s="584" t="s">
        <v>26</v>
      </c>
      <c r="D3" s="518"/>
      <c r="E3" s="518"/>
      <c r="F3" s="527"/>
      <c r="H3" s="533"/>
      <c r="I3" s="585" t="s">
        <v>27</v>
      </c>
      <c r="J3" s="1087"/>
      <c r="K3" s="1087"/>
      <c r="L3" s="1087"/>
      <c r="M3" s="569"/>
      <c r="O3" s="533"/>
      <c r="P3" s="585" t="s">
        <v>28</v>
      </c>
      <c r="Q3" s="1087"/>
      <c r="R3" s="1087"/>
      <c r="S3" s="569"/>
      <c r="U3" s="533"/>
      <c r="V3" s="585" t="s">
        <v>29</v>
      </c>
      <c r="W3" s="1087"/>
      <c r="X3" s="1087"/>
      <c r="Y3" s="569"/>
      <c r="AH3" s="19"/>
      <c r="AI3" s="19"/>
    </row>
    <row r="4" spans="2:38" ht="12.6" customHeight="1">
      <c r="B4" s="526"/>
      <c r="D4" s="524" t="s">
        <v>30</v>
      </c>
      <c r="E4" s="589">
        <v>190</v>
      </c>
      <c r="F4" s="528" t="s">
        <v>31</v>
      </c>
      <c r="H4" s="533"/>
      <c r="I4" s="896"/>
      <c r="J4" s="524" t="s">
        <v>32</v>
      </c>
      <c r="K4" s="525"/>
      <c r="L4" s="908">
        <v>0.08</v>
      </c>
      <c r="M4" s="901"/>
      <c r="N4" s="570"/>
      <c r="O4" s="533"/>
      <c r="P4" s="896"/>
      <c r="Q4" s="923" t="s">
        <v>33</v>
      </c>
      <c r="R4" s="924" t="s">
        <v>34</v>
      </c>
      <c r="S4" s="933" t="s">
        <v>35</v>
      </c>
      <c r="U4" s="533"/>
      <c r="V4" s="896"/>
      <c r="W4" s="946" t="s">
        <v>36</v>
      </c>
      <c r="X4" s="947"/>
      <c r="Y4" s="953"/>
      <c r="AH4" s="19"/>
      <c r="AI4" s="19"/>
    </row>
    <row r="5" spans="2:38" ht="12.6" customHeight="1">
      <c r="B5" s="526"/>
      <c r="D5" s="522" t="s">
        <v>37</v>
      </c>
      <c r="E5" s="589">
        <v>190</v>
      </c>
      <c r="F5" s="528" t="s">
        <v>31</v>
      </c>
      <c r="H5" s="533"/>
      <c r="I5" s="896"/>
      <c r="J5" s="889" t="s">
        <v>38</v>
      </c>
      <c r="L5" s="909">
        <v>5.0000000000000001E-3</v>
      </c>
      <c r="M5" s="528" t="s">
        <v>39</v>
      </c>
      <c r="O5" s="533"/>
      <c r="P5" s="896"/>
      <c r="Q5" s="925" t="s">
        <v>40</v>
      </c>
      <c r="R5" s="918">
        <v>32</v>
      </c>
      <c r="S5" s="528"/>
      <c r="U5" s="533"/>
      <c r="V5" s="896"/>
      <c r="W5" s="929" t="s">
        <v>41</v>
      </c>
      <c r="X5" s="919"/>
      <c r="Y5" s="954">
        <v>0.2</v>
      </c>
      <c r="AH5" s="19"/>
      <c r="AI5" s="19"/>
    </row>
    <row r="6" spans="2:38" ht="12.6" customHeight="1">
      <c r="B6" s="526"/>
      <c r="D6" s="522" t="s">
        <v>42</v>
      </c>
      <c r="E6" s="589">
        <v>195</v>
      </c>
      <c r="F6" s="528" t="s">
        <v>31</v>
      </c>
      <c r="H6" s="533"/>
      <c r="I6" s="896"/>
      <c r="J6" s="522" t="s">
        <v>43</v>
      </c>
      <c r="L6" s="886">
        <v>5.7500000000000002E-2</v>
      </c>
      <c r="M6" s="902"/>
      <c r="N6" s="570"/>
      <c r="O6" s="533"/>
      <c r="P6" s="896"/>
      <c r="Q6" s="925" t="s">
        <v>44</v>
      </c>
      <c r="R6" s="918">
        <v>45</v>
      </c>
      <c r="S6" s="528"/>
      <c r="T6" s="570"/>
      <c r="U6" s="533"/>
      <c r="V6" s="896"/>
      <c r="W6" s="929" t="s">
        <v>45</v>
      </c>
      <c r="X6" s="919"/>
      <c r="Y6" s="954">
        <v>0.5</v>
      </c>
      <c r="AH6" s="19"/>
      <c r="AI6" s="19"/>
    </row>
    <row r="7" spans="2:38" ht="12.6" customHeight="1">
      <c r="B7" s="526"/>
      <c r="D7" s="522" t="s">
        <v>46</v>
      </c>
      <c r="E7" s="589">
        <v>195</v>
      </c>
      <c r="F7" s="528" t="s">
        <v>31</v>
      </c>
      <c r="H7" s="533"/>
      <c r="I7" s="896"/>
      <c r="J7" s="890" t="s">
        <v>47</v>
      </c>
      <c r="K7" s="519"/>
      <c r="L7" s="910">
        <v>5.0000000000000001E-3</v>
      </c>
      <c r="M7" s="530" t="s">
        <v>39</v>
      </c>
      <c r="O7" s="533"/>
      <c r="P7" s="896"/>
      <c r="Q7" s="925" t="s">
        <v>48</v>
      </c>
      <c r="R7" s="918">
        <v>25</v>
      </c>
      <c r="S7" s="528"/>
      <c r="U7" s="533"/>
      <c r="V7" s="896"/>
      <c r="W7" s="929" t="s">
        <v>49</v>
      </c>
      <c r="X7" s="919"/>
      <c r="Y7" s="955">
        <v>0.15</v>
      </c>
      <c r="AI7" s="19"/>
    </row>
    <row r="8" spans="2:38" ht="12.6" customHeight="1">
      <c r="B8" s="526"/>
      <c r="D8" s="522" t="s">
        <v>50</v>
      </c>
      <c r="E8" s="589">
        <v>210</v>
      </c>
      <c r="F8" s="528" t="s">
        <v>31</v>
      </c>
      <c r="H8" s="533"/>
      <c r="I8" s="896"/>
      <c r="M8" s="528"/>
      <c r="O8" s="533"/>
      <c r="P8" s="896"/>
      <c r="Q8" s="890" t="s">
        <v>51</v>
      </c>
      <c r="R8" s="519"/>
      <c r="S8" s="934">
        <v>500</v>
      </c>
      <c r="U8" s="533"/>
      <c r="V8" s="896"/>
      <c r="W8" s="929" t="s">
        <v>52</v>
      </c>
      <c r="X8" s="919"/>
      <c r="Y8" s="954">
        <v>0.15</v>
      </c>
      <c r="AI8" s="19"/>
    </row>
    <row r="9" spans="2:38" ht="12.6" customHeight="1">
      <c r="B9" s="526"/>
      <c r="D9" s="522" t="s">
        <v>53</v>
      </c>
      <c r="E9" s="589">
        <v>220</v>
      </c>
      <c r="F9" s="528" t="s">
        <v>31</v>
      </c>
      <c r="H9" s="533"/>
      <c r="I9" s="897" t="s">
        <v>54</v>
      </c>
      <c r="M9" s="528"/>
      <c r="O9" s="533"/>
      <c r="P9" s="896"/>
      <c r="S9" s="528"/>
      <c r="U9" s="533"/>
      <c r="V9" s="896"/>
      <c r="W9" s="930" t="s">
        <v>55</v>
      </c>
      <c r="X9" s="919"/>
      <c r="Y9" s="956"/>
      <c r="AI9" s="19"/>
    </row>
    <row r="10" spans="2:38" ht="12.6" customHeight="1">
      <c r="B10" s="526"/>
      <c r="D10" s="522" t="s">
        <v>56</v>
      </c>
      <c r="E10" s="589">
        <v>220</v>
      </c>
      <c r="F10" s="528" t="s">
        <v>31</v>
      </c>
      <c r="H10" s="533"/>
      <c r="I10" s="896"/>
      <c r="J10" s="891" t="s">
        <v>57</v>
      </c>
      <c r="K10" s="892"/>
      <c r="L10" s="892" t="s">
        <v>58</v>
      </c>
      <c r="M10" s="529"/>
      <c r="O10" s="533"/>
      <c r="P10" s="896"/>
      <c r="S10" s="528"/>
      <c r="U10" s="533"/>
      <c r="V10" s="896"/>
      <c r="W10" s="929" t="s">
        <v>45</v>
      </c>
      <c r="X10" s="19"/>
      <c r="Y10" s="954">
        <v>0.3</v>
      </c>
      <c r="AI10" s="19"/>
    </row>
    <row r="11" spans="2:38" ht="12.6" customHeight="1">
      <c r="B11" s="526"/>
      <c r="D11" s="522" t="s">
        <v>59</v>
      </c>
      <c r="E11" s="589">
        <v>170</v>
      </c>
      <c r="F11" s="528" t="s">
        <v>31</v>
      </c>
      <c r="H11" s="533"/>
      <c r="I11" s="896"/>
      <c r="J11" s="522" t="s">
        <v>30</v>
      </c>
      <c r="L11" s="884">
        <v>0.65</v>
      </c>
      <c r="M11" s="906" t="s">
        <v>60</v>
      </c>
      <c r="O11" s="533"/>
      <c r="P11" s="897" t="s">
        <v>61</v>
      </c>
      <c r="S11" s="528"/>
      <c r="U11" s="533"/>
      <c r="V11" s="896"/>
      <c r="W11" s="929" t="s">
        <v>49</v>
      </c>
      <c r="X11" s="919"/>
      <c r="Y11" s="954">
        <v>0.4</v>
      </c>
      <c r="AI11" s="19"/>
    </row>
    <row r="12" spans="2:38" ht="12.6" customHeight="1">
      <c r="B12" s="526"/>
      <c r="D12" s="522" t="s">
        <v>62</v>
      </c>
      <c r="E12" s="589">
        <v>300</v>
      </c>
      <c r="F12" s="528" t="s">
        <v>31</v>
      </c>
      <c r="H12" s="533"/>
      <c r="I12" s="896"/>
      <c r="J12" s="522" t="s">
        <v>37</v>
      </c>
      <c r="L12" s="884">
        <v>0.62</v>
      </c>
      <c r="M12" s="906"/>
      <c r="O12" s="533"/>
      <c r="P12" s="896"/>
      <c r="Q12" s="926" t="s">
        <v>33</v>
      </c>
      <c r="R12" s="927" t="s">
        <v>63</v>
      </c>
      <c r="S12" s="935" t="s">
        <v>64</v>
      </c>
      <c r="U12" s="533"/>
      <c r="V12" s="896"/>
      <c r="W12" s="929" t="s">
        <v>52</v>
      </c>
      <c r="X12" s="919"/>
      <c r="Y12" s="954">
        <v>0.3</v>
      </c>
      <c r="Z12" s="21"/>
      <c r="AI12" s="19"/>
    </row>
    <row r="13" spans="2:38" ht="12.6" customHeight="1">
      <c r="B13" s="526"/>
      <c r="D13" s="522" t="s">
        <v>65</v>
      </c>
      <c r="E13" s="589">
        <v>300</v>
      </c>
      <c r="F13" s="528" t="s">
        <v>31</v>
      </c>
      <c r="H13" s="533"/>
      <c r="I13" s="896"/>
      <c r="J13" s="522" t="s">
        <v>42</v>
      </c>
      <c r="L13" s="884">
        <v>0.65</v>
      </c>
      <c r="M13" s="906"/>
      <c r="O13" s="533"/>
      <c r="P13" s="896"/>
      <c r="Q13" s="925" t="s">
        <v>66</v>
      </c>
      <c r="R13" s="919" t="s">
        <v>67</v>
      </c>
      <c r="S13" s="936" t="s">
        <v>68</v>
      </c>
      <c r="U13" s="533"/>
      <c r="V13" s="896"/>
      <c r="W13" s="930" t="s">
        <v>69</v>
      </c>
      <c r="X13" s="919"/>
      <c r="Y13" s="956"/>
      <c r="AI13" s="19"/>
    </row>
    <row r="14" spans="2:38" ht="12.6" customHeight="1">
      <c r="B14" s="526"/>
      <c r="D14" s="522" t="s">
        <v>51</v>
      </c>
      <c r="E14" s="589">
        <v>290</v>
      </c>
      <c r="F14" s="528" t="s">
        <v>31</v>
      </c>
      <c r="H14" s="533"/>
      <c r="I14" s="896"/>
      <c r="J14" s="522" t="s">
        <v>46</v>
      </c>
      <c r="L14" s="884">
        <v>0.63</v>
      </c>
      <c r="M14" s="906"/>
      <c r="O14" s="533"/>
      <c r="P14" s="896"/>
      <c r="Q14" s="928" t="s">
        <v>41</v>
      </c>
      <c r="S14" s="528"/>
      <c r="U14" s="533"/>
      <c r="V14" s="896"/>
      <c r="W14" s="929" t="s">
        <v>41</v>
      </c>
      <c r="X14" s="919"/>
      <c r="Y14" s="954">
        <v>0.3</v>
      </c>
      <c r="AI14" s="19"/>
    </row>
    <row r="15" spans="2:38" ht="12.6" customHeight="1">
      <c r="B15" s="526"/>
      <c r="D15" s="522" t="s">
        <v>70</v>
      </c>
      <c r="E15" s="589">
        <v>205</v>
      </c>
      <c r="F15" s="528" t="s">
        <v>31</v>
      </c>
      <c r="H15" s="533"/>
      <c r="I15" s="896"/>
      <c r="J15" s="522" t="s">
        <v>50</v>
      </c>
      <c r="L15" s="884">
        <v>0.75</v>
      </c>
      <c r="M15" s="906"/>
      <c r="O15" s="533"/>
      <c r="P15" s="896"/>
      <c r="Q15" s="929" t="s">
        <v>71</v>
      </c>
      <c r="R15" s="920">
        <v>550</v>
      </c>
      <c r="S15" s="937" t="s">
        <v>72</v>
      </c>
      <c r="U15" s="533"/>
      <c r="V15" s="896"/>
      <c r="W15" s="929" t="s">
        <v>45</v>
      </c>
      <c r="X15" s="19"/>
      <c r="Y15" s="954">
        <v>0.4</v>
      </c>
      <c r="AI15" s="19"/>
    </row>
    <row r="16" spans="2:38" ht="12.6" customHeight="1">
      <c r="B16" s="526"/>
      <c r="D16" s="522" t="s">
        <v>73</v>
      </c>
      <c r="E16" s="589">
        <v>100</v>
      </c>
      <c r="F16" s="528" t="s">
        <v>31</v>
      </c>
      <c r="H16" s="533"/>
      <c r="I16" s="896"/>
      <c r="J16" s="522" t="s">
        <v>53</v>
      </c>
      <c r="L16" s="884">
        <v>0.66</v>
      </c>
      <c r="M16" s="906"/>
      <c r="O16" s="533"/>
      <c r="P16" s="896"/>
      <c r="Q16" s="929" t="s">
        <v>74</v>
      </c>
      <c r="R16" s="921">
        <v>3</v>
      </c>
      <c r="S16" s="938" t="s">
        <v>72</v>
      </c>
      <c r="U16" s="533"/>
      <c r="V16" s="896"/>
      <c r="W16" s="929" t="s">
        <v>49</v>
      </c>
      <c r="X16" s="19"/>
      <c r="Y16" s="955">
        <v>0.15</v>
      </c>
    </row>
    <row r="17" spans="2:26" ht="12.6" customHeight="1">
      <c r="B17" s="526"/>
      <c r="D17" s="525"/>
      <c r="E17" s="525"/>
      <c r="F17" s="529"/>
      <c r="H17" s="533"/>
      <c r="I17" s="896"/>
      <c r="J17" s="522" t="s">
        <v>56</v>
      </c>
      <c r="L17" s="884">
        <v>0.7</v>
      </c>
      <c r="M17" s="906"/>
      <c r="N17" s="965"/>
      <c r="O17" s="533"/>
      <c r="P17" s="896"/>
      <c r="Q17" s="928" t="s">
        <v>45</v>
      </c>
      <c r="R17" s="922"/>
      <c r="S17" s="939"/>
      <c r="U17" s="533"/>
      <c r="V17" s="896"/>
      <c r="W17" s="929" t="s">
        <v>52</v>
      </c>
      <c r="X17" s="19"/>
      <c r="Y17" s="955">
        <v>0.15</v>
      </c>
    </row>
    <row r="18" spans="2:26" ht="12.6" customHeight="1">
      <c r="B18" s="526"/>
      <c r="C18" s="584" t="s">
        <v>75</v>
      </c>
      <c r="D18" s="519"/>
      <c r="E18" s="519"/>
      <c r="F18" s="530"/>
      <c r="H18" s="533"/>
      <c r="I18" s="896"/>
      <c r="J18" s="522" t="s">
        <v>59</v>
      </c>
      <c r="L18" s="884">
        <v>0.65</v>
      </c>
      <c r="M18" s="906"/>
      <c r="N18" s="965"/>
      <c r="O18" s="533"/>
      <c r="P18" s="896"/>
      <c r="Q18" s="929" t="s">
        <v>71</v>
      </c>
      <c r="R18" s="920">
        <v>800</v>
      </c>
      <c r="S18" s="937">
        <v>1000</v>
      </c>
      <c r="U18" s="533"/>
      <c r="V18" s="896"/>
      <c r="W18" s="930" t="s">
        <v>76</v>
      </c>
      <c r="X18" s="919"/>
      <c r="Y18" s="956"/>
    </row>
    <row r="19" spans="2:26" ht="12.6" customHeight="1">
      <c r="B19" s="526"/>
      <c r="D19" s="520" t="s">
        <v>77</v>
      </c>
      <c r="E19" s="590">
        <v>0.05</v>
      </c>
      <c r="F19" s="528" t="s">
        <v>78</v>
      </c>
      <c r="H19" s="533"/>
      <c r="I19" s="896"/>
      <c r="J19" s="522" t="s">
        <v>62</v>
      </c>
      <c r="L19" s="884">
        <v>0.57999999999999996</v>
      </c>
      <c r="M19" s="906"/>
      <c r="N19" s="965"/>
      <c r="O19" s="533"/>
      <c r="P19" s="896"/>
      <c r="Q19" s="929" t="s">
        <v>74</v>
      </c>
      <c r="R19" s="921">
        <v>2.4</v>
      </c>
      <c r="S19" s="938">
        <v>400</v>
      </c>
      <c r="U19" s="533"/>
      <c r="V19" s="896"/>
      <c r="W19" s="929" t="s">
        <v>45</v>
      </c>
      <c r="X19" s="19"/>
      <c r="Y19" s="954">
        <v>0.5</v>
      </c>
    </row>
    <row r="20" spans="2:26" ht="12.6" customHeight="1">
      <c r="B20" s="526"/>
      <c r="D20" s="521" t="s">
        <v>79</v>
      </c>
      <c r="E20" s="580">
        <v>0.02</v>
      </c>
      <c r="F20" s="528" t="s">
        <v>80</v>
      </c>
      <c r="H20" s="533"/>
      <c r="I20" s="896"/>
      <c r="J20" s="522" t="s">
        <v>65</v>
      </c>
      <c r="L20" s="884">
        <v>0.52</v>
      </c>
      <c r="M20" s="906"/>
      <c r="N20" s="965"/>
      <c r="O20" s="533"/>
      <c r="P20" s="896"/>
      <c r="Q20" s="930" t="s">
        <v>49</v>
      </c>
      <c r="R20" s="922"/>
      <c r="S20" s="940"/>
      <c r="U20" s="533"/>
      <c r="V20" s="896"/>
      <c r="W20" s="929" t="s">
        <v>49</v>
      </c>
      <c r="X20" s="919"/>
      <c r="Y20" s="954">
        <v>0.3</v>
      </c>
    </row>
    <row r="21" spans="2:26" ht="12.6" customHeight="1">
      <c r="B21" s="526"/>
      <c r="D21" s="522" t="s">
        <v>81</v>
      </c>
      <c r="E21" s="583" t="s">
        <v>82</v>
      </c>
      <c r="F21" s="528"/>
      <c r="H21" s="533"/>
      <c r="I21" s="896"/>
      <c r="J21" s="522" t="s">
        <v>51</v>
      </c>
      <c r="L21" s="884">
        <v>0.7</v>
      </c>
      <c r="M21" s="906"/>
      <c r="N21" s="965"/>
      <c r="O21" s="533"/>
      <c r="P21" s="896"/>
      <c r="Q21" s="929" t="s">
        <v>71</v>
      </c>
      <c r="R21" s="920">
        <v>1200</v>
      </c>
      <c r="S21" s="937">
        <v>1500</v>
      </c>
      <c r="U21" s="533"/>
      <c r="V21" s="896"/>
      <c r="W21" s="929" t="s">
        <v>52</v>
      </c>
      <c r="X21" s="919"/>
      <c r="Y21" s="954">
        <v>0.2</v>
      </c>
    </row>
    <row r="22" spans="2:26" ht="12.6" customHeight="1">
      <c r="B22" s="526"/>
      <c r="D22" s="523" t="s">
        <v>83</v>
      </c>
      <c r="E22" s="581">
        <v>1.4999999999999999E-2</v>
      </c>
      <c r="F22" s="528" t="s">
        <v>80</v>
      </c>
      <c r="H22" s="533"/>
      <c r="I22" s="896"/>
      <c r="J22" s="522" t="s">
        <v>70</v>
      </c>
      <c r="L22" s="884">
        <v>0.6</v>
      </c>
      <c r="M22" s="906"/>
      <c r="N22" s="965"/>
      <c r="O22" s="533"/>
      <c r="P22" s="896"/>
      <c r="Q22" s="929" t="s">
        <v>74</v>
      </c>
      <c r="R22" s="921">
        <v>2.2000000000000002</v>
      </c>
      <c r="S22" s="938">
        <v>370</v>
      </c>
      <c r="U22" s="533"/>
      <c r="V22" s="896"/>
      <c r="W22" s="930" t="s">
        <v>59</v>
      </c>
      <c r="X22" s="919"/>
      <c r="Y22" s="956"/>
    </row>
    <row r="23" spans="2:26" ht="12.6" customHeight="1">
      <c r="B23" s="526"/>
      <c r="D23" s="523" t="s">
        <v>84</v>
      </c>
      <c r="E23" s="581">
        <v>2.5000000000000001E-2</v>
      </c>
      <c r="F23" s="528" t="s">
        <v>80</v>
      </c>
      <c r="H23" s="533"/>
      <c r="I23" s="896"/>
      <c r="J23" s="890" t="s">
        <v>73</v>
      </c>
      <c r="K23" s="519"/>
      <c r="L23" s="893">
        <v>0.65</v>
      </c>
      <c r="M23" s="907"/>
      <c r="N23" s="965"/>
      <c r="O23" s="533"/>
      <c r="P23" s="896"/>
      <c r="Q23" s="930" t="s">
        <v>52</v>
      </c>
      <c r="R23" s="922"/>
      <c r="S23" s="940"/>
      <c r="U23" s="533"/>
      <c r="V23" s="896"/>
      <c r="W23" s="929" t="s">
        <v>41</v>
      </c>
      <c r="X23" s="919"/>
      <c r="Y23" s="954">
        <v>0.5</v>
      </c>
    </row>
    <row r="24" spans="2:26" ht="12.6" customHeight="1">
      <c r="B24" s="526"/>
      <c r="D24" s="523" t="s">
        <v>85</v>
      </c>
      <c r="E24" s="581">
        <v>0.02</v>
      </c>
      <c r="F24" s="528" t="s">
        <v>80</v>
      </c>
      <c r="H24" s="533"/>
      <c r="I24" s="896"/>
      <c r="M24" s="528"/>
      <c r="N24" s="965"/>
      <c r="O24" s="533"/>
      <c r="P24" s="896"/>
      <c r="Q24" s="929" t="s">
        <v>71</v>
      </c>
      <c r="R24" s="920">
        <v>2000</v>
      </c>
      <c r="S24" s="937">
        <v>2300</v>
      </c>
      <c r="U24" s="533"/>
      <c r="V24" s="896"/>
      <c r="W24" s="929" t="s">
        <v>45</v>
      </c>
      <c r="X24" s="919"/>
      <c r="Y24" s="954">
        <v>0.3</v>
      </c>
    </row>
    <row r="25" spans="2:26" ht="12.6" customHeight="1">
      <c r="B25" s="526"/>
      <c r="D25" s="523" t="s">
        <v>86</v>
      </c>
      <c r="E25" s="581">
        <v>3.5000000000000003E-2</v>
      </c>
      <c r="F25" s="528" t="s">
        <v>80</v>
      </c>
      <c r="H25" s="533"/>
      <c r="I25" s="897" t="s">
        <v>87</v>
      </c>
      <c r="M25" s="528"/>
      <c r="N25" s="965"/>
      <c r="O25" s="533"/>
      <c r="P25" s="896"/>
      <c r="Q25" s="929" t="s">
        <v>74</v>
      </c>
      <c r="R25" s="921">
        <v>2.5</v>
      </c>
      <c r="S25" s="938">
        <v>340</v>
      </c>
      <c r="U25" s="533"/>
      <c r="V25" s="896"/>
      <c r="W25" s="931" t="s">
        <v>49</v>
      </c>
      <c r="X25" s="948"/>
      <c r="Y25" s="957">
        <v>0.2</v>
      </c>
      <c r="Z25" s="21"/>
    </row>
    <row r="26" spans="2:26" ht="12.6" customHeight="1">
      <c r="B26" s="526"/>
      <c r="D26" s="523" t="s">
        <v>88</v>
      </c>
      <c r="E26" s="581">
        <v>0.02</v>
      </c>
      <c r="F26" s="528" t="s">
        <v>80</v>
      </c>
      <c r="H26" s="533"/>
      <c r="I26" s="896"/>
      <c r="J26" s="891" t="s">
        <v>89</v>
      </c>
      <c r="K26" s="892"/>
      <c r="L26" s="892" t="s">
        <v>90</v>
      </c>
      <c r="M26" s="529"/>
      <c r="N26" s="965"/>
      <c r="O26" s="533"/>
      <c r="P26" s="896"/>
      <c r="Q26" s="925" t="s">
        <v>91</v>
      </c>
      <c r="R26" s="919" t="s">
        <v>67</v>
      </c>
      <c r="S26" s="936" t="s">
        <v>92</v>
      </c>
      <c r="U26" s="533"/>
      <c r="V26" s="896"/>
      <c r="Y26" s="528"/>
    </row>
    <row r="27" spans="2:26" ht="12.6" customHeight="1">
      <c r="B27" s="526"/>
      <c r="D27" s="523" t="s">
        <v>93</v>
      </c>
      <c r="E27" s="580">
        <v>0.05</v>
      </c>
      <c r="F27" s="528"/>
      <c r="H27" s="533"/>
      <c r="I27" s="896"/>
      <c r="J27" s="522" t="s">
        <v>94</v>
      </c>
      <c r="L27" s="887" t="s">
        <v>72</v>
      </c>
      <c r="M27" s="906" t="s">
        <v>95</v>
      </c>
      <c r="N27" s="965"/>
      <c r="O27" s="533"/>
      <c r="P27" s="896"/>
      <c r="Q27" s="928" t="s">
        <v>41</v>
      </c>
      <c r="S27" s="528"/>
      <c r="U27" s="533"/>
      <c r="V27" s="958" t="s">
        <v>96</v>
      </c>
      <c r="X27" s="21"/>
      <c r="Y27" s="592"/>
    </row>
    <row r="28" spans="2:26" ht="12.6" customHeight="1">
      <c r="B28" s="526"/>
      <c r="D28" s="523" t="s">
        <v>97</v>
      </c>
      <c r="E28" s="581">
        <v>1.4999999999999999E-2</v>
      </c>
      <c r="F28" s="528" t="s">
        <v>80</v>
      </c>
      <c r="H28" s="533"/>
      <c r="I28" s="896"/>
      <c r="J28" s="522" t="s">
        <v>98</v>
      </c>
      <c r="L28" s="911">
        <v>0.35</v>
      </c>
      <c r="M28" s="906"/>
      <c r="N28" s="965"/>
      <c r="O28" s="533"/>
      <c r="P28" s="896"/>
      <c r="Q28" s="929" t="s">
        <v>71</v>
      </c>
      <c r="R28" s="920">
        <v>550</v>
      </c>
      <c r="S28" s="937" t="s">
        <v>72</v>
      </c>
      <c r="U28" s="533"/>
      <c r="V28" s="896"/>
      <c r="W28" s="949" t="s">
        <v>99</v>
      </c>
      <c r="X28" s="950"/>
      <c r="Y28" s="959">
        <v>0.77</v>
      </c>
    </row>
    <row r="29" spans="2:26" ht="12.6" customHeight="1">
      <c r="B29" s="526"/>
      <c r="D29" s="523" t="s">
        <v>100</v>
      </c>
      <c r="E29" s="583" t="s">
        <v>101</v>
      </c>
      <c r="F29" s="528"/>
      <c r="H29" s="533"/>
      <c r="I29" s="896"/>
      <c r="J29" s="522" t="s">
        <v>102</v>
      </c>
      <c r="L29" s="911">
        <v>0.44</v>
      </c>
      <c r="M29" s="906"/>
      <c r="N29" s="965"/>
      <c r="O29" s="533"/>
      <c r="P29" s="896"/>
      <c r="Q29" s="929" t="s">
        <v>74</v>
      </c>
      <c r="R29" s="921">
        <f>1320*1/R28</f>
        <v>2.4</v>
      </c>
      <c r="S29" s="938" t="s">
        <v>72</v>
      </c>
      <c r="U29" s="533"/>
      <c r="V29" s="896"/>
      <c r="W29" s="522" t="s">
        <v>59</v>
      </c>
      <c r="X29" s="19"/>
      <c r="Y29" s="960">
        <v>0.8</v>
      </c>
    </row>
    <row r="30" spans="2:26" ht="12.6" customHeight="1">
      <c r="B30" s="526"/>
      <c r="D30" s="523" t="s">
        <v>103</v>
      </c>
      <c r="E30" s="582">
        <v>6</v>
      </c>
      <c r="F30" s="528" t="s">
        <v>104</v>
      </c>
      <c r="H30" s="533"/>
      <c r="I30" s="896"/>
      <c r="J30" s="522" t="s">
        <v>105</v>
      </c>
      <c r="L30" s="911">
        <v>0.41</v>
      </c>
      <c r="M30" s="906"/>
      <c r="O30" s="533"/>
      <c r="P30" s="896"/>
      <c r="Q30" s="928" t="s">
        <v>45</v>
      </c>
      <c r="R30" s="922"/>
      <c r="S30" s="939"/>
      <c r="U30" s="533"/>
      <c r="V30" s="896"/>
      <c r="W30" s="925" t="s">
        <v>40</v>
      </c>
      <c r="X30" s="593"/>
      <c r="Y30" s="960">
        <v>0.85</v>
      </c>
    </row>
    <row r="31" spans="2:26" ht="12.6" customHeight="1">
      <c r="B31" s="526"/>
      <c r="D31" s="523" t="s">
        <v>106</v>
      </c>
      <c r="E31" s="589">
        <v>30</v>
      </c>
      <c r="F31" s="528" t="s">
        <v>107</v>
      </c>
      <c r="H31" s="533"/>
      <c r="I31" s="896"/>
      <c r="J31" s="522" t="s">
        <v>108</v>
      </c>
      <c r="L31" s="911">
        <v>0.48</v>
      </c>
      <c r="M31" s="906"/>
      <c r="O31" s="533"/>
      <c r="P31" s="896"/>
      <c r="Q31" s="929" t="s">
        <v>71</v>
      </c>
      <c r="R31" s="920">
        <v>800</v>
      </c>
      <c r="S31" s="937">
        <f>S18</f>
        <v>1000</v>
      </c>
      <c r="U31" s="533"/>
      <c r="V31" s="896"/>
      <c r="W31" s="925" t="s">
        <v>44</v>
      </c>
      <c r="X31" s="593"/>
      <c r="Y31" s="961">
        <v>0.75</v>
      </c>
    </row>
    <row r="32" spans="2:26" ht="12.6" customHeight="1">
      <c r="B32" s="526"/>
      <c r="D32" s="523" t="s">
        <v>109</v>
      </c>
      <c r="E32" s="581">
        <v>0.03</v>
      </c>
      <c r="F32" s="528" t="s">
        <v>110</v>
      </c>
      <c r="H32" s="533"/>
      <c r="I32" s="896"/>
      <c r="J32" s="522" t="s">
        <v>111</v>
      </c>
      <c r="L32" s="911">
        <v>0.44</v>
      </c>
      <c r="M32" s="906"/>
      <c r="O32" s="533"/>
      <c r="P32" s="896"/>
      <c r="Q32" s="929" t="s">
        <v>74</v>
      </c>
      <c r="R32" s="921">
        <f>1490*1.1/R31</f>
        <v>2.0487500000000001</v>
      </c>
      <c r="S32" s="938">
        <f>268000/S31</f>
        <v>268</v>
      </c>
      <c r="U32" s="533"/>
      <c r="V32" s="896"/>
      <c r="W32" s="951" t="s">
        <v>48</v>
      </c>
      <c r="X32" s="952"/>
      <c r="Y32" s="962">
        <v>0.8</v>
      </c>
    </row>
    <row r="33" spans="2:26" ht="12.6" customHeight="1">
      <c r="B33" s="526"/>
      <c r="D33" s="586" t="s">
        <v>112</v>
      </c>
      <c r="E33" s="980">
        <v>1.4999999999999999E-2</v>
      </c>
      <c r="F33" s="588" t="s">
        <v>113</v>
      </c>
      <c r="H33" s="533"/>
      <c r="I33" s="896"/>
      <c r="J33" s="522" t="s">
        <v>114</v>
      </c>
      <c r="L33" s="911">
        <v>0.47</v>
      </c>
      <c r="M33" s="906"/>
      <c r="N33" s="965"/>
      <c r="O33" s="533"/>
      <c r="P33" s="896"/>
      <c r="Q33" s="928" t="s">
        <v>49</v>
      </c>
      <c r="R33" s="922"/>
      <c r="S33" s="940"/>
      <c r="U33" s="23"/>
      <c r="V33" s="963"/>
      <c r="W33" s="594"/>
      <c r="Y33" s="528"/>
    </row>
    <row r="34" spans="2:26" ht="12.6" customHeight="1" thickBot="1">
      <c r="B34" s="537"/>
      <c r="C34" s="538"/>
      <c r="D34" s="531"/>
      <c r="E34" s="531"/>
      <c r="F34" s="532"/>
      <c r="H34" s="533"/>
      <c r="I34" s="896"/>
      <c r="J34" s="522" t="s">
        <v>115</v>
      </c>
      <c r="L34" s="911">
        <v>0.42</v>
      </c>
      <c r="M34" s="906"/>
      <c r="N34" s="965"/>
      <c r="O34" s="533"/>
      <c r="P34" s="896"/>
      <c r="Q34" s="929" t="s">
        <v>71</v>
      </c>
      <c r="R34" s="920">
        <v>1200</v>
      </c>
      <c r="S34" s="937">
        <f>S21</f>
        <v>1500</v>
      </c>
      <c r="U34" s="533"/>
      <c r="V34" s="897" t="s">
        <v>116</v>
      </c>
      <c r="Y34" s="528"/>
    </row>
    <row r="35" spans="2:26" ht="12.6" customHeight="1">
      <c r="H35" s="533"/>
      <c r="I35" s="896"/>
      <c r="J35" s="522" t="s">
        <v>117</v>
      </c>
      <c r="L35" s="911">
        <v>0.4</v>
      </c>
      <c r="M35" s="906"/>
      <c r="N35" s="965"/>
      <c r="O35" s="533"/>
      <c r="P35" s="896"/>
      <c r="Q35" s="929"/>
      <c r="R35" s="920"/>
      <c r="S35" s="937"/>
      <c r="U35" s="533"/>
      <c r="V35" s="896"/>
      <c r="W35" s="949" t="s">
        <v>118</v>
      </c>
      <c r="X35" s="525"/>
      <c r="Y35" s="964">
        <v>300</v>
      </c>
    </row>
    <row r="36" spans="2:26" ht="12.6" customHeight="1">
      <c r="H36" s="533"/>
      <c r="I36" s="896"/>
      <c r="J36" s="890" t="s">
        <v>119</v>
      </c>
      <c r="K36" s="519"/>
      <c r="L36" s="912">
        <v>0.44</v>
      </c>
      <c r="M36" s="907"/>
      <c r="N36" s="965"/>
      <c r="O36" s="533"/>
      <c r="P36" s="896"/>
      <c r="Q36" s="929" t="s">
        <v>74</v>
      </c>
      <c r="R36" s="921">
        <f>1810/R34</f>
        <v>1.5083333333333333</v>
      </c>
      <c r="S36" s="938">
        <f>324000/S34</f>
        <v>216</v>
      </c>
      <c r="U36" s="533"/>
      <c r="V36" s="896"/>
      <c r="W36" s="889" t="s">
        <v>120</v>
      </c>
      <c r="Y36" s="595">
        <v>300</v>
      </c>
    </row>
    <row r="37" spans="2:26" ht="12.6" customHeight="1" thickBot="1">
      <c r="C37" s="19"/>
      <c r="D37" s="19"/>
      <c r="H37" s="535"/>
      <c r="I37" s="536"/>
      <c r="J37" s="531"/>
      <c r="K37" s="531"/>
      <c r="L37" s="531"/>
      <c r="M37" s="532"/>
      <c r="N37" s="965"/>
      <c r="O37" s="533"/>
      <c r="P37" s="896"/>
      <c r="Q37" s="928" t="s">
        <v>52</v>
      </c>
      <c r="R37" s="922"/>
      <c r="S37" s="940"/>
      <c r="U37" s="533"/>
      <c r="V37" s="896"/>
      <c r="W37" s="889" t="s">
        <v>121</v>
      </c>
      <c r="Y37" s="595">
        <v>250</v>
      </c>
    </row>
    <row r="38" spans="2:26" ht="12.6" customHeight="1" thickBot="1">
      <c r="N38" s="965"/>
      <c r="O38" s="533"/>
      <c r="P38" s="896"/>
      <c r="Q38" s="929" t="s">
        <v>71</v>
      </c>
      <c r="R38" s="920">
        <v>2000</v>
      </c>
      <c r="S38" s="937">
        <f>S24</f>
        <v>2300</v>
      </c>
      <c r="U38" s="533"/>
      <c r="V38" s="896"/>
      <c r="W38" s="916" t="s">
        <v>122</v>
      </c>
      <c r="X38" s="519"/>
      <c r="Y38" s="934">
        <v>50</v>
      </c>
    </row>
    <row r="39" spans="2:26" ht="12.6" customHeight="1" thickBot="1">
      <c r="H39" s="899" t="s">
        <v>123</v>
      </c>
      <c r="I39" s="587"/>
      <c r="J39" s="587"/>
      <c r="K39" s="587"/>
      <c r="L39" s="587"/>
      <c r="M39" s="900"/>
      <c r="N39" s="965"/>
      <c r="O39" s="533"/>
      <c r="P39" s="896"/>
      <c r="Q39" s="929" t="s">
        <v>74</v>
      </c>
      <c r="R39" s="921">
        <f>2330*1.3/R38</f>
        <v>1.5145</v>
      </c>
      <c r="S39" s="938">
        <f>401000/S38</f>
        <v>174.34782608695653</v>
      </c>
      <c r="U39" s="535"/>
      <c r="V39" s="536"/>
      <c r="W39" s="531"/>
      <c r="X39" s="531"/>
      <c r="Y39" s="532"/>
      <c r="Z39" s="21"/>
    </row>
    <row r="40" spans="2:26" ht="12.6" customHeight="1">
      <c r="H40" s="533"/>
      <c r="I40" s="585" t="s">
        <v>124</v>
      </c>
      <c r="J40" s="1087"/>
      <c r="K40" s="1087"/>
      <c r="L40" s="1087"/>
      <c r="M40" s="569"/>
      <c r="N40" s="965"/>
      <c r="O40" s="533"/>
      <c r="P40" s="896"/>
      <c r="Q40" s="925" t="s">
        <v>59</v>
      </c>
      <c r="R40" s="138"/>
      <c r="S40" s="592"/>
    </row>
    <row r="41" spans="2:26" ht="12.6" customHeight="1">
      <c r="H41" s="967"/>
      <c r="I41" s="896"/>
      <c r="J41" s="524" t="s">
        <v>125</v>
      </c>
      <c r="K41" s="525"/>
      <c r="L41" s="915">
        <v>5</v>
      </c>
      <c r="M41" s="529" t="s">
        <v>126</v>
      </c>
      <c r="N41" s="965"/>
      <c r="O41" s="533"/>
      <c r="P41" s="896"/>
      <c r="Q41" s="928" t="s">
        <v>41</v>
      </c>
      <c r="R41" s="919" t="s">
        <v>67</v>
      </c>
      <c r="S41" s="936"/>
    </row>
    <row r="42" spans="2:26" ht="12.6" customHeight="1">
      <c r="H42" s="533"/>
      <c r="I42" s="896"/>
      <c r="J42" s="889" t="s">
        <v>127</v>
      </c>
      <c r="L42" s="583" t="s">
        <v>101</v>
      </c>
      <c r="M42" s="528"/>
      <c r="N42" s="965"/>
      <c r="O42" s="533"/>
      <c r="P42" s="896"/>
      <c r="Q42" s="929" t="s">
        <v>71</v>
      </c>
      <c r="R42" s="920">
        <v>500</v>
      </c>
      <c r="S42" s="941"/>
    </row>
    <row r="43" spans="2:26" ht="12.6" customHeight="1">
      <c r="H43" s="967"/>
      <c r="I43" s="896"/>
      <c r="J43" s="889" t="s">
        <v>128</v>
      </c>
      <c r="L43" s="583" t="s">
        <v>101</v>
      </c>
      <c r="M43" s="528"/>
      <c r="O43" s="533"/>
      <c r="P43" s="896"/>
      <c r="Q43" s="929" t="s">
        <v>74</v>
      </c>
      <c r="R43" s="921">
        <v>3</v>
      </c>
      <c r="S43" s="942"/>
    </row>
    <row r="44" spans="2:26" ht="12.6" customHeight="1">
      <c r="H44" s="533"/>
      <c r="I44" s="896"/>
      <c r="J44" s="916" t="s">
        <v>129</v>
      </c>
      <c r="K44" s="519"/>
      <c r="L44" s="917">
        <v>0.03</v>
      </c>
      <c r="M44" s="530" t="s">
        <v>130</v>
      </c>
      <c r="O44" s="533"/>
      <c r="P44" s="896"/>
      <c r="Q44" s="928" t="s">
        <v>45</v>
      </c>
      <c r="R44" s="922"/>
      <c r="S44" s="943"/>
    </row>
    <row r="45" spans="2:26" ht="12.6" customHeight="1">
      <c r="H45" s="533"/>
      <c r="I45" s="896"/>
      <c r="M45" s="528"/>
      <c r="O45" s="533"/>
      <c r="P45" s="896"/>
      <c r="Q45" s="929" t="s">
        <v>71</v>
      </c>
      <c r="R45" s="920">
        <v>700</v>
      </c>
      <c r="S45" s="941"/>
    </row>
    <row r="46" spans="2:26" ht="12.6" customHeight="1">
      <c r="H46" s="533"/>
      <c r="I46" s="897" t="s">
        <v>131</v>
      </c>
      <c r="M46" s="528"/>
      <c r="O46" s="533"/>
      <c r="P46" s="896"/>
      <c r="Q46" s="929" t="s">
        <v>74</v>
      </c>
      <c r="R46" s="921">
        <v>2.5</v>
      </c>
      <c r="S46" s="942"/>
    </row>
    <row r="47" spans="2:26" ht="12.6" customHeight="1">
      <c r="H47" s="533"/>
      <c r="I47" s="896"/>
      <c r="J47" s="891" t="s">
        <v>57</v>
      </c>
      <c r="K47" s="892"/>
      <c r="L47" s="892" t="s">
        <v>132</v>
      </c>
      <c r="M47" s="529"/>
      <c r="O47" s="533"/>
      <c r="P47" s="896"/>
      <c r="Q47" s="930" t="s">
        <v>49</v>
      </c>
      <c r="R47" s="922"/>
      <c r="S47" s="944"/>
    </row>
    <row r="48" spans="2:26" ht="12.6" customHeight="1">
      <c r="H48" s="533"/>
      <c r="I48" s="896"/>
      <c r="J48" s="522" t="s">
        <v>30</v>
      </c>
      <c r="L48" s="888">
        <v>0.03</v>
      </c>
      <c r="M48" s="528"/>
      <c r="O48" s="533"/>
      <c r="P48" s="896"/>
      <c r="Q48" s="929" t="s">
        <v>71</v>
      </c>
      <c r="R48" s="920">
        <v>1100</v>
      </c>
      <c r="S48" s="941"/>
    </row>
    <row r="49" spans="5:19" ht="12.6" customHeight="1">
      <c r="H49" s="533"/>
      <c r="I49" s="896"/>
      <c r="J49" s="522" t="s">
        <v>37</v>
      </c>
      <c r="L49" s="888">
        <v>0.03</v>
      </c>
      <c r="M49" s="528"/>
      <c r="O49" s="533"/>
      <c r="P49" s="896"/>
      <c r="Q49" s="931" t="s">
        <v>74</v>
      </c>
      <c r="R49" s="932">
        <v>2.2999999999999998</v>
      </c>
      <c r="S49" s="945"/>
    </row>
    <row r="50" spans="5:19" ht="12.6" customHeight="1" thickBot="1">
      <c r="H50" s="533"/>
      <c r="I50" s="896"/>
      <c r="J50" s="522" t="s">
        <v>42</v>
      </c>
      <c r="L50" s="888">
        <v>3.5000000000000003E-2</v>
      </c>
      <c r="M50" s="528"/>
      <c r="O50" s="535"/>
      <c r="P50" s="536"/>
      <c r="Q50" s="531"/>
      <c r="R50" s="531"/>
      <c r="S50" s="532"/>
    </row>
    <row r="51" spans="5:19">
      <c r="H51" s="533"/>
      <c r="I51" s="896"/>
      <c r="J51" s="522" t="s">
        <v>46</v>
      </c>
      <c r="L51" s="888">
        <v>3.5000000000000003E-2</v>
      </c>
      <c r="M51" s="528"/>
    </row>
    <row r="52" spans="5:19">
      <c r="H52" s="533"/>
      <c r="I52" s="896"/>
      <c r="J52" s="522" t="s">
        <v>50</v>
      </c>
      <c r="L52" s="888">
        <v>0.04</v>
      </c>
      <c r="M52" s="528"/>
    </row>
    <row r="53" spans="5:19">
      <c r="H53" s="533"/>
      <c r="I53" s="896"/>
      <c r="J53" s="522" t="s">
        <v>53</v>
      </c>
      <c r="L53" s="888">
        <v>0.05</v>
      </c>
      <c r="M53" s="528"/>
    </row>
    <row r="54" spans="5:19">
      <c r="H54" s="968"/>
      <c r="I54" s="896"/>
      <c r="J54" s="522" t="s">
        <v>56</v>
      </c>
      <c r="L54" s="888">
        <v>0.05</v>
      </c>
      <c r="M54" s="528"/>
    </row>
    <row r="55" spans="5:19">
      <c r="H55" s="968"/>
      <c r="I55" s="896"/>
      <c r="J55" s="522" t="s">
        <v>59</v>
      </c>
      <c r="L55" s="888">
        <v>0.02</v>
      </c>
      <c r="M55" s="528"/>
    </row>
    <row r="56" spans="5:19">
      <c r="H56" s="968"/>
      <c r="I56" s="896"/>
      <c r="J56" s="522" t="s">
        <v>62</v>
      </c>
      <c r="L56" s="888">
        <v>0.04</v>
      </c>
      <c r="M56" s="528"/>
    </row>
    <row r="57" spans="5:19">
      <c r="H57" s="968"/>
      <c r="I57" s="896"/>
      <c r="J57" s="522" t="s">
        <v>65</v>
      </c>
      <c r="L57" s="888">
        <v>0.04</v>
      </c>
      <c r="M57" s="528"/>
    </row>
    <row r="58" spans="5:19">
      <c r="H58" s="968"/>
      <c r="I58" s="896"/>
      <c r="J58" s="522" t="s">
        <v>51</v>
      </c>
      <c r="L58" s="888">
        <v>0</v>
      </c>
      <c r="M58" s="528"/>
      <c r="N58" s="886"/>
    </row>
    <row r="59" spans="5:19">
      <c r="H59" s="968"/>
      <c r="I59" s="896"/>
      <c r="J59" s="522" t="s">
        <v>70</v>
      </c>
      <c r="L59" s="888">
        <v>3.5000000000000003E-2</v>
      </c>
      <c r="M59" s="528"/>
      <c r="N59" s="886"/>
    </row>
    <row r="60" spans="5:19">
      <c r="H60" s="968"/>
      <c r="I60" s="896"/>
      <c r="J60" s="890" t="s">
        <v>73</v>
      </c>
      <c r="K60" s="519"/>
      <c r="L60" s="894">
        <v>0.02</v>
      </c>
      <c r="M60" s="903"/>
      <c r="N60" s="886"/>
    </row>
    <row r="61" spans="5:19">
      <c r="H61" s="968"/>
      <c r="I61" s="896"/>
      <c r="M61" s="534"/>
      <c r="N61" s="886"/>
    </row>
    <row r="62" spans="5:19" ht="12.95">
      <c r="H62" s="968"/>
      <c r="I62" s="898" t="s">
        <v>133</v>
      </c>
      <c r="L62" s="570"/>
      <c r="M62" s="534"/>
      <c r="N62" s="886"/>
    </row>
    <row r="63" spans="5:19" ht="12.95">
      <c r="H63" s="968"/>
      <c r="I63" s="896"/>
      <c r="J63" s="891" t="s">
        <v>57</v>
      </c>
      <c r="K63" s="892"/>
      <c r="L63" s="892" t="s">
        <v>134</v>
      </c>
      <c r="M63" s="904"/>
      <c r="N63" s="886"/>
    </row>
    <row r="64" spans="5:19">
      <c r="E64" s="571"/>
      <c r="H64" s="968"/>
      <c r="I64" s="896"/>
      <c r="J64" s="522" t="s">
        <v>30</v>
      </c>
      <c r="K64" s="886"/>
      <c r="L64" s="886">
        <v>0.05</v>
      </c>
      <c r="M64" s="534"/>
      <c r="N64" s="886"/>
    </row>
    <row r="65" spans="4:14">
      <c r="H65" s="968"/>
      <c r="I65" s="896"/>
      <c r="J65" s="522" t="s">
        <v>37</v>
      </c>
      <c r="K65" s="886"/>
      <c r="L65" s="886">
        <v>0.05</v>
      </c>
      <c r="M65" s="534"/>
      <c r="N65" s="886"/>
    </row>
    <row r="66" spans="4:14">
      <c r="H66" s="968"/>
      <c r="I66" s="896"/>
      <c r="J66" s="522" t="s">
        <v>42</v>
      </c>
      <c r="K66" s="886"/>
      <c r="L66" s="886">
        <v>5.5E-2</v>
      </c>
      <c r="M66" s="534"/>
      <c r="N66" s="886"/>
    </row>
    <row r="67" spans="4:14">
      <c r="F67" s="517"/>
      <c r="H67" s="533"/>
      <c r="I67" s="896"/>
      <c r="J67" s="522" t="s">
        <v>46</v>
      </c>
      <c r="K67" s="886"/>
      <c r="L67" s="886">
        <v>5.5E-2</v>
      </c>
      <c r="M67" s="534"/>
      <c r="N67" s="886"/>
    </row>
    <row r="68" spans="4:14">
      <c r="H68" s="533"/>
      <c r="I68" s="896"/>
      <c r="J68" s="522" t="s">
        <v>50</v>
      </c>
      <c r="K68" s="886"/>
      <c r="L68" s="886">
        <v>5.5E-2</v>
      </c>
      <c r="M68" s="534"/>
      <c r="N68" s="886"/>
    </row>
    <row r="69" spans="4:14">
      <c r="H69" s="533"/>
      <c r="I69" s="896"/>
      <c r="J69" s="522" t="s">
        <v>53</v>
      </c>
      <c r="K69" s="886"/>
      <c r="L69" s="886">
        <v>5.5E-2</v>
      </c>
      <c r="M69" s="534"/>
      <c r="N69" s="886"/>
    </row>
    <row r="70" spans="4:14">
      <c r="H70" s="968"/>
      <c r="I70" s="896"/>
      <c r="J70" s="522" t="s">
        <v>56</v>
      </c>
      <c r="K70" s="886"/>
      <c r="L70" s="886">
        <v>5.5E-2</v>
      </c>
      <c r="M70" s="534"/>
      <c r="N70" s="886"/>
    </row>
    <row r="71" spans="4:14">
      <c r="H71" s="968"/>
      <c r="I71" s="896"/>
      <c r="J71" s="522" t="s">
        <v>59</v>
      </c>
      <c r="K71" s="886"/>
      <c r="L71" s="886">
        <v>0.04</v>
      </c>
      <c r="M71" s="534"/>
      <c r="N71" s="886"/>
    </row>
    <row r="72" spans="4:14" ht="12.95">
      <c r="D72" s="597"/>
      <c r="E72" s="21"/>
      <c r="F72" s="596"/>
      <c r="H72" s="968"/>
      <c r="I72" s="896"/>
      <c r="J72" s="522" t="s">
        <v>62</v>
      </c>
      <c r="K72" s="886"/>
      <c r="L72" s="886">
        <v>0.06</v>
      </c>
      <c r="M72" s="534"/>
      <c r="N72" s="886"/>
    </row>
    <row r="73" spans="4:14">
      <c r="H73" s="968"/>
      <c r="I73" s="896"/>
      <c r="J73" s="522" t="s">
        <v>65</v>
      </c>
      <c r="K73" s="886"/>
      <c r="L73" s="886">
        <v>0.06</v>
      </c>
      <c r="M73" s="534"/>
      <c r="N73" s="966"/>
    </row>
    <row r="74" spans="4:14">
      <c r="H74" s="968"/>
      <c r="I74" s="896"/>
      <c r="J74" s="522" t="s">
        <v>51</v>
      </c>
      <c r="K74" s="886"/>
      <c r="L74" s="886" t="s">
        <v>72</v>
      </c>
      <c r="M74" s="534"/>
    </row>
    <row r="75" spans="4:14">
      <c r="H75" s="968"/>
      <c r="I75" s="896"/>
      <c r="J75" s="522" t="s">
        <v>70</v>
      </c>
      <c r="K75" s="886"/>
      <c r="L75" s="886">
        <v>5.5E-2</v>
      </c>
      <c r="M75" s="905"/>
    </row>
    <row r="76" spans="4:14">
      <c r="H76" s="968"/>
      <c r="I76" s="896"/>
      <c r="J76" s="890" t="s">
        <v>73</v>
      </c>
      <c r="K76" s="895"/>
      <c r="L76" s="895">
        <v>4.4999999999999998E-2</v>
      </c>
      <c r="M76" s="530"/>
    </row>
    <row r="77" spans="4:14" ht="12.95" thickBot="1">
      <c r="H77" s="969"/>
      <c r="I77" s="536"/>
      <c r="J77" s="531"/>
      <c r="K77" s="531"/>
      <c r="L77" s="531"/>
      <c r="M77" s="532"/>
    </row>
    <row r="79" spans="4:14" ht="12.95">
      <c r="D79" s="598"/>
      <c r="E79" s="599"/>
      <c r="F79" s="600"/>
    </row>
    <row r="80" spans="4:14" ht="12.95">
      <c r="D80" s="591"/>
      <c r="E80" s="593"/>
      <c r="F80" s="601"/>
    </row>
    <row r="81" spans="4:6" ht="12.95">
      <c r="D81" s="591"/>
      <c r="E81" s="593"/>
      <c r="F81" s="601"/>
    </row>
  </sheetData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19B32-D704-4CD4-8FA3-0B7664D3BD4E}">
  <dimension ref="A1:T86"/>
  <sheetViews>
    <sheetView workbookViewId="0">
      <selection activeCell="E5" sqref="E5"/>
    </sheetView>
  </sheetViews>
  <sheetFormatPr defaultRowHeight="14.45"/>
  <cols>
    <col min="2" max="2" width="2" customWidth="1"/>
    <col min="4" max="4" width="10.42578125" bestFit="1" customWidth="1"/>
    <col min="5" max="5" width="15" bestFit="1" customWidth="1"/>
    <col min="6" max="6" width="15" customWidth="1"/>
    <col min="7" max="7" width="15.7109375" bestFit="1" customWidth="1"/>
    <col min="8" max="8" width="15" bestFit="1" customWidth="1"/>
    <col min="9" max="9" width="17.140625" bestFit="1" customWidth="1"/>
    <col min="10" max="10" width="13.5703125" bestFit="1" customWidth="1"/>
    <col min="11" max="11" width="13.5703125" customWidth="1"/>
    <col min="12" max="12" width="15" bestFit="1" customWidth="1"/>
    <col min="13" max="15" width="13.5703125" bestFit="1" customWidth="1"/>
    <col min="18" max="18" width="13.5703125" bestFit="1" customWidth="1"/>
    <col min="20" max="20" width="13.5703125" bestFit="1" customWidth="1"/>
  </cols>
  <sheetData>
    <row r="1" spans="1:13">
      <c r="A1" t="s">
        <v>108</v>
      </c>
    </row>
    <row r="3" spans="1:13">
      <c r="B3" s="778" t="s">
        <v>90</v>
      </c>
      <c r="C3" s="842"/>
      <c r="D3" s="842"/>
      <c r="E3" s="914">
        <f>IFERROR(INDEX(Assumptions!$J$27:$L$36,MATCH(A1,Assumptions!$J$27:$J$36,0),3),0)</f>
        <v>0.48</v>
      </c>
      <c r="H3" s="778" t="s">
        <v>518</v>
      </c>
      <c r="I3" s="1098"/>
      <c r="J3" s="827"/>
      <c r="L3" s="804" t="s">
        <v>519</v>
      </c>
      <c r="M3" s="805"/>
    </row>
    <row r="4" spans="1:13">
      <c r="B4" s="778" t="s">
        <v>520</v>
      </c>
      <c r="C4" s="1099"/>
      <c r="D4" s="779"/>
      <c r="E4" s="780">
        <f>'2-E Financial'!$D$10*E3</f>
        <v>87227575.885427773</v>
      </c>
      <c r="F4" s="823"/>
      <c r="H4" s="832">
        <v>1</v>
      </c>
      <c r="I4" s="831">
        <v>1</v>
      </c>
      <c r="J4" s="791">
        <f>SUMIFS('2-E Amortization'!$K$26:$K$86,'2-E Amortization'!$E$26:$E$86,H4,'2-E Amortization'!$F$26:$F$86,I4)</f>
        <v>-1253896.4033530243</v>
      </c>
      <c r="L4" s="806">
        <v>1</v>
      </c>
      <c r="M4" s="791">
        <f t="shared" ref="M4:M13" si="0">SUMIF($E$26:$E$386,L4,$K$26:$K$386)</f>
        <v>-5015585.6134120971</v>
      </c>
    </row>
    <row r="5" spans="1:13">
      <c r="B5" s="1026" t="s">
        <v>521</v>
      </c>
      <c r="C5" s="781"/>
      <c r="D5" s="782"/>
      <c r="E5" s="783">
        <f>'2-E DRAW'!U9+1</f>
        <v>48214</v>
      </c>
      <c r="F5" s="824"/>
      <c r="H5" s="832">
        <v>1</v>
      </c>
      <c r="I5" s="831">
        <v>2</v>
      </c>
      <c r="J5" s="791">
        <f>SUMIFS('2-E Amortization'!$K$26:$K$86,'2-E Amortization'!$E$26:$E$86,H5,'2-E Amortization'!$F$26:$F$86,I5)</f>
        <v>-1253896.4033530243</v>
      </c>
      <c r="L5" s="806">
        <f>L4+1</f>
        <v>2</v>
      </c>
      <c r="M5" s="791">
        <f t="shared" si="0"/>
        <v>-6108437.4744127048</v>
      </c>
    </row>
    <row r="6" spans="1:13">
      <c r="B6" s="1026" t="s">
        <v>522</v>
      </c>
      <c r="C6" s="781"/>
      <c r="D6" s="782"/>
      <c r="E6" s="784">
        <f>Assumptions!$L$41</f>
        <v>5</v>
      </c>
      <c r="F6" s="825"/>
      <c r="G6" s="785"/>
      <c r="H6" s="832">
        <v>1</v>
      </c>
      <c r="I6" s="831">
        <v>3</v>
      </c>
      <c r="J6" s="791">
        <f>SUMIFS('2-E Amortization'!$K$26:$K$86,'2-E Amortization'!$E$26:$E$86,H6,'2-E Amortization'!$F$26:$F$86,I6)</f>
        <v>-1253896.4033530243</v>
      </c>
      <c r="L6" s="806">
        <f t="shared" ref="L6:L13" si="1">L5+1</f>
        <v>3</v>
      </c>
      <c r="M6" s="791">
        <f t="shared" si="0"/>
        <v>-6108437.4744127048</v>
      </c>
    </row>
    <row r="7" spans="1:13">
      <c r="B7" s="1026" t="s">
        <v>523</v>
      </c>
      <c r="C7" s="781"/>
      <c r="D7" s="782"/>
      <c r="E7" s="803">
        <v>360</v>
      </c>
      <c r="F7" s="826"/>
      <c r="H7" s="832">
        <v>1</v>
      </c>
      <c r="I7" s="831">
        <v>4</v>
      </c>
      <c r="J7" s="791">
        <f>SUMIFS('2-E Amortization'!$K$26:$K$86,'2-E Amortization'!$E$26:$E$86,H7,'2-E Amortization'!$F$26:$F$86,I7)</f>
        <v>-1253896.4033530243</v>
      </c>
      <c r="L7" s="806">
        <f t="shared" si="1"/>
        <v>4</v>
      </c>
      <c r="M7" s="791">
        <f t="shared" si="0"/>
        <v>-6108437.4744127048</v>
      </c>
    </row>
    <row r="8" spans="1:13">
      <c r="B8" s="1026" t="s">
        <v>524</v>
      </c>
      <c r="C8" s="781"/>
      <c r="D8" s="782"/>
      <c r="E8" s="801">
        <v>1</v>
      </c>
      <c r="F8" s="786">
        <f>IF(E8="","",VLOOKUP(E8,$C$26:$D$386,2,FALSE))</f>
        <v>48244</v>
      </c>
      <c r="H8" s="832">
        <v>2</v>
      </c>
      <c r="I8" s="831">
        <v>1</v>
      </c>
      <c r="J8" s="791">
        <f>SUMIFS('2-E Amortization'!$K$26:$K$86,'2-E Amortization'!$E$26:$E$86,H8,'2-E Amortization'!$F$26:$F$86,I8)</f>
        <v>-1527109.3686031757</v>
      </c>
      <c r="L8" s="806">
        <f t="shared" si="1"/>
        <v>5</v>
      </c>
      <c r="M8" s="791">
        <f t="shared" si="0"/>
        <v>-6108437.4744127048</v>
      </c>
    </row>
    <row r="9" spans="1:13">
      <c r="B9" s="1026" t="s">
        <v>525</v>
      </c>
      <c r="C9" s="781"/>
      <c r="D9" s="782"/>
      <c r="E9" s="802">
        <v>12</v>
      </c>
      <c r="F9" s="787">
        <f>IF(E9="","",VLOOKUP(E9,$C$26:$D$386,2,FALSE))</f>
        <v>48579</v>
      </c>
      <c r="H9" s="832">
        <v>2</v>
      </c>
      <c r="I9" s="831">
        <v>2</v>
      </c>
      <c r="J9" s="791">
        <f>SUMIFS('2-E Amortization'!$K$26:$K$86,'2-E Amortization'!$E$26:$E$86,H9,'2-E Amortization'!$F$26:$F$86,I9)</f>
        <v>-1527109.368603176</v>
      </c>
      <c r="L9" s="806">
        <f t="shared" si="1"/>
        <v>6</v>
      </c>
      <c r="M9" s="791">
        <f t="shared" si="0"/>
        <v>0</v>
      </c>
    </row>
    <row r="10" spans="1:13">
      <c r="B10" s="1026" t="s">
        <v>526</v>
      </c>
      <c r="C10" s="781"/>
      <c r="D10" s="782"/>
      <c r="E10" s="788">
        <f>Assumptions!$L6</f>
        <v>5.7500000000000002E-2</v>
      </c>
      <c r="H10" s="832">
        <v>2</v>
      </c>
      <c r="I10" s="831">
        <v>3</v>
      </c>
      <c r="J10" s="791">
        <f>SUMIFS('2-E Amortization'!$K$26:$K$86,'2-E Amortization'!$E$26:$E$86,H10,'2-E Amortization'!$F$26:$F$86,I10)</f>
        <v>-1527109.368603176</v>
      </c>
      <c r="L10" s="806">
        <f t="shared" si="1"/>
        <v>7</v>
      </c>
      <c r="M10" s="791">
        <f t="shared" si="0"/>
        <v>0</v>
      </c>
    </row>
    <row r="11" spans="1:13">
      <c r="B11" s="1026" t="s">
        <v>527</v>
      </c>
      <c r="C11" s="781"/>
      <c r="D11" s="782"/>
      <c r="E11" s="788">
        <f>Assumptions!$L7</f>
        <v>5.0000000000000001E-3</v>
      </c>
      <c r="F11" s="789">
        <f>E11*E4</f>
        <v>436137.87942713889</v>
      </c>
      <c r="H11" s="832">
        <v>2</v>
      </c>
      <c r="I11" s="831">
        <v>4</v>
      </c>
      <c r="J11" s="791">
        <f>SUMIFS('2-E Amortization'!$K$26:$K$86,'2-E Amortization'!$E$26:$E$86,H11,'2-E Amortization'!$F$26:$F$86,I11)</f>
        <v>-1527109.368603176</v>
      </c>
      <c r="L11" s="806">
        <f t="shared" si="1"/>
        <v>8</v>
      </c>
      <c r="M11" s="791">
        <f t="shared" si="0"/>
        <v>0</v>
      </c>
    </row>
    <row r="12" spans="1:13">
      <c r="B12" s="1026" t="s">
        <v>528</v>
      </c>
      <c r="C12" s="781"/>
      <c r="D12" s="782"/>
      <c r="E12" s="1027" t="s">
        <v>529</v>
      </c>
      <c r="H12" s="832">
        <v>3</v>
      </c>
      <c r="I12" s="831">
        <v>1</v>
      </c>
      <c r="J12" s="791">
        <f>SUMIFS('2-E Amortization'!$K$26:$K$86,'2-E Amortization'!$E$26:$E$86,H12,'2-E Amortization'!$F$26:$F$86,I12)</f>
        <v>-1527109.368603176</v>
      </c>
      <c r="L12" s="806">
        <f t="shared" si="1"/>
        <v>9</v>
      </c>
      <c r="M12" s="791">
        <f t="shared" si="0"/>
        <v>0</v>
      </c>
    </row>
    <row r="13" spans="1:13">
      <c r="B13" s="1026" t="s">
        <v>530</v>
      </c>
      <c r="C13" s="781"/>
      <c r="D13" s="782"/>
      <c r="E13" s="791">
        <f>VLOOKUP(MIN(E6*12,E14),$C$26:$L$386,10,FALSE)</f>
        <v>82325729.199059144</v>
      </c>
      <c r="H13" s="832">
        <v>3</v>
      </c>
      <c r="I13" s="831">
        <v>2</v>
      </c>
      <c r="J13" s="791">
        <f>SUMIFS('2-E Amortization'!$K$26:$K$86,'2-E Amortization'!$E$26:$E$86,H13,'2-E Amortization'!$F$26:$F$86,I13)</f>
        <v>-1527109.368603176</v>
      </c>
      <c r="L13" s="807">
        <f t="shared" si="1"/>
        <v>10</v>
      </c>
      <c r="M13" s="808">
        <f t="shared" si="0"/>
        <v>0</v>
      </c>
    </row>
    <row r="14" spans="1:13">
      <c r="B14" s="792" t="s">
        <v>531</v>
      </c>
      <c r="C14" s="793"/>
      <c r="D14" s="794"/>
      <c r="E14" s="790">
        <f>E6*12</f>
        <v>60</v>
      </c>
      <c r="F14" s="795"/>
      <c r="H14" s="832">
        <v>3</v>
      </c>
      <c r="I14" s="831">
        <v>3</v>
      </c>
      <c r="J14" s="791">
        <f>SUMIFS('2-E Amortization'!$K$26:$K$86,'2-E Amortization'!$E$26:$E$86,H14,'2-E Amortization'!$F$26:$F$86,I14)</f>
        <v>-1527109.368603176</v>
      </c>
      <c r="K14" s="809"/>
    </row>
    <row r="15" spans="1:13">
      <c r="H15" s="832">
        <v>3</v>
      </c>
      <c r="I15" s="831">
        <v>4</v>
      </c>
      <c r="J15" s="791">
        <f>SUMIFS('2-E Amortization'!$K$26:$K$86,'2-E Amortization'!$E$26:$E$86,H15,'2-E Amortization'!$F$26:$F$86,I15)</f>
        <v>-1527109.3686031762</v>
      </c>
      <c r="K15" s="809"/>
    </row>
    <row r="16" spans="1:13">
      <c r="H16" s="832">
        <v>4</v>
      </c>
      <c r="I16" s="831">
        <v>1</v>
      </c>
      <c r="J16" s="791">
        <f>SUMIFS('2-E Amortization'!$K$26:$K$86,'2-E Amortization'!$E$26:$E$86,H16,'2-E Amortization'!$F$26:$F$86,I16)</f>
        <v>-1527109.368603176</v>
      </c>
      <c r="K16" s="809"/>
    </row>
    <row r="17" spans="3:20">
      <c r="H17" s="832">
        <v>4</v>
      </c>
      <c r="I17" s="831">
        <v>2</v>
      </c>
      <c r="J17" s="791">
        <f>SUMIFS('2-E Amortization'!$K$26:$K$86,'2-E Amortization'!$E$26:$E$86,H17,'2-E Amortization'!$F$26:$F$86,I17)</f>
        <v>-1527109.3686031762</v>
      </c>
      <c r="K17" s="809"/>
    </row>
    <row r="18" spans="3:20">
      <c r="H18" s="832">
        <v>4</v>
      </c>
      <c r="I18" s="831">
        <v>3</v>
      </c>
      <c r="J18" s="791">
        <f>SUMIFS('2-E Amortization'!$K$26:$K$86,'2-E Amortization'!$E$26:$E$86,H18,'2-E Amortization'!$F$26:$F$86,I18)</f>
        <v>-1527109.368603176</v>
      </c>
      <c r="K18" s="809"/>
    </row>
    <row r="19" spans="3:20">
      <c r="H19" s="832">
        <v>4</v>
      </c>
      <c r="I19" s="831">
        <v>4</v>
      </c>
      <c r="J19" s="791">
        <f>SUMIFS('2-E Amortization'!$K$26:$K$86,'2-E Amortization'!$E$26:$E$86,H19,'2-E Amortization'!$F$26:$F$86,I19)</f>
        <v>-1527109.368603176</v>
      </c>
      <c r="K19" s="809"/>
    </row>
    <row r="20" spans="3:20">
      <c r="H20" s="832">
        <v>5</v>
      </c>
      <c r="I20" s="831">
        <v>1</v>
      </c>
      <c r="J20" s="791">
        <f>SUMIFS('2-E Amortization'!$K$26:$K$86,'2-E Amortization'!$E$26:$E$86,H20,'2-E Amortization'!$F$26:$F$86,I20)</f>
        <v>-1527109.368603176</v>
      </c>
      <c r="K20" s="809"/>
    </row>
    <row r="21" spans="3:20">
      <c r="H21" s="832">
        <v>5</v>
      </c>
      <c r="I21" s="831">
        <v>2</v>
      </c>
      <c r="J21" s="791">
        <f>SUMIFS('2-E Amortization'!$K$26:$K$86,'2-E Amortization'!$E$26:$E$86,H21,'2-E Amortization'!$F$26:$F$86,I21)</f>
        <v>-1527109.3686031762</v>
      </c>
      <c r="K21" s="809"/>
    </row>
    <row r="22" spans="3:20">
      <c r="H22" s="832">
        <v>5</v>
      </c>
      <c r="I22" s="831">
        <v>3</v>
      </c>
      <c r="J22" s="791">
        <f>SUMIFS('2-E Amortization'!$K$26:$K$86,'2-E Amortization'!$E$26:$E$86,H22,'2-E Amortization'!$F$26:$F$86,I22)</f>
        <v>-1527109.368603176</v>
      </c>
      <c r="K22" s="809"/>
    </row>
    <row r="23" spans="3:20">
      <c r="H23" s="833">
        <v>5</v>
      </c>
      <c r="I23" s="834">
        <v>4</v>
      </c>
      <c r="J23" s="808">
        <f>SUMIFS('2-E Amortization'!$K$26:$K$86,'2-E Amortization'!$E$26:$E$86,H23,'2-E Amortization'!$F$26:$F$86,I23)</f>
        <v>-1527109.3686031762</v>
      </c>
      <c r="K23" s="809"/>
    </row>
    <row r="24" spans="3:20">
      <c r="R24" s="809"/>
      <c r="T24" s="809"/>
    </row>
    <row r="25" spans="3:20" ht="15" thickBot="1">
      <c r="C25" s="811" t="s">
        <v>532</v>
      </c>
      <c r="D25" s="812" t="s">
        <v>533</v>
      </c>
      <c r="E25" s="812" t="s">
        <v>534</v>
      </c>
      <c r="F25" s="1100" t="s">
        <v>535</v>
      </c>
      <c r="G25" s="1100" t="s">
        <v>536</v>
      </c>
      <c r="H25" s="812" t="s">
        <v>537</v>
      </c>
      <c r="I25" s="812" t="s">
        <v>538</v>
      </c>
      <c r="J25" s="812" t="s">
        <v>520</v>
      </c>
      <c r="K25" s="812" t="s">
        <v>539</v>
      </c>
      <c r="L25" s="813" t="s">
        <v>540</v>
      </c>
    </row>
    <row r="26" spans="3:20">
      <c r="C26" s="796">
        <v>0</v>
      </c>
      <c r="D26" s="797">
        <f>E5</f>
        <v>48214</v>
      </c>
      <c r="E26" s="798">
        <f>ROUNDUP(C26/12,0)</f>
        <v>0</v>
      </c>
      <c r="F26" s="798"/>
      <c r="G26" s="799"/>
      <c r="I26" s="809"/>
      <c r="K26" s="809">
        <f t="shared" ref="K26:K86" si="2">SUM(I26:J26)</f>
        <v>0</v>
      </c>
      <c r="L26" s="791">
        <f t="shared" ref="L26:L57" si="3">IF(C26=0,$E$4,H26+J26)</f>
        <v>87227575.885427773</v>
      </c>
    </row>
    <row r="27" spans="3:20" ht="15" customHeight="1">
      <c r="C27" s="814">
        <f>C26+1</f>
        <v>1</v>
      </c>
      <c r="D27" s="815">
        <f t="shared" ref="D27:D58" si="4">EOMONTH($E$5,C27-1)</f>
        <v>48244</v>
      </c>
      <c r="E27" s="800">
        <f t="shared" ref="E27:E86" si="5">ROUNDUP(C27/12,0)</f>
        <v>1</v>
      </c>
      <c r="F27" s="800">
        <f>CHOOSE(MONTH(D27), 1, 1, 1, 2, 2, 2, 3, 3, 3, 4, 4, 4)</f>
        <v>1</v>
      </c>
      <c r="G27" s="816" t="str">
        <f>IF($E$12="NO",G26+1,
IF(OR(D27&lt;$F$8,D27&gt;$F$9),MAX($G$26:G26)+1,""))</f>
        <v/>
      </c>
      <c r="H27" s="809">
        <f t="shared" ref="H27:H58" si="6">IF(OR(E27&gt;$E$6,C27&gt;$E$14),0,L26)</f>
        <v>87227575.885427773</v>
      </c>
      <c r="I27" s="809">
        <f t="shared" ref="I27:I58" si="7">IF(OR(E27&gt;$E$6*12,C27&gt;$E$14),0,-H27*$E$10/12)</f>
        <v>-417965.46778434142</v>
      </c>
      <c r="J27" s="817">
        <f t="shared" ref="J27:J58" si="8">IF(OR(E27&gt;$E$6,C27&gt;$E$14),0,
IF(AND($E$8&lt;&gt;OR(0,""),$E$9&lt;&gt;OR(0,""),C27&gt;=$E$8,C27&lt;=$E$9),0,PPMT($E$10/12,IF($E$12="YES",G27,C27),$E$7,$E$4)))</f>
        <v>0</v>
      </c>
      <c r="K27" s="809">
        <f t="shared" si="2"/>
        <v>-417965.46778434142</v>
      </c>
      <c r="L27" s="791">
        <f t="shared" si="3"/>
        <v>87227575.885427773</v>
      </c>
    </row>
    <row r="28" spans="3:20">
      <c r="C28" s="814">
        <f t="shared" ref="C28:C86" si="9">C27+1</f>
        <v>2</v>
      </c>
      <c r="D28" s="815">
        <f t="shared" si="4"/>
        <v>48273</v>
      </c>
      <c r="E28" s="800">
        <f t="shared" si="5"/>
        <v>1</v>
      </c>
      <c r="F28" s="800">
        <f t="shared" ref="F28:F86" si="10">CHOOSE(MONTH(D28), 1, 1, 1, 2, 2, 2, 3, 3, 3, 4, 4, 4)</f>
        <v>1</v>
      </c>
      <c r="G28" s="816" t="str">
        <f>IF($E$12="NO",G27+1,
IF(OR(D28&lt;$F$8,D28&gt;$F$9),MAX($G$26:G27)+1,""))</f>
        <v/>
      </c>
      <c r="H28" s="809">
        <f t="shared" si="6"/>
        <v>87227575.885427773</v>
      </c>
      <c r="I28" s="809">
        <f t="shared" si="7"/>
        <v>-417965.46778434142</v>
      </c>
      <c r="J28" s="817">
        <f t="shared" si="8"/>
        <v>0</v>
      </c>
      <c r="K28" s="809">
        <f t="shared" si="2"/>
        <v>-417965.46778434142</v>
      </c>
      <c r="L28" s="791">
        <f t="shared" si="3"/>
        <v>87227575.885427773</v>
      </c>
    </row>
    <row r="29" spans="3:20">
      <c r="C29" s="814">
        <f t="shared" si="9"/>
        <v>3</v>
      </c>
      <c r="D29" s="815">
        <f t="shared" si="4"/>
        <v>48304</v>
      </c>
      <c r="E29" s="800">
        <f t="shared" si="5"/>
        <v>1</v>
      </c>
      <c r="F29" s="800">
        <f t="shared" si="10"/>
        <v>1</v>
      </c>
      <c r="G29" s="816" t="str">
        <f>IF($E$12="NO",G28+1,
IF(OR(D29&lt;$F$8,D29&gt;$F$9),MAX($G$26:G28)+1,""))</f>
        <v/>
      </c>
      <c r="H29" s="809">
        <f t="shared" si="6"/>
        <v>87227575.885427773</v>
      </c>
      <c r="I29" s="809">
        <f t="shared" si="7"/>
        <v>-417965.46778434142</v>
      </c>
      <c r="J29" s="817">
        <f t="shared" si="8"/>
        <v>0</v>
      </c>
      <c r="K29" s="809">
        <f t="shared" si="2"/>
        <v>-417965.46778434142</v>
      </c>
      <c r="L29" s="791">
        <f t="shared" si="3"/>
        <v>87227575.885427773</v>
      </c>
    </row>
    <row r="30" spans="3:20">
      <c r="C30" s="814">
        <f t="shared" si="9"/>
        <v>4</v>
      </c>
      <c r="D30" s="815">
        <f t="shared" si="4"/>
        <v>48334</v>
      </c>
      <c r="E30" s="800">
        <f t="shared" si="5"/>
        <v>1</v>
      </c>
      <c r="F30" s="800">
        <f t="shared" si="10"/>
        <v>2</v>
      </c>
      <c r="G30" s="816" t="str">
        <f>IF($E$12="NO",G29+1,
IF(OR(D30&lt;$F$8,D30&gt;$F$9),MAX($G$26:G29)+1,""))</f>
        <v/>
      </c>
      <c r="H30" s="809">
        <f t="shared" si="6"/>
        <v>87227575.885427773</v>
      </c>
      <c r="I30" s="809">
        <f t="shared" si="7"/>
        <v>-417965.46778434142</v>
      </c>
      <c r="J30" s="817">
        <f t="shared" si="8"/>
        <v>0</v>
      </c>
      <c r="K30" s="809">
        <f t="shared" si="2"/>
        <v>-417965.46778434142</v>
      </c>
      <c r="L30" s="791">
        <f t="shared" si="3"/>
        <v>87227575.885427773</v>
      </c>
    </row>
    <row r="31" spans="3:20">
      <c r="C31" s="814">
        <f t="shared" si="9"/>
        <v>5</v>
      </c>
      <c r="D31" s="815">
        <f t="shared" si="4"/>
        <v>48365</v>
      </c>
      <c r="E31" s="800">
        <f t="shared" si="5"/>
        <v>1</v>
      </c>
      <c r="F31" s="800">
        <f t="shared" si="10"/>
        <v>2</v>
      </c>
      <c r="G31" s="816" t="str">
        <f>IF($E$12="NO",G30+1,
IF(OR(D31&lt;$F$8,D31&gt;$F$9),MAX($G$26:G30)+1,""))</f>
        <v/>
      </c>
      <c r="H31" s="809">
        <f t="shared" si="6"/>
        <v>87227575.885427773</v>
      </c>
      <c r="I31" s="809">
        <f t="shared" si="7"/>
        <v>-417965.46778434142</v>
      </c>
      <c r="J31" s="817">
        <f t="shared" si="8"/>
        <v>0</v>
      </c>
      <c r="K31" s="809">
        <f t="shared" si="2"/>
        <v>-417965.46778434142</v>
      </c>
      <c r="L31" s="791">
        <f t="shared" si="3"/>
        <v>87227575.885427773</v>
      </c>
    </row>
    <row r="32" spans="3:20">
      <c r="C32" s="814">
        <f t="shared" si="9"/>
        <v>6</v>
      </c>
      <c r="D32" s="815">
        <f t="shared" si="4"/>
        <v>48395</v>
      </c>
      <c r="E32" s="800">
        <f t="shared" si="5"/>
        <v>1</v>
      </c>
      <c r="F32" s="800">
        <f t="shared" si="10"/>
        <v>2</v>
      </c>
      <c r="G32" s="816" t="str">
        <f>IF($E$12="NO",G31+1,
IF(OR(D32&lt;$F$8,D32&gt;$F$9),MAX($G$26:G31)+1,""))</f>
        <v/>
      </c>
      <c r="H32" s="809">
        <f t="shared" si="6"/>
        <v>87227575.885427773</v>
      </c>
      <c r="I32" s="809">
        <f t="shared" si="7"/>
        <v>-417965.46778434142</v>
      </c>
      <c r="J32" s="817">
        <f t="shared" si="8"/>
        <v>0</v>
      </c>
      <c r="K32" s="809">
        <f t="shared" si="2"/>
        <v>-417965.46778434142</v>
      </c>
      <c r="L32" s="791">
        <f t="shared" si="3"/>
        <v>87227575.885427773</v>
      </c>
    </row>
    <row r="33" spans="3:12">
      <c r="C33" s="814">
        <f t="shared" si="9"/>
        <v>7</v>
      </c>
      <c r="D33" s="815">
        <f t="shared" si="4"/>
        <v>48426</v>
      </c>
      <c r="E33" s="800">
        <f t="shared" si="5"/>
        <v>1</v>
      </c>
      <c r="F33" s="800">
        <f t="shared" si="10"/>
        <v>3</v>
      </c>
      <c r="G33" s="816" t="str">
        <f>IF($E$12="NO",G32+1,
IF(OR(D33&lt;$F$8,D33&gt;$F$9),MAX($G$26:G32)+1,""))</f>
        <v/>
      </c>
      <c r="H33" s="809">
        <f t="shared" si="6"/>
        <v>87227575.885427773</v>
      </c>
      <c r="I33" s="809">
        <f t="shared" si="7"/>
        <v>-417965.46778434142</v>
      </c>
      <c r="J33" s="817">
        <f t="shared" si="8"/>
        <v>0</v>
      </c>
      <c r="K33" s="809">
        <f t="shared" si="2"/>
        <v>-417965.46778434142</v>
      </c>
      <c r="L33" s="791">
        <f t="shared" si="3"/>
        <v>87227575.885427773</v>
      </c>
    </row>
    <row r="34" spans="3:12">
      <c r="C34" s="814">
        <f t="shared" si="9"/>
        <v>8</v>
      </c>
      <c r="D34" s="815">
        <f t="shared" si="4"/>
        <v>48457</v>
      </c>
      <c r="E34" s="800">
        <f t="shared" si="5"/>
        <v>1</v>
      </c>
      <c r="F34" s="800">
        <f t="shared" si="10"/>
        <v>3</v>
      </c>
      <c r="G34" s="816" t="str">
        <f>IF($E$12="NO",G33+1,
IF(OR(D34&lt;$F$8,D34&gt;$F$9),MAX($G$26:G33)+1,""))</f>
        <v/>
      </c>
      <c r="H34" s="809">
        <f t="shared" si="6"/>
        <v>87227575.885427773</v>
      </c>
      <c r="I34" s="809">
        <f t="shared" si="7"/>
        <v>-417965.46778434142</v>
      </c>
      <c r="J34" s="817">
        <f t="shared" si="8"/>
        <v>0</v>
      </c>
      <c r="K34" s="809">
        <f t="shared" si="2"/>
        <v>-417965.46778434142</v>
      </c>
      <c r="L34" s="791">
        <f t="shared" si="3"/>
        <v>87227575.885427773</v>
      </c>
    </row>
    <row r="35" spans="3:12">
      <c r="C35" s="814">
        <f t="shared" si="9"/>
        <v>9</v>
      </c>
      <c r="D35" s="815">
        <f t="shared" si="4"/>
        <v>48487</v>
      </c>
      <c r="E35" s="800">
        <f t="shared" si="5"/>
        <v>1</v>
      </c>
      <c r="F35" s="800">
        <f t="shared" si="10"/>
        <v>3</v>
      </c>
      <c r="G35" s="816" t="str">
        <f>IF($E$12="NO",G34+1,
IF(OR(D35&lt;$F$8,D35&gt;$F$9),MAX($G$26:G34)+1,""))</f>
        <v/>
      </c>
      <c r="H35" s="809">
        <f t="shared" si="6"/>
        <v>87227575.885427773</v>
      </c>
      <c r="I35" s="809">
        <f t="shared" si="7"/>
        <v>-417965.46778434142</v>
      </c>
      <c r="J35" s="817">
        <f t="shared" si="8"/>
        <v>0</v>
      </c>
      <c r="K35" s="809">
        <f t="shared" si="2"/>
        <v>-417965.46778434142</v>
      </c>
      <c r="L35" s="791">
        <f t="shared" si="3"/>
        <v>87227575.885427773</v>
      </c>
    </row>
    <row r="36" spans="3:12">
      <c r="C36" s="814">
        <f t="shared" si="9"/>
        <v>10</v>
      </c>
      <c r="D36" s="815">
        <f t="shared" si="4"/>
        <v>48518</v>
      </c>
      <c r="E36" s="800">
        <f t="shared" si="5"/>
        <v>1</v>
      </c>
      <c r="F36" s="800">
        <f t="shared" si="10"/>
        <v>4</v>
      </c>
      <c r="G36" s="816" t="str">
        <f>IF($E$12="NO",G35+1,
IF(OR(D36&lt;$F$8,D36&gt;$F$9),MAX($G$26:G35)+1,""))</f>
        <v/>
      </c>
      <c r="H36" s="809">
        <f t="shared" si="6"/>
        <v>87227575.885427773</v>
      </c>
      <c r="I36" s="809">
        <f t="shared" si="7"/>
        <v>-417965.46778434142</v>
      </c>
      <c r="J36" s="817">
        <f t="shared" si="8"/>
        <v>0</v>
      </c>
      <c r="K36" s="809">
        <f t="shared" si="2"/>
        <v>-417965.46778434142</v>
      </c>
      <c r="L36" s="791">
        <f t="shared" si="3"/>
        <v>87227575.885427773</v>
      </c>
    </row>
    <row r="37" spans="3:12">
      <c r="C37" s="814">
        <f t="shared" si="9"/>
        <v>11</v>
      </c>
      <c r="D37" s="815">
        <f t="shared" si="4"/>
        <v>48548</v>
      </c>
      <c r="E37" s="800">
        <f t="shared" si="5"/>
        <v>1</v>
      </c>
      <c r="F37" s="800">
        <f t="shared" si="10"/>
        <v>4</v>
      </c>
      <c r="G37" s="816" t="str">
        <f>IF($E$12="NO",G36+1,
IF(OR(D37&lt;$F$8,D37&gt;$F$9),MAX($G$26:G36)+1,""))</f>
        <v/>
      </c>
      <c r="H37" s="809">
        <f t="shared" si="6"/>
        <v>87227575.885427773</v>
      </c>
      <c r="I37" s="809">
        <f t="shared" si="7"/>
        <v>-417965.46778434142</v>
      </c>
      <c r="J37" s="817">
        <f t="shared" si="8"/>
        <v>0</v>
      </c>
      <c r="K37" s="809">
        <f t="shared" si="2"/>
        <v>-417965.46778434142</v>
      </c>
      <c r="L37" s="791">
        <f t="shared" si="3"/>
        <v>87227575.885427773</v>
      </c>
    </row>
    <row r="38" spans="3:12">
      <c r="C38" s="814">
        <f t="shared" si="9"/>
        <v>12</v>
      </c>
      <c r="D38" s="815">
        <f t="shared" si="4"/>
        <v>48579</v>
      </c>
      <c r="E38" s="800">
        <f t="shared" si="5"/>
        <v>1</v>
      </c>
      <c r="F38" s="800">
        <f t="shared" si="10"/>
        <v>4</v>
      </c>
      <c r="G38" s="816" t="str">
        <f>IF($E$12="NO",G37+1,
IF(OR(D38&lt;$F$8,D38&gt;$F$9),MAX($G$26:G37)+1,""))</f>
        <v/>
      </c>
      <c r="H38" s="809">
        <f t="shared" si="6"/>
        <v>87227575.885427773</v>
      </c>
      <c r="I38" s="809">
        <f t="shared" si="7"/>
        <v>-417965.46778434142</v>
      </c>
      <c r="J38" s="817">
        <f t="shared" si="8"/>
        <v>0</v>
      </c>
      <c r="K38" s="809">
        <f t="shared" si="2"/>
        <v>-417965.46778434142</v>
      </c>
      <c r="L38" s="791">
        <f t="shared" si="3"/>
        <v>87227575.885427773</v>
      </c>
    </row>
    <row r="39" spans="3:12">
      <c r="C39" s="814">
        <f t="shared" si="9"/>
        <v>13</v>
      </c>
      <c r="D39" s="815">
        <f t="shared" si="4"/>
        <v>48610</v>
      </c>
      <c r="E39" s="800">
        <f t="shared" si="5"/>
        <v>2</v>
      </c>
      <c r="F39" s="800">
        <f t="shared" si="10"/>
        <v>1</v>
      </c>
      <c r="G39" s="816">
        <f>IF($E$12="NO",G38+1,
IF(OR(D39&lt;$F$8,D39&gt;$F$9),MAX($G$26:G38)+1,""))</f>
        <v>1</v>
      </c>
      <c r="H39" s="809">
        <f t="shared" si="6"/>
        <v>87227575.885427773</v>
      </c>
      <c r="I39" s="809">
        <f t="shared" si="7"/>
        <v>-417965.46778434142</v>
      </c>
      <c r="J39" s="817">
        <f t="shared" si="8"/>
        <v>-91070.988416717169</v>
      </c>
      <c r="K39" s="809">
        <f t="shared" si="2"/>
        <v>-509036.45620105858</v>
      </c>
      <c r="L39" s="791">
        <f t="shared" si="3"/>
        <v>87136504.897011057</v>
      </c>
    </row>
    <row r="40" spans="3:12">
      <c r="C40" s="814">
        <f t="shared" si="9"/>
        <v>14</v>
      </c>
      <c r="D40" s="815">
        <f t="shared" si="4"/>
        <v>48638</v>
      </c>
      <c r="E40" s="800">
        <f t="shared" si="5"/>
        <v>2</v>
      </c>
      <c r="F40" s="800">
        <f t="shared" si="10"/>
        <v>1</v>
      </c>
      <c r="G40" s="816">
        <f>IF($E$12="NO",G39+1,
IF(OR(D40&lt;$F$8,D40&gt;$F$9),MAX($G$26:G39)+1,""))</f>
        <v>2</v>
      </c>
      <c r="H40" s="809">
        <f t="shared" si="6"/>
        <v>87136504.897011057</v>
      </c>
      <c r="I40" s="809">
        <f t="shared" si="7"/>
        <v>-417529.08596484462</v>
      </c>
      <c r="J40" s="817">
        <f t="shared" si="8"/>
        <v>-91507.370236213916</v>
      </c>
      <c r="K40" s="809">
        <f t="shared" si="2"/>
        <v>-509036.45620105852</v>
      </c>
      <c r="L40" s="791">
        <f t="shared" si="3"/>
        <v>87044997.526774839</v>
      </c>
    </row>
    <row r="41" spans="3:12">
      <c r="C41" s="814">
        <f t="shared" si="9"/>
        <v>15</v>
      </c>
      <c r="D41" s="815">
        <f t="shared" si="4"/>
        <v>48669</v>
      </c>
      <c r="E41" s="800">
        <f t="shared" si="5"/>
        <v>2</v>
      </c>
      <c r="F41" s="800">
        <f t="shared" si="10"/>
        <v>1</v>
      </c>
      <c r="G41" s="816">
        <f>IF($E$12="NO",G40+1,
IF(OR(D41&lt;$F$8,D41&gt;$F$9),MAX($G$26:G40)+1,""))</f>
        <v>3</v>
      </c>
      <c r="H41" s="809">
        <f t="shared" si="6"/>
        <v>87044997.526774839</v>
      </c>
      <c r="I41" s="809">
        <f t="shared" si="7"/>
        <v>-417090.61314912949</v>
      </c>
      <c r="J41" s="817">
        <f t="shared" si="8"/>
        <v>-91945.843051929129</v>
      </c>
      <c r="K41" s="809">
        <f t="shared" si="2"/>
        <v>-509036.45620105864</v>
      </c>
      <c r="L41" s="791">
        <f t="shared" si="3"/>
        <v>86953051.683722913</v>
      </c>
    </row>
    <row r="42" spans="3:12">
      <c r="C42" s="814">
        <f t="shared" si="9"/>
        <v>16</v>
      </c>
      <c r="D42" s="815">
        <f t="shared" si="4"/>
        <v>48699</v>
      </c>
      <c r="E42" s="800">
        <f t="shared" si="5"/>
        <v>2</v>
      </c>
      <c r="F42" s="800">
        <f t="shared" si="10"/>
        <v>2</v>
      </c>
      <c r="G42" s="816">
        <f>IF($E$12="NO",G41+1,
IF(OR(D42&lt;$F$8,D42&gt;$F$9),MAX($G$26:G41)+1,""))</f>
        <v>4</v>
      </c>
      <c r="H42" s="809">
        <f t="shared" si="6"/>
        <v>86953051.683722913</v>
      </c>
      <c r="I42" s="809">
        <f t="shared" si="7"/>
        <v>-416650.03931783902</v>
      </c>
      <c r="J42" s="817">
        <f t="shared" si="8"/>
        <v>-92386.416883219645</v>
      </c>
      <c r="K42" s="809">
        <f t="shared" si="2"/>
        <v>-509036.4562010587</v>
      </c>
      <c r="L42" s="791">
        <f t="shared" si="3"/>
        <v>86860665.266839698</v>
      </c>
    </row>
    <row r="43" spans="3:12">
      <c r="C43" s="814">
        <f t="shared" si="9"/>
        <v>17</v>
      </c>
      <c r="D43" s="815">
        <f t="shared" si="4"/>
        <v>48730</v>
      </c>
      <c r="E43" s="800">
        <f t="shared" si="5"/>
        <v>2</v>
      </c>
      <c r="F43" s="800">
        <f t="shared" si="10"/>
        <v>2</v>
      </c>
      <c r="G43" s="816">
        <f>IF($E$12="NO",G42+1,
IF(OR(D43&lt;$F$8,D43&gt;$F$9),MAX($G$26:G42)+1,""))</f>
        <v>5</v>
      </c>
      <c r="H43" s="809">
        <f t="shared" si="6"/>
        <v>86860665.266839698</v>
      </c>
      <c r="I43" s="809">
        <f t="shared" si="7"/>
        <v>-416207.35440360691</v>
      </c>
      <c r="J43" s="817">
        <f t="shared" si="8"/>
        <v>-92829.101797451716</v>
      </c>
      <c r="K43" s="809">
        <f t="shared" si="2"/>
        <v>-509036.45620105864</v>
      </c>
      <c r="L43" s="791">
        <f t="shared" si="3"/>
        <v>86767836.165042251</v>
      </c>
    </row>
    <row r="44" spans="3:12">
      <c r="C44" s="814">
        <f t="shared" si="9"/>
        <v>18</v>
      </c>
      <c r="D44" s="815">
        <f t="shared" si="4"/>
        <v>48760</v>
      </c>
      <c r="E44" s="800">
        <f t="shared" si="5"/>
        <v>2</v>
      </c>
      <c r="F44" s="800">
        <f t="shared" si="10"/>
        <v>2</v>
      </c>
      <c r="G44" s="816">
        <f>IF($E$12="NO",G43+1,
IF(OR(D44&lt;$F$8,D44&gt;$F$9),MAX($G$26:G43)+1,""))</f>
        <v>6</v>
      </c>
      <c r="H44" s="809">
        <f t="shared" si="6"/>
        <v>86767836.165042251</v>
      </c>
      <c r="I44" s="809">
        <f t="shared" si="7"/>
        <v>-415762.54829082749</v>
      </c>
      <c r="J44" s="817">
        <f t="shared" si="8"/>
        <v>-93273.907910231166</v>
      </c>
      <c r="K44" s="809">
        <f t="shared" si="2"/>
        <v>-509036.45620105864</v>
      </c>
      <c r="L44" s="791">
        <f t="shared" si="3"/>
        <v>86674562.257132024</v>
      </c>
    </row>
    <row r="45" spans="3:12">
      <c r="C45" s="814">
        <f t="shared" si="9"/>
        <v>19</v>
      </c>
      <c r="D45" s="815">
        <f t="shared" si="4"/>
        <v>48791</v>
      </c>
      <c r="E45" s="800">
        <f t="shared" si="5"/>
        <v>2</v>
      </c>
      <c r="F45" s="800">
        <f t="shared" si="10"/>
        <v>3</v>
      </c>
      <c r="G45" s="816">
        <f>IF($E$12="NO",G44+1,
IF(OR(D45&lt;$F$8,D45&gt;$F$9),MAX($G$26:G44)+1,""))</f>
        <v>7</v>
      </c>
      <c r="H45" s="809">
        <f t="shared" si="6"/>
        <v>86674562.257132024</v>
      </c>
      <c r="I45" s="809">
        <f t="shared" si="7"/>
        <v>-415315.6108154243</v>
      </c>
      <c r="J45" s="817">
        <f t="shared" si="8"/>
        <v>-93720.845385634369</v>
      </c>
      <c r="K45" s="809">
        <f t="shared" si="2"/>
        <v>-509036.4562010587</v>
      </c>
      <c r="L45" s="791">
        <f t="shared" si="3"/>
        <v>86580841.411746383</v>
      </c>
    </row>
    <row r="46" spans="3:12">
      <c r="C46" s="814">
        <f t="shared" si="9"/>
        <v>20</v>
      </c>
      <c r="D46" s="815">
        <f t="shared" si="4"/>
        <v>48822</v>
      </c>
      <c r="E46" s="800">
        <f t="shared" si="5"/>
        <v>2</v>
      </c>
      <c r="F46" s="800">
        <f t="shared" si="10"/>
        <v>3</v>
      </c>
      <c r="G46" s="816">
        <f>IF($E$12="NO",G45+1,
IF(OR(D46&lt;$F$8,D46&gt;$F$9),MAX($G$26:G45)+1,""))</f>
        <v>8</v>
      </c>
      <c r="H46" s="809">
        <f t="shared" si="6"/>
        <v>86580841.411746383</v>
      </c>
      <c r="I46" s="809">
        <f t="shared" si="7"/>
        <v>-414866.53176461812</v>
      </c>
      <c r="J46" s="817">
        <f t="shared" si="8"/>
        <v>-94169.924436440517</v>
      </c>
      <c r="K46" s="809">
        <f t="shared" si="2"/>
        <v>-509036.45620105864</v>
      </c>
      <c r="L46" s="791">
        <f t="shared" si="3"/>
        <v>86486671.487309948</v>
      </c>
    </row>
    <row r="47" spans="3:12">
      <c r="C47" s="814">
        <f t="shared" si="9"/>
        <v>21</v>
      </c>
      <c r="D47" s="815">
        <f t="shared" si="4"/>
        <v>48852</v>
      </c>
      <c r="E47" s="800">
        <f t="shared" si="5"/>
        <v>2</v>
      </c>
      <c r="F47" s="800">
        <f t="shared" si="10"/>
        <v>3</v>
      </c>
      <c r="G47" s="816">
        <f>IF($E$12="NO",G46+1,
IF(OR(D47&lt;$F$8,D47&gt;$F$9),MAX($G$26:G46)+1,""))</f>
        <v>9</v>
      </c>
      <c r="H47" s="809">
        <f t="shared" si="6"/>
        <v>86486671.487309948</v>
      </c>
      <c r="I47" s="809">
        <f t="shared" si="7"/>
        <v>-414415.30087669351</v>
      </c>
      <c r="J47" s="817">
        <f t="shared" si="8"/>
        <v>-94621.155324365143</v>
      </c>
      <c r="K47" s="809">
        <f t="shared" si="2"/>
        <v>-509036.45620105864</v>
      </c>
      <c r="L47" s="791">
        <f t="shared" si="3"/>
        <v>86392050.331985578</v>
      </c>
    </row>
    <row r="48" spans="3:12">
      <c r="C48" s="814">
        <f t="shared" si="9"/>
        <v>22</v>
      </c>
      <c r="D48" s="815">
        <f t="shared" si="4"/>
        <v>48883</v>
      </c>
      <c r="E48" s="800">
        <f t="shared" si="5"/>
        <v>2</v>
      </c>
      <c r="F48" s="800">
        <f t="shared" si="10"/>
        <v>4</v>
      </c>
      <c r="G48" s="816">
        <f>IF($E$12="NO",G47+1,
IF(OR(D48&lt;$F$8,D48&gt;$F$9),MAX($G$26:G47)+1,""))</f>
        <v>10</v>
      </c>
      <c r="H48" s="809">
        <f t="shared" si="6"/>
        <v>86392050.331985578</v>
      </c>
      <c r="I48" s="809">
        <f t="shared" si="7"/>
        <v>-413961.90784076421</v>
      </c>
      <c r="J48" s="817">
        <f t="shared" si="8"/>
        <v>-95074.548360294386</v>
      </c>
      <c r="K48" s="809">
        <f t="shared" si="2"/>
        <v>-509036.45620105858</v>
      </c>
      <c r="L48" s="791">
        <f t="shared" si="3"/>
        <v>86296975.78362529</v>
      </c>
    </row>
    <row r="49" spans="3:12">
      <c r="C49" s="814">
        <f t="shared" si="9"/>
        <v>23</v>
      </c>
      <c r="D49" s="815">
        <f t="shared" si="4"/>
        <v>48913</v>
      </c>
      <c r="E49" s="800">
        <f t="shared" si="5"/>
        <v>2</v>
      </c>
      <c r="F49" s="800">
        <f t="shared" si="10"/>
        <v>4</v>
      </c>
      <c r="G49" s="816">
        <f>IF($E$12="NO",G48+1,
IF(OR(D49&lt;$F$8,D49&gt;$F$9),MAX($G$26:G48)+1,""))</f>
        <v>11</v>
      </c>
      <c r="H49" s="809">
        <f t="shared" si="6"/>
        <v>86296975.78362529</v>
      </c>
      <c r="I49" s="809">
        <f t="shared" si="7"/>
        <v>-413506.34229653788</v>
      </c>
      <c r="J49" s="817">
        <f t="shared" si="8"/>
        <v>-95530.113904520796</v>
      </c>
      <c r="K49" s="809">
        <f t="shared" si="2"/>
        <v>-509036.4562010587</v>
      </c>
      <c r="L49" s="791">
        <f t="shared" si="3"/>
        <v>86201445.669720769</v>
      </c>
    </row>
    <row r="50" spans="3:12">
      <c r="C50" s="814">
        <f t="shared" si="9"/>
        <v>24</v>
      </c>
      <c r="D50" s="815">
        <f t="shared" si="4"/>
        <v>48944</v>
      </c>
      <c r="E50" s="800">
        <f t="shared" si="5"/>
        <v>2</v>
      </c>
      <c r="F50" s="800">
        <f t="shared" si="10"/>
        <v>4</v>
      </c>
      <c r="G50" s="816">
        <f>IF($E$12="NO",G49+1,
IF(OR(D50&lt;$F$8,D50&gt;$F$9),MAX($G$26:G49)+1,""))</f>
        <v>12</v>
      </c>
      <c r="H50" s="809">
        <f t="shared" si="6"/>
        <v>86201445.669720769</v>
      </c>
      <c r="I50" s="809">
        <f t="shared" si="7"/>
        <v>-413048.5938340787</v>
      </c>
      <c r="J50" s="817">
        <f t="shared" si="8"/>
        <v>-95987.862366979956</v>
      </c>
      <c r="K50" s="809">
        <f t="shared" si="2"/>
        <v>-509036.45620105864</v>
      </c>
      <c r="L50" s="791">
        <f t="shared" si="3"/>
        <v>86105457.807353795</v>
      </c>
    </row>
    <row r="51" spans="3:12">
      <c r="C51" s="814">
        <f t="shared" si="9"/>
        <v>25</v>
      </c>
      <c r="D51" s="815">
        <f t="shared" si="4"/>
        <v>48975</v>
      </c>
      <c r="E51" s="800">
        <f t="shared" si="5"/>
        <v>3</v>
      </c>
      <c r="F51" s="800">
        <f t="shared" si="10"/>
        <v>1</v>
      </c>
      <c r="G51" s="816">
        <f>IF($E$12="NO",G50+1,
IF(OR(D51&lt;$F$8,D51&gt;$F$9),MAX($G$26:G50)+1,""))</f>
        <v>13</v>
      </c>
      <c r="H51" s="809">
        <f t="shared" si="6"/>
        <v>86105457.807353795</v>
      </c>
      <c r="I51" s="809">
        <f t="shared" si="7"/>
        <v>-412588.65199357033</v>
      </c>
      <c r="J51" s="817">
        <f t="shared" si="8"/>
        <v>-96447.804207488414</v>
      </c>
      <c r="K51" s="809">
        <f t="shared" si="2"/>
        <v>-509036.45620105875</v>
      </c>
      <c r="L51" s="791">
        <f t="shared" si="3"/>
        <v>86009010.003146306</v>
      </c>
    </row>
    <row r="52" spans="3:12">
      <c r="C52" s="814">
        <f t="shared" si="9"/>
        <v>26</v>
      </c>
      <c r="D52" s="815">
        <f t="shared" si="4"/>
        <v>49003</v>
      </c>
      <c r="E52" s="800">
        <f t="shared" si="5"/>
        <v>3</v>
      </c>
      <c r="F52" s="800">
        <f t="shared" si="10"/>
        <v>1</v>
      </c>
      <c r="G52" s="816">
        <f>IF($E$12="NO",G51+1,
IF(OR(D52&lt;$F$8,D52&gt;$F$9),MAX($G$26:G51)+1,""))</f>
        <v>14</v>
      </c>
      <c r="H52" s="809">
        <f t="shared" si="6"/>
        <v>86009010.003146306</v>
      </c>
      <c r="I52" s="809">
        <f t="shared" si="7"/>
        <v>-412126.50626507605</v>
      </c>
      <c r="J52" s="817">
        <f t="shared" si="8"/>
        <v>-96909.949935982644</v>
      </c>
      <c r="K52" s="809">
        <f t="shared" si="2"/>
        <v>-509036.4562010587</v>
      </c>
      <c r="L52" s="791">
        <f t="shared" si="3"/>
        <v>85912100.053210318</v>
      </c>
    </row>
    <row r="53" spans="3:12">
      <c r="C53" s="814">
        <f t="shared" si="9"/>
        <v>27</v>
      </c>
      <c r="D53" s="815">
        <f t="shared" si="4"/>
        <v>49034</v>
      </c>
      <c r="E53" s="800">
        <f t="shared" si="5"/>
        <v>3</v>
      </c>
      <c r="F53" s="800">
        <f t="shared" si="10"/>
        <v>1</v>
      </c>
      <c r="G53" s="816">
        <f>IF($E$12="NO",G52+1,
IF(OR(D53&lt;$F$8,D53&gt;$F$9),MAX($G$26:G52)+1,""))</f>
        <v>15</v>
      </c>
      <c r="H53" s="809">
        <f t="shared" si="6"/>
        <v>85912100.053210318</v>
      </c>
      <c r="I53" s="809">
        <f t="shared" si="7"/>
        <v>-411662.14608829952</v>
      </c>
      <c r="J53" s="817">
        <f t="shared" si="8"/>
        <v>-97374.310112759209</v>
      </c>
      <c r="K53" s="809">
        <f t="shared" si="2"/>
        <v>-509036.4562010587</v>
      </c>
      <c r="L53" s="791">
        <f t="shared" si="3"/>
        <v>85814725.743097559</v>
      </c>
    </row>
    <row r="54" spans="3:12">
      <c r="C54" s="814">
        <f t="shared" si="9"/>
        <v>28</v>
      </c>
      <c r="D54" s="815">
        <f t="shared" si="4"/>
        <v>49064</v>
      </c>
      <c r="E54" s="800">
        <f t="shared" si="5"/>
        <v>3</v>
      </c>
      <c r="F54" s="800">
        <f t="shared" si="10"/>
        <v>2</v>
      </c>
      <c r="G54" s="816">
        <f>IF($E$12="NO",G53+1,
IF(OR(D54&lt;$F$8,D54&gt;$F$9),MAX($G$26:G53)+1,""))</f>
        <v>16</v>
      </c>
      <c r="H54" s="809">
        <f t="shared" si="6"/>
        <v>85814725.743097559</v>
      </c>
      <c r="I54" s="809">
        <f t="shared" si="7"/>
        <v>-411195.56085234252</v>
      </c>
      <c r="J54" s="817">
        <f t="shared" si="8"/>
        <v>-97840.895348716193</v>
      </c>
      <c r="K54" s="809">
        <f t="shared" si="2"/>
        <v>-509036.4562010587</v>
      </c>
      <c r="L54" s="791">
        <f t="shared" si="3"/>
        <v>85716884.847748846</v>
      </c>
    </row>
    <row r="55" spans="3:12">
      <c r="C55" s="814">
        <f t="shared" si="9"/>
        <v>29</v>
      </c>
      <c r="D55" s="815">
        <f t="shared" si="4"/>
        <v>49095</v>
      </c>
      <c r="E55" s="800">
        <f t="shared" si="5"/>
        <v>3</v>
      </c>
      <c r="F55" s="800">
        <f t="shared" si="10"/>
        <v>2</v>
      </c>
      <c r="G55" s="816">
        <f>IF($E$12="NO",G54+1,
IF(OR(D55&lt;$F$8,D55&gt;$F$9),MAX($G$26:G54)+1,""))</f>
        <v>17</v>
      </c>
      <c r="H55" s="809">
        <f t="shared" si="6"/>
        <v>85716884.847748846</v>
      </c>
      <c r="I55" s="809">
        <f t="shared" si="7"/>
        <v>-410726.73989546322</v>
      </c>
      <c r="J55" s="817">
        <f t="shared" si="8"/>
        <v>-98309.716305595459</v>
      </c>
      <c r="K55" s="809">
        <f t="shared" si="2"/>
        <v>-509036.4562010587</v>
      </c>
      <c r="L55" s="791">
        <f t="shared" si="3"/>
        <v>85618575.131443247</v>
      </c>
    </row>
    <row r="56" spans="3:12">
      <c r="C56" s="814">
        <f t="shared" si="9"/>
        <v>30</v>
      </c>
      <c r="D56" s="815">
        <f t="shared" si="4"/>
        <v>49125</v>
      </c>
      <c r="E56" s="800">
        <f t="shared" si="5"/>
        <v>3</v>
      </c>
      <c r="F56" s="800">
        <f t="shared" si="10"/>
        <v>2</v>
      </c>
      <c r="G56" s="816">
        <f>IF($E$12="NO",G55+1,
IF(OR(D56&lt;$F$8,D56&gt;$F$9),MAX($G$26:G55)+1,""))</f>
        <v>18</v>
      </c>
      <c r="H56" s="809">
        <f t="shared" si="6"/>
        <v>85618575.131443247</v>
      </c>
      <c r="I56" s="809">
        <f t="shared" si="7"/>
        <v>-410255.67250483227</v>
      </c>
      <c r="J56" s="817">
        <f t="shared" si="8"/>
        <v>-98780.783696226426</v>
      </c>
      <c r="K56" s="809">
        <f t="shared" si="2"/>
        <v>-509036.4562010587</v>
      </c>
      <c r="L56" s="791">
        <f t="shared" si="3"/>
        <v>85519794.347747028</v>
      </c>
    </row>
    <row r="57" spans="3:12">
      <c r="C57" s="814">
        <f t="shared" si="9"/>
        <v>31</v>
      </c>
      <c r="D57" s="815">
        <f t="shared" si="4"/>
        <v>49156</v>
      </c>
      <c r="E57" s="800">
        <f t="shared" si="5"/>
        <v>3</v>
      </c>
      <c r="F57" s="800">
        <f t="shared" si="10"/>
        <v>3</v>
      </c>
      <c r="G57" s="816">
        <f>IF($E$12="NO",G56+1,
IF(OR(D57&lt;$F$8,D57&gt;$F$9),MAX($G$26:G56)+1,""))</f>
        <v>19</v>
      </c>
      <c r="H57" s="809">
        <f t="shared" si="6"/>
        <v>85519794.347747028</v>
      </c>
      <c r="I57" s="809">
        <f t="shared" si="7"/>
        <v>-409782.34791628784</v>
      </c>
      <c r="J57" s="817">
        <f t="shared" si="8"/>
        <v>-99254.108284770846</v>
      </c>
      <c r="K57" s="809">
        <f t="shared" si="2"/>
        <v>-509036.4562010587</v>
      </c>
      <c r="L57" s="791">
        <f t="shared" si="3"/>
        <v>85420540.239462256</v>
      </c>
    </row>
    <row r="58" spans="3:12">
      <c r="C58" s="814">
        <f t="shared" si="9"/>
        <v>32</v>
      </c>
      <c r="D58" s="815">
        <f t="shared" si="4"/>
        <v>49187</v>
      </c>
      <c r="E58" s="800">
        <f t="shared" si="5"/>
        <v>3</v>
      </c>
      <c r="F58" s="800">
        <f t="shared" si="10"/>
        <v>3</v>
      </c>
      <c r="G58" s="816">
        <f>IF($E$12="NO",G57+1,
IF(OR(D58&lt;$F$8,D58&gt;$F$9),MAX($G$26:G57)+1,""))</f>
        <v>20</v>
      </c>
      <c r="H58" s="809">
        <f t="shared" si="6"/>
        <v>85420540.239462256</v>
      </c>
      <c r="I58" s="809">
        <f t="shared" si="7"/>
        <v>-409306.75531409</v>
      </c>
      <c r="J58" s="817">
        <f t="shared" si="8"/>
        <v>-99729.700886968712</v>
      </c>
      <c r="K58" s="809">
        <f t="shared" si="2"/>
        <v>-509036.4562010587</v>
      </c>
      <c r="L58" s="791">
        <f t="shared" ref="L58:L86" si="11">IF(C58=0,$E$4,H58+J58)</f>
        <v>85320810.538575292</v>
      </c>
    </row>
    <row r="59" spans="3:12">
      <c r="C59" s="814">
        <f t="shared" si="9"/>
        <v>33</v>
      </c>
      <c r="D59" s="815">
        <f t="shared" ref="D59:D86" si="12">EOMONTH($E$5,C59-1)</f>
        <v>49217</v>
      </c>
      <c r="E59" s="800">
        <f t="shared" si="5"/>
        <v>3</v>
      </c>
      <c r="F59" s="800">
        <f t="shared" si="10"/>
        <v>3</v>
      </c>
      <c r="G59" s="816">
        <f>IF($E$12="NO",G58+1,
IF(OR(D59&lt;$F$8,D59&gt;$F$9),MAX($G$26:G58)+1,""))</f>
        <v>21</v>
      </c>
      <c r="H59" s="809">
        <f t="shared" ref="H59:H86" si="13">IF(OR(E59&gt;$E$6,C59&gt;$E$14),0,L58)</f>
        <v>85320810.538575292</v>
      </c>
      <c r="I59" s="809">
        <f t="shared" ref="I59:I86" si="14">IF(OR(E59&gt;$E$6*12,C59&gt;$E$14),0,-H59*$E$10/12)</f>
        <v>-408828.88383067329</v>
      </c>
      <c r="J59" s="817">
        <f t="shared" ref="J59:J86" si="15">IF(OR(E59&gt;$E$6,C59&gt;$E$14),0,
IF(AND($E$8&lt;&gt;OR(0,""),$E$9&lt;&gt;OR(0,""),C59&gt;=$E$8,C59&lt;=$E$9),0,PPMT($E$10/12,IF($E$12="YES",G59,C59),$E$7,$E$4)))</f>
        <v>-100207.57237038543</v>
      </c>
      <c r="K59" s="809">
        <f t="shared" si="2"/>
        <v>-509036.4562010587</v>
      </c>
      <c r="L59" s="791">
        <f t="shared" si="11"/>
        <v>85220602.966204911</v>
      </c>
    </row>
    <row r="60" spans="3:12">
      <c r="C60" s="814">
        <f t="shared" si="9"/>
        <v>34</v>
      </c>
      <c r="D60" s="815">
        <f t="shared" si="12"/>
        <v>49248</v>
      </c>
      <c r="E60" s="800">
        <f t="shared" si="5"/>
        <v>3</v>
      </c>
      <c r="F60" s="800">
        <f t="shared" si="10"/>
        <v>4</v>
      </c>
      <c r="G60" s="816">
        <f>IF($E$12="NO",G59+1,
IF(OR(D60&lt;$F$8,D60&gt;$F$9),MAX($G$26:G59)+1,""))</f>
        <v>22</v>
      </c>
      <c r="H60" s="809">
        <f t="shared" si="13"/>
        <v>85220602.966204911</v>
      </c>
      <c r="I60" s="809">
        <f t="shared" si="14"/>
        <v>-408348.72254639858</v>
      </c>
      <c r="J60" s="817">
        <f t="shared" si="15"/>
        <v>-100687.73365466019</v>
      </c>
      <c r="K60" s="809">
        <f t="shared" si="2"/>
        <v>-509036.45620105875</v>
      </c>
      <c r="L60" s="791">
        <f t="shared" si="11"/>
        <v>85119915.232550249</v>
      </c>
    </row>
    <row r="61" spans="3:12">
      <c r="C61" s="814">
        <f t="shared" si="9"/>
        <v>35</v>
      </c>
      <c r="D61" s="815">
        <f t="shared" si="12"/>
        <v>49278</v>
      </c>
      <c r="E61" s="800">
        <f t="shared" si="5"/>
        <v>3</v>
      </c>
      <c r="F61" s="800">
        <f t="shared" si="10"/>
        <v>4</v>
      </c>
      <c r="G61" s="816">
        <f>IF($E$12="NO",G60+1,
IF(OR(D61&lt;$F$8,D61&gt;$F$9),MAX($G$26:G60)+1,""))</f>
        <v>23</v>
      </c>
      <c r="H61" s="809">
        <f t="shared" si="13"/>
        <v>85119915.232550249</v>
      </c>
      <c r="I61" s="809">
        <f t="shared" si="14"/>
        <v>-407866.26048930333</v>
      </c>
      <c r="J61" s="817">
        <f t="shared" si="15"/>
        <v>-101170.19571175544</v>
      </c>
      <c r="K61" s="809">
        <f t="shared" si="2"/>
        <v>-509036.45620105875</v>
      </c>
      <c r="L61" s="791">
        <f t="shared" si="11"/>
        <v>85018745.036838487</v>
      </c>
    </row>
    <row r="62" spans="3:12">
      <c r="C62" s="814">
        <f t="shared" si="9"/>
        <v>36</v>
      </c>
      <c r="D62" s="815">
        <f t="shared" si="12"/>
        <v>49309</v>
      </c>
      <c r="E62" s="800">
        <f t="shared" si="5"/>
        <v>3</v>
      </c>
      <c r="F62" s="800">
        <f t="shared" si="10"/>
        <v>4</v>
      </c>
      <c r="G62" s="816">
        <f>IF($E$12="NO",G61+1,
IF(OR(D62&lt;$F$8,D62&gt;$F$9),MAX($G$26:G61)+1,""))</f>
        <v>24</v>
      </c>
      <c r="H62" s="809">
        <f t="shared" si="13"/>
        <v>85018745.036838487</v>
      </c>
      <c r="I62" s="809">
        <f t="shared" si="14"/>
        <v>-407381.48663485114</v>
      </c>
      <c r="J62" s="817">
        <f t="shared" si="15"/>
        <v>-101654.9695662076</v>
      </c>
      <c r="K62" s="809">
        <f t="shared" si="2"/>
        <v>-509036.45620105875</v>
      </c>
      <c r="L62" s="791">
        <f t="shared" si="11"/>
        <v>84917090.067272276</v>
      </c>
    </row>
    <row r="63" spans="3:12">
      <c r="C63" s="814">
        <f t="shared" si="9"/>
        <v>37</v>
      </c>
      <c r="D63" s="815">
        <f t="shared" si="12"/>
        <v>49340</v>
      </c>
      <c r="E63" s="800">
        <f t="shared" si="5"/>
        <v>4</v>
      </c>
      <c r="F63" s="800">
        <f t="shared" si="10"/>
        <v>1</v>
      </c>
      <c r="G63" s="816">
        <f>IF($E$12="NO",G62+1,
IF(OR(D63&lt;$F$8,D63&gt;$F$9),MAX($G$26:G62)+1,""))</f>
        <v>25</v>
      </c>
      <c r="H63" s="809">
        <f t="shared" si="13"/>
        <v>84917090.067272276</v>
      </c>
      <c r="I63" s="809">
        <f t="shared" si="14"/>
        <v>-406894.38990567968</v>
      </c>
      <c r="J63" s="817">
        <f t="shared" si="15"/>
        <v>-102142.06629537902</v>
      </c>
      <c r="K63" s="809">
        <f t="shared" si="2"/>
        <v>-509036.4562010587</v>
      </c>
      <c r="L63" s="791">
        <f t="shared" si="11"/>
        <v>84814948.00097689</v>
      </c>
    </row>
    <row r="64" spans="3:12">
      <c r="C64" s="814">
        <f t="shared" si="9"/>
        <v>38</v>
      </c>
      <c r="D64" s="815">
        <f t="shared" si="12"/>
        <v>49368</v>
      </c>
      <c r="E64" s="800">
        <f t="shared" si="5"/>
        <v>4</v>
      </c>
      <c r="F64" s="800">
        <f t="shared" si="10"/>
        <v>1</v>
      </c>
      <c r="G64" s="816">
        <f>IF($E$12="NO",G63+1,
IF(OR(D64&lt;$F$8,D64&gt;$F$9),MAX($G$26:G63)+1,""))</f>
        <v>26</v>
      </c>
      <c r="H64" s="809">
        <f t="shared" si="13"/>
        <v>84814948.00097689</v>
      </c>
      <c r="I64" s="809">
        <f t="shared" si="14"/>
        <v>-406404.95917134761</v>
      </c>
      <c r="J64" s="817">
        <f t="shared" si="15"/>
        <v>-102631.49702971104</v>
      </c>
      <c r="K64" s="809">
        <f t="shared" si="2"/>
        <v>-509036.45620105864</v>
      </c>
      <c r="L64" s="791">
        <f t="shared" si="11"/>
        <v>84712316.503947183</v>
      </c>
    </row>
    <row r="65" spans="3:12">
      <c r="C65" s="814">
        <f t="shared" si="9"/>
        <v>39</v>
      </c>
      <c r="D65" s="815">
        <f t="shared" si="12"/>
        <v>49399</v>
      </c>
      <c r="E65" s="800">
        <f t="shared" si="5"/>
        <v>4</v>
      </c>
      <c r="F65" s="800">
        <f t="shared" si="10"/>
        <v>1</v>
      </c>
      <c r="G65" s="816">
        <f>IF($E$12="NO",G64+1,
IF(OR(D65&lt;$F$8,D65&gt;$F$9),MAX($G$26:G64)+1,""))</f>
        <v>27</v>
      </c>
      <c r="H65" s="809">
        <f t="shared" si="13"/>
        <v>84712316.503947183</v>
      </c>
      <c r="I65" s="809">
        <f t="shared" si="14"/>
        <v>-405913.18324808025</v>
      </c>
      <c r="J65" s="817">
        <f t="shared" si="15"/>
        <v>-103123.27295297838</v>
      </c>
      <c r="K65" s="809">
        <f t="shared" si="2"/>
        <v>-509036.45620105864</v>
      </c>
      <c r="L65" s="791">
        <f t="shared" si="11"/>
        <v>84609193.23099421</v>
      </c>
    </row>
    <row r="66" spans="3:12">
      <c r="C66" s="814">
        <f t="shared" si="9"/>
        <v>40</v>
      </c>
      <c r="D66" s="815">
        <f t="shared" si="12"/>
        <v>49429</v>
      </c>
      <c r="E66" s="800">
        <f t="shared" si="5"/>
        <v>4</v>
      </c>
      <c r="F66" s="800">
        <f t="shared" si="10"/>
        <v>2</v>
      </c>
      <c r="G66" s="816">
        <f>IF($E$12="NO",G65+1,
IF(OR(D66&lt;$F$8,D66&gt;$F$9),MAX($G$26:G65)+1,""))</f>
        <v>28</v>
      </c>
      <c r="H66" s="809">
        <f t="shared" si="13"/>
        <v>84609193.23099421</v>
      </c>
      <c r="I66" s="809">
        <f t="shared" si="14"/>
        <v>-405419.05089851393</v>
      </c>
      <c r="J66" s="817">
        <f t="shared" si="15"/>
        <v>-103617.40530254475</v>
      </c>
      <c r="K66" s="809">
        <f t="shared" si="2"/>
        <v>-509036.4562010587</v>
      </c>
      <c r="L66" s="791">
        <f t="shared" si="11"/>
        <v>84505575.82569167</v>
      </c>
    </row>
    <row r="67" spans="3:12">
      <c r="C67" s="814">
        <f t="shared" si="9"/>
        <v>41</v>
      </c>
      <c r="D67" s="815">
        <f t="shared" si="12"/>
        <v>49460</v>
      </c>
      <c r="E67" s="800">
        <f t="shared" si="5"/>
        <v>4</v>
      </c>
      <c r="F67" s="800">
        <f t="shared" si="10"/>
        <v>2</v>
      </c>
      <c r="G67" s="816">
        <f>IF($E$12="NO",G66+1,
IF(OR(D67&lt;$F$8,D67&gt;$F$9),MAX($G$26:G66)+1,""))</f>
        <v>29</v>
      </c>
      <c r="H67" s="809">
        <f t="shared" si="13"/>
        <v>84505575.82569167</v>
      </c>
      <c r="I67" s="809">
        <f t="shared" si="14"/>
        <v>-404922.55083143926</v>
      </c>
      <c r="J67" s="817">
        <f t="shared" si="15"/>
        <v>-104113.90536961946</v>
      </c>
      <c r="K67" s="809">
        <f t="shared" si="2"/>
        <v>-509036.4562010587</v>
      </c>
      <c r="L67" s="791">
        <f t="shared" si="11"/>
        <v>84401461.920322046</v>
      </c>
    </row>
    <row r="68" spans="3:12">
      <c r="C68" s="814">
        <f t="shared" si="9"/>
        <v>42</v>
      </c>
      <c r="D68" s="815">
        <f t="shared" si="12"/>
        <v>49490</v>
      </c>
      <c r="E68" s="800">
        <f t="shared" si="5"/>
        <v>4</v>
      </c>
      <c r="F68" s="800">
        <f t="shared" si="10"/>
        <v>2</v>
      </c>
      <c r="G68" s="816">
        <f>IF($E$12="NO",G67+1,
IF(OR(D68&lt;$F$8,D68&gt;$F$9),MAX($G$26:G67)+1,""))</f>
        <v>30</v>
      </c>
      <c r="H68" s="809">
        <f t="shared" si="13"/>
        <v>84401461.920322046</v>
      </c>
      <c r="I68" s="809">
        <f t="shared" si="14"/>
        <v>-404423.67170154321</v>
      </c>
      <c r="J68" s="817">
        <f t="shared" si="15"/>
        <v>-104612.78449951553</v>
      </c>
      <c r="K68" s="809">
        <f t="shared" si="2"/>
        <v>-509036.45620105875</v>
      </c>
      <c r="L68" s="791">
        <f t="shared" si="11"/>
        <v>84296849.135822535</v>
      </c>
    </row>
    <row r="69" spans="3:12">
      <c r="C69" s="814">
        <f t="shared" si="9"/>
        <v>43</v>
      </c>
      <c r="D69" s="815">
        <f t="shared" si="12"/>
        <v>49521</v>
      </c>
      <c r="E69" s="800">
        <f t="shared" si="5"/>
        <v>4</v>
      </c>
      <c r="F69" s="800">
        <f t="shared" si="10"/>
        <v>3</v>
      </c>
      <c r="G69" s="816">
        <f>IF($E$12="NO",G68+1,
IF(OR(D69&lt;$F$8,D69&gt;$F$9),MAX($G$26:G68)+1,""))</f>
        <v>31</v>
      </c>
      <c r="H69" s="809">
        <f t="shared" si="13"/>
        <v>84296849.135822535</v>
      </c>
      <c r="I69" s="809">
        <f t="shared" si="14"/>
        <v>-403922.40210914967</v>
      </c>
      <c r="J69" s="817">
        <f t="shared" si="15"/>
        <v>-105114.05409190907</v>
      </c>
      <c r="K69" s="809">
        <f t="shared" si="2"/>
        <v>-509036.45620105875</v>
      </c>
      <c r="L69" s="791">
        <f t="shared" si="11"/>
        <v>84191735.081730619</v>
      </c>
    </row>
    <row r="70" spans="3:12">
      <c r="C70" s="814">
        <f t="shared" si="9"/>
        <v>44</v>
      </c>
      <c r="D70" s="815">
        <f t="shared" si="12"/>
        <v>49552</v>
      </c>
      <c r="E70" s="800">
        <f t="shared" si="5"/>
        <v>4</v>
      </c>
      <c r="F70" s="800">
        <f t="shared" si="10"/>
        <v>3</v>
      </c>
      <c r="G70" s="816">
        <f>IF($E$12="NO",G69+1,
IF(OR(D70&lt;$F$8,D70&gt;$F$9),MAX($G$26:G69)+1,""))</f>
        <v>32</v>
      </c>
      <c r="H70" s="809">
        <f t="shared" si="13"/>
        <v>84191735.081730619</v>
      </c>
      <c r="I70" s="809">
        <f t="shared" si="14"/>
        <v>-403418.73059995921</v>
      </c>
      <c r="J70" s="817">
        <f t="shared" si="15"/>
        <v>-105617.72560109946</v>
      </c>
      <c r="K70" s="809">
        <f t="shared" si="2"/>
        <v>-509036.4562010587</v>
      </c>
      <c r="L70" s="791">
        <f t="shared" si="11"/>
        <v>84086117.356129512</v>
      </c>
    </row>
    <row r="71" spans="3:12">
      <c r="C71" s="814">
        <f t="shared" si="9"/>
        <v>45</v>
      </c>
      <c r="D71" s="815">
        <f t="shared" si="12"/>
        <v>49582</v>
      </c>
      <c r="E71" s="800">
        <f t="shared" si="5"/>
        <v>4</v>
      </c>
      <c r="F71" s="800">
        <f t="shared" si="10"/>
        <v>3</v>
      </c>
      <c r="G71" s="816">
        <f>IF($E$12="NO",G70+1,
IF(OR(D71&lt;$F$8,D71&gt;$F$9),MAX($G$26:G70)+1,""))</f>
        <v>33</v>
      </c>
      <c r="H71" s="809">
        <f t="shared" si="13"/>
        <v>84086117.356129512</v>
      </c>
      <c r="I71" s="809">
        <f t="shared" si="14"/>
        <v>-402912.64566478721</v>
      </c>
      <c r="J71" s="817">
        <f t="shared" si="15"/>
        <v>-106123.81053627137</v>
      </c>
      <c r="K71" s="809">
        <f t="shared" si="2"/>
        <v>-509036.45620105858</v>
      </c>
      <c r="L71" s="791">
        <f t="shared" si="11"/>
        <v>83979993.545593247</v>
      </c>
    </row>
    <row r="72" spans="3:12">
      <c r="C72" s="814">
        <f t="shared" si="9"/>
        <v>46</v>
      </c>
      <c r="D72" s="815">
        <f t="shared" si="12"/>
        <v>49613</v>
      </c>
      <c r="E72" s="800">
        <f t="shared" si="5"/>
        <v>4</v>
      </c>
      <c r="F72" s="800">
        <f t="shared" si="10"/>
        <v>4</v>
      </c>
      <c r="G72" s="816">
        <f>IF($E$12="NO",G71+1,
IF(OR(D72&lt;$F$8,D72&gt;$F$9),MAX($G$26:G71)+1,""))</f>
        <v>34</v>
      </c>
      <c r="H72" s="809">
        <f t="shared" si="13"/>
        <v>83979993.545593247</v>
      </c>
      <c r="I72" s="809">
        <f t="shared" si="14"/>
        <v>-402404.13573930104</v>
      </c>
      <c r="J72" s="817">
        <f t="shared" si="15"/>
        <v>-106632.32046175768</v>
      </c>
      <c r="K72" s="809">
        <f t="shared" si="2"/>
        <v>-509036.4562010587</v>
      </c>
      <c r="L72" s="791">
        <f t="shared" si="11"/>
        <v>83873361.225131482</v>
      </c>
    </row>
    <row r="73" spans="3:12">
      <c r="C73" s="814">
        <f t="shared" si="9"/>
        <v>47</v>
      </c>
      <c r="D73" s="815">
        <f t="shared" si="12"/>
        <v>49643</v>
      </c>
      <c r="E73" s="800">
        <f t="shared" si="5"/>
        <v>4</v>
      </c>
      <c r="F73" s="800">
        <f t="shared" si="10"/>
        <v>4</v>
      </c>
      <c r="G73" s="816">
        <f>IF($E$12="NO",G72+1,
IF(OR(D73&lt;$F$8,D73&gt;$F$9),MAX($G$26:G72)+1,""))</f>
        <v>35</v>
      </c>
      <c r="H73" s="809">
        <f t="shared" si="13"/>
        <v>83873361.225131482</v>
      </c>
      <c r="I73" s="809">
        <f t="shared" si="14"/>
        <v>-401893.189203755</v>
      </c>
      <c r="J73" s="817">
        <f t="shared" si="15"/>
        <v>-107143.26699730362</v>
      </c>
      <c r="K73" s="809">
        <f t="shared" si="2"/>
        <v>-509036.45620105864</v>
      </c>
      <c r="L73" s="791">
        <f t="shared" si="11"/>
        <v>83766217.958134174</v>
      </c>
    </row>
    <row r="74" spans="3:12">
      <c r="C74" s="814">
        <f t="shared" si="9"/>
        <v>48</v>
      </c>
      <c r="D74" s="815">
        <f t="shared" si="12"/>
        <v>49674</v>
      </c>
      <c r="E74" s="800">
        <f t="shared" si="5"/>
        <v>4</v>
      </c>
      <c r="F74" s="800">
        <f t="shared" si="10"/>
        <v>4</v>
      </c>
      <c r="G74" s="816">
        <f>IF($E$12="NO",G73+1,
IF(OR(D74&lt;$F$8,D74&gt;$F$9),MAX($G$26:G73)+1,""))</f>
        <v>36</v>
      </c>
      <c r="H74" s="809">
        <f t="shared" si="13"/>
        <v>83766217.958134174</v>
      </c>
      <c r="I74" s="809">
        <f t="shared" si="14"/>
        <v>-401379.79438272631</v>
      </c>
      <c r="J74" s="817">
        <f t="shared" si="15"/>
        <v>-107656.66181833234</v>
      </c>
      <c r="K74" s="809">
        <f t="shared" si="2"/>
        <v>-509036.45620105864</v>
      </c>
      <c r="L74" s="791">
        <f t="shared" si="11"/>
        <v>83658561.296315849</v>
      </c>
    </row>
    <row r="75" spans="3:12">
      <c r="C75" s="814">
        <f t="shared" si="9"/>
        <v>49</v>
      </c>
      <c r="D75" s="815">
        <f t="shared" si="12"/>
        <v>49705</v>
      </c>
      <c r="E75" s="800">
        <f t="shared" si="5"/>
        <v>5</v>
      </c>
      <c r="F75" s="800">
        <f t="shared" si="10"/>
        <v>1</v>
      </c>
      <c r="G75" s="816">
        <f>IF($E$12="NO",G74+1,
IF(OR(D75&lt;$F$8,D75&gt;$F$9),MAX($G$26:G74)+1,""))</f>
        <v>37</v>
      </c>
      <c r="H75" s="809">
        <f t="shared" si="13"/>
        <v>83658561.296315849</v>
      </c>
      <c r="I75" s="809">
        <f t="shared" si="14"/>
        <v>-400863.93954484677</v>
      </c>
      <c r="J75" s="817">
        <f t="shared" si="15"/>
        <v>-108172.51665621187</v>
      </c>
      <c r="K75" s="809">
        <f t="shared" si="2"/>
        <v>-509036.45620105864</v>
      </c>
      <c r="L75" s="791">
        <f t="shared" si="11"/>
        <v>83550388.779659644</v>
      </c>
    </row>
    <row r="76" spans="3:12">
      <c r="C76" s="814">
        <f t="shared" si="9"/>
        <v>50</v>
      </c>
      <c r="D76" s="815">
        <f t="shared" si="12"/>
        <v>49734</v>
      </c>
      <c r="E76" s="800">
        <f t="shared" si="5"/>
        <v>5</v>
      </c>
      <c r="F76" s="800">
        <f t="shared" si="10"/>
        <v>1</v>
      </c>
      <c r="G76" s="816">
        <f>IF($E$12="NO",G75+1,
IF(OR(D76&lt;$F$8,D76&gt;$F$9),MAX($G$26:G75)+1,""))</f>
        <v>38</v>
      </c>
      <c r="H76" s="809">
        <f t="shared" si="13"/>
        <v>83550388.779659644</v>
      </c>
      <c r="I76" s="809">
        <f t="shared" si="14"/>
        <v>-400345.61290253582</v>
      </c>
      <c r="J76" s="817">
        <f t="shared" si="15"/>
        <v>-108690.8432985229</v>
      </c>
      <c r="K76" s="809">
        <f t="shared" si="2"/>
        <v>-509036.4562010587</v>
      </c>
      <c r="L76" s="791">
        <f t="shared" si="11"/>
        <v>83441697.936361119</v>
      </c>
    </row>
    <row r="77" spans="3:12">
      <c r="C77" s="814">
        <f t="shared" si="9"/>
        <v>51</v>
      </c>
      <c r="D77" s="815">
        <f t="shared" si="12"/>
        <v>49765</v>
      </c>
      <c r="E77" s="800">
        <f t="shared" si="5"/>
        <v>5</v>
      </c>
      <c r="F77" s="800">
        <f t="shared" si="10"/>
        <v>1</v>
      </c>
      <c r="G77" s="816">
        <f>IF($E$12="NO",G76+1,
IF(OR(D77&lt;$F$8,D77&gt;$F$9),MAX($G$26:G76)+1,""))</f>
        <v>39</v>
      </c>
      <c r="H77" s="809">
        <f t="shared" si="13"/>
        <v>83441697.936361119</v>
      </c>
      <c r="I77" s="809">
        <f t="shared" si="14"/>
        <v>-399824.80261173035</v>
      </c>
      <c r="J77" s="817">
        <f t="shared" si="15"/>
        <v>-109211.6535893283</v>
      </c>
      <c r="K77" s="809">
        <f t="shared" si="2"/>
        <v>-509036.45620105864</v>
      </c>
      <c r="L77" s="791">
        <f t="shared" si="11"/>
        <v>83332486.282771796</v>
      </c>
    </row>
    <row r="78" spans="3:12">
      <c r="C78" s="814">
        <f t="shared" si="9"/>
        <v>52</v>
      </c>
      <c r="D78" s="815">
        <f t="shared" si="12"/>
        <v>49795</v>
      </c>
      <c r="E78" s="800">
        <f t="shared" si="5"/>
        <v>5</v>
      </c>
      <c r="F78" s="800">
        <f t="shared" si="10"/>
        <v>2</v>
      </c>
      <c r="G78" s="816">
        <f>IF($E$12="NO",G77+1,
IF(OR(D78&lt;$F$8,D78&gt;$F$9),MAX($G$26:G77)+1,""))</f>
        <v>40</v>
      </c>
      <c r="H78" s="809">
        <f t="shared" si="13"/>
        <v>83332486.282771796</v>
      </c>
      <c r="I78" s="809">
        <f t="shared" si="14"/>
        <v>-399301.49677161482</v>
      </c>
      <c r="J78" s="817">
        <f t="shared" si="15"/>
        <v>-109734.95942944381</v>
      </c>
      <c r="K78" s="809">
        <f t="shared" si="2"/>
        <v>-509036.45620105864</v>
      </c>
      <c r="L78" s="791">
        <f t="shared" si="11"/>
        <v>83222751.323342353</v>
      </c>
    </row>
    <row r="79" spans="3:12">
      <c r="C79" s="814">
        <f t="shared" si="9"/>
        <v>53</v>
      </c>
      <c r="D79" s="815">
        <f t="shared" si="12"/>
        <v>49826</v>
      </c>
      <c r="E79" s="800">
        <f t="shared" si="5"/>
        <v>5</v>
      </c>
      <c r="F79" s="800">
        <f t="shared" si="10"/>
        <v>2</v>
      </c>
      <c r="G79" s="816">
        <f>IF($E$12="NO",G78+1,
IF(OR(D79&lt;$F$8,D79&gt;$F$9),MAX($G$26:G78)+1,""))</f>
        <v>41</v>
      </c>
      <c r="H79" s="809">
        <f t="shared" si="13"/>
        <v>83222751.323342353</v>
      </c>
      <c r="I79" s="809">
        <f t="shared" si="14"/>
        <v>-398775.68342434877</v>
      </c>
      <c r="J79" s="817">
        <f t="shared" si="15"/>
        <v>-110260.77277670991</v>
      </c>
      <c r="K79" s="809">
        <f t="shared" si="2"/>
        <v>-509036.4562010587</v>
      </c>
      <c r="L79" s="791">
        <f t="shared" si="11"/>
        <v>83112490.550565645</v>
      </c>
    </row>
    <row r="80" spans="3:12">
      <c r="C80" s="814">
        <f t="shared" si="9"/>
        <v>54</v>
      </c>
      <c r="D80" s="815">
        <f t="shared" si="12"/>
        <v>49856</v>
      </c>
      <c r="E80" s="800">
        <f t="shared" si="5"/>
        <v>5</v>
      </c>
      <c r="F80" s="800">
        <f t="shared" si="10"/>
        <v>2</v>
      </c>
      <c r="G80" s="816">
        <f>IF($E$12="NO",G79+1,
IF(OR(D80&lt;$F$8,D80&gt;$F$9),MAX($G$26:G79)+1,""))</f>
        <v>42</v>
      </c>
      <c r="H80" s="809">
        <f t="shared" si="13"/>
        <v>83112490.550565645</v>
      </c>
      <c r="I80" s="809">
        <f t="shared" si="14"/>
        <v>-398247.35055479378</v>
      </c>
      <c r="J80" s="817">
        <f t="shared" si="15"/>
        <v>-110789.10564626497</v>
      </c>
      <c r="K80" s="809">
        <f t="shared" si="2"/>
        <v>-509036.45620105875</v>
      </c>
      <c r="L80" s="791">
        <f t="shared" si="11"/>
        <v>83001701.444919378</v>
      </c>
    </row>
    <row r="81" spans="3:12">
      <c r="C81" s="814">
        <f t="shared" si="9"/>
        <v>55</v>
      </c>
      <c r="D81" s="815">
        <f t="shared" si="12"/>
        <v>49887</v>
      </c>
      <c r="E81" s="800">
        <f t="shared" si="5"/>
        <v>5</v>
      </c>
      <c r="F81" s="800">
        <f t="shared" si="10"/>
        <v>3</v>
      </c>
      <c r="G81" s="816">
        <f>IF($E$12="NO",G80+1,
IF(OR(D81&lt;$F$8,D81&gt;$F$9),MAX($G$26:G80)+1,""))</f>
        <v>43</v>
      </c>
      <c r="H81" s="809">
        <f t="shared" si="13"/>
        <v>83001701.444919378</v>
      </c>
      <c r="I81" s="809">
        <f t="shared" si="14"/>
        <v>-397716.48609023867</v>
      </c>
      <c r="J81" s="817">
        <f t="shared" si="15"/>
        <v>-111319.97011082001</v>
      </c>
      <c r="K81" s="809">
        <f t="shared" si="2"/>
        <v>-509036.4562010587</v>
      </c>
      <c r="L81" s="791">
        <f t="shared" si="11"/>
        <v>82890381.474808559</v>
      </c>
    </row>
    <row r="82" spans="3:12">
      <c r="C82" s="814">
        <f t="shared" si="9"/>
        <v>56</v>
      </c>
      <c r="D82" s="815">
        <f t="shared" si="12"/>
        <v>49918</v>
      </c>
      <c r="E82" s="800">
        <f t="shared" si="5"/>
        <v>5</v>
      </c>
      <c r="F82" s="800">
        <f t="shared" si="10"/>
        <v>3</v>
      </c>
      <c r="G82" s="816">
        <f>IF($E$12="NO",G81+1,
IF(OR(D82&lt;$F$8,D82&gt;$F$9),MAX($G$26:G81)+1,""))</f>
        <v>44</v>
      </c>
      <c r="H82" s="809">
        <f t="shared" si="13"/>
        <v>82890381.474808559</v>
      </c>
      <c r="I82" s="809">
        <f t="shared" si="14"/>
        <v>-397183.07790012431</v>
      </c>
      <c r="J82" s="817">
        <f t="shared" si="15"/>
        <v>-111853.37830093436</v>
      </c>
      <c r="K82" s="809">
        <f t="shared" si="2"/>
        <v>-509036.4562010587</v>
      </c>
      <c r="L82" s="791">
        <f t="shared" si="11"/>
        <v>82778528.096507624</v>
      </c>
    </row>
    <row r="83" spans="3:12">
      <c r="C83" s="814">
        <f t="shared" si="9"/>
        <v>57</v>
      </c>
      <c r="D83" s="815">
        <f t="shared" si="12"/>
        <v>49948</v>
      </c>
      <c r="E83" s="800">
        <f t="shared" si="5"/>
        <v>5</v>
      </c>
      <c r="F83" s="800">
        <f t="shared" si="10"/>
        <v>3</v>
      </c>
      <c r="G83" s="816">
        <f>IF($E$12="NO",G82+1,
IF(OR(D83&lt;$F$8,D83&gt;$F$9),MAX($G$26:G82)+1,""))</f>
        <v>45</v>
      </c>
      <c r="H83" s="809">
        <f t="shared" si="13"/>
        <v>82778528.096507624</v>
      </c>
      <c r="I83" s="809">
        <f t="shared" si="14"/>
        <v>-396647.11379576573</v>
      </c>
      <c r="J83" s="817">
        <f t="shared" si="15"/>
        <v>-112389.34240529299</v>
      </c>
      <c r="K83" s="809">
        <f t="shared" si="2"/>
        <v>-509036.4562010587</v>
      </c>
      <c r="L83" s="791">
        <f t="shared" si="11"/>
        <v>82666138.754102334</v>
      </c>
    </row>
    <row r="84" spans="3:12">
      <c r="C84" s="814">
        <f t="shared" si="9"/>
        <v>58</v>
      </c>
      <c r="D84" s="815">
        <f t="shared" si="12"/>
        <v>49979</v>
      </c>
      <c r="E84" s="800">
        <f t="shared" si="5"/>
        <v>5</v>
      </c>
      <c r="F84" s="800">
        <f t="shared" si="10"/>
        <v>4</v>
      </c>
      <c r="G84" s="816">
        <f>IF($E$12="NO",G83+1,
IF(OR(D84&lt;$F$8,D84&gt;$F$9),MAX($G$26:G83)+1,""))</f>
        <v>46</v>
      </c>
      <c r="H84" s="809">
        <f t="shared" si="13"/>
        <v>82666138.754102334</v>
      </c>
      <c r="I84" s="809">
        <f t="shared" si="14"/>
        <v>-396108.58153007372</v>
      </c>
      <c r="J84" s="817">
        <f t="shared" si="15"/>
        <v>-112927.87467098502</v>
      </c>
      <c r="K84" s="809">
        <f t="shared" si="2"/>
        <v>-509036.45620105875</v>
      </c>
      <c r="L84" s="791">
        <f t="shared" si="11"/>
        <v>82553210.879431352</v>
      </c>
    </row>
    <row r="85" spans="3:12">
      <c r="C85" s="814">
        <f t="shared" si="9"/>
        <v>59</v>
      </c>
      <c r="D85" s="815">
        <f t="shared" si="12"/>
        <v>50009</v>
      </c>
      <c r="E85" s="800">
        <f t="shared" si="5"/>
        <v>5</v>
      </c>
      <c r="F85" s="800">
        <f t="shared" si="10"/>
        <v>4</v>
      </c>
      <c r="G85" s="816">
        <f>IF($E$12="NO",G84+1,
IF(OR(D85&lt;$F$8,D85&gt;$F$9),MAX($G$26:G84)+1,""))</f>
        <v>47</v>
      </c>
      <c r="H85" s="809">
        <f t="shared" si="13"/>
        <v>82553210.879431352</v>
      </c>
      <c r="I85" s="809">
        <f t="shared" si="14"/>
        <v>-395567.46879727527</v>
      </c>
      <c r="J85" s="817">
        <f t="shared" si="15"/>
        <v>-113468.9874037835</v>
      </c>
      <c r="K85" s="809">
        <f t="shared" si="2"/>
        <v>-509036.45620105875</v>
      </c>
      <c r="L85" s="791">
        <f t="shared" si="11"/>
        <v>82439741.892027572</v>
      </c>
    </row>
    <row r="86" spans="3:12">
      <c r="C86" s="818">
        <f t="shared" si="9"/>
        <v>60</v>
      </c>
      <c r="D86" s="819">
        <f t="shared" si="12"/>
        <v>50040</v>
      </c>
      <c r="E86" s="820">
        <f t="shared" si="5"/>
        <v>5</v>
      </c>
      <c r="F86" s="821">
        <f t="shared" si="10"/>
        <v>4</v>
      </c>
      <c r="G86" s="821">
        <f>IF($E$12="NO",G85+1,
IF(OR(D86&lt;$F$8,D86&gt;$F$9),MAX($G$26:G85)+1,""))</f>
        <v>48</v>
      </c>
      <c r="H86" s="810">
        <f t="shared" si="13"/>
        <v>82439741.892027572</v>
      </c>
      <c r="I86" s="810">
        <f t="shared" si="14"/>
        <v>-395023.76323263213</v>
      </c>
      <c r="J86" s="822">
        <f t="shared" si="15"/>
        <v>-114012.69296842661</v>
      </c>
      <c r="K86" s="810">
        <f t="shared" si="2"/>
        <v>-509036.45620105875</v>
      </c>
      <c r="L86" s="808">
        <f t="shared" si="11"/>
        <v>82325729.199059144</v>
      </c>
    </row>
  </sheetData>
  <conditionalFormatting sqref="F10">
    <cfRule type="expression" dxfId="71" priority="2">
      <formula>#REF!=#REF!</formula>
    </cfRule>
  </conditionalFormatting>
  <conditionalFormatting sqref="E10:E11">
    <cfRule type="expression" dxfId="70" priority="1">
      <formula>#REF!=#REF!</formula>
    </cfRule>
  </conditionalFormatting>
  <dataValidations count="1">
    <dataValidation type="list" allowBlank="1" showInputMessage="1" showErrorMessage="1" sqref="E12:F12" xr:uid="{81A51B28-7E53-495F-BA18-4AD45D18A5D1}">
      <formula1>"YES, NO"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ED32B-47E4-4786-B5D2-D5B0FBFD8060}">
  <sheetPr>
    <tabColor rgb="FF92D050"/>
    <pageSetUpPr fitToPage="1"/>
  </sheetPr>
  <dimension ref="A1:AC179"/>
  <sheetViews>
    <sheetView showGridLines="0" topLeftCell="A4" zoomScale="85" zoomScaleNormal="85" zoomScaleSheetLayoutView="90" workbookViewId="0">
      <selection activeCell="D8" sqref="D8"/>
    </sheetView>
  </sheetViews>
  <sheetFormatPr defaultColWidth="8.85546875" defaultRowHeight="23.25" customHeight="1"/>
  <cols>
    <col min="1" max="1" width="46.140625" style="5" bestFit="1" customWidth="1"/>
    <col min="2" max="2" width="28.85546875" style="5" bestFit="1" customWidth="1"/>
    <col min="3" max="3" width="35.5703125" style="5" customWidth="1"/>
    <col min="4" max="4" width="19.42578125" style="5" bestFit="1" customWidth="1"/>
    <col min="5" max="5" width="15.5703125" style="5" bestFit="1" customWidth="1"/>
    <col min="6" max="6" width="13.140625" style="5" bestFit="1" customWidth="1"/>
    <col min="7" max="7" width="32.85546875" style="5" bestFit="1" customWidth="1"/>
    <col min="8" max="8" width="28.85546875" style="5" bestFit="1" customWidth="1"/>
    <col min="9" max="9" width="35.5703125" style="5" customWidth="1"/>
    <col min="10" max="11" width="26.85546875" style="5" customWidth="1"/>
    <col min="12" max="12" width="1.5703125" style="5" customWidth="1"/>
    <col min="13" max="13" width="32.85546875" style="5" bestFit="1" customWidth="1"/>
    <col min="14" max="14" width="28.85546875" style="5" bestFit="1" customWidth="1"/>
    <col min="15" max="15" width="35.5703125" style="5" customWidth="1"/>
    <col min="16" max="17" width="26.85546875" style="5" customWidth="1"/>
    <col min="18" max="18" width="1.5703125" style="5" customWidth="1"/>
    <col min="19" max="19" width="32.85546875" style="5" bestFit="1" customWidth="1"/>
    <col min="20" max="20" width="28.85546875" style="5" bestFit="1" customWidth="1"/>
    <col min="21" max="21" width="35.5703125" style="5" customWidth="1"/>
    <col min="22" max="23" width="26.85546875" style="5" customWidth="1"/>
    <col min="24" max="24" width="21.42578125" style="5" bestFit="1" customWidth="1"/>
    <col min="25" max="26" width="24.42578125" style="5" customWidth="1"/>
    <col min="27" max="27" width="32.42578125" style="5" customWidth="1"/>
    <col min="28" max="28" width="20.140625" style="5" customWidth="1"/>
    <col min="29" max="29" width="13.42578125" style="5" bestFit="1" customWidth="1"/>
    <col min="30" max="16384" width="8.85546875" style="5"/>
  </cols>
  <sheetData>
    <row r="1" spans="1:29" ht="23.25" customHeight="1" thickBot="1">
      <c r="A1" s="2"/>
      <c r="B1" s="75"/>
      <c r="C1" s="3"/>
      <c r="D1" s="4"/>
      <c r="Y1" s="124"/>
    </row>
    <row r="2" spans="1:29" ht="30" customHeight="1" thickBot="1">
      <c r="A2" s="1000" t="s">
        <v>381</v>
      </c>
      <c r="B2" s="142"/>
      <c r="C2" s="142" t="s">
        <v>89</v>
      </c>
      <c r="D2" s="1075" t="s">
        <v>111</v>
      </c>
      <c r="E2" s="1076"/>
      <c r="Y2" s="99"/>
    </row>
    <row r="3" spans="1:29" ht="20.25" customHeight="1">
      <c r="B3" s="55"/>
      <c r="C3" s="55"/>
      <c r="D3" s="55"/>
      <c r="E3" s="55"/>
      <c r="Y3" s="137"/>
    </row>
    <row r="4" spans="1:29" ht="24.95" customHeight="1" thickBot="1">
      <c r="A4" s="181" t="s">
        <v>382</v>
      </c>
      <c r="B4" s="117"/>
      <c r="Y4" s="123"/>
      <c r="Z4" s="135"/>
      <c r="AA4" s="55"/>
      <c r="AB4" s="55"/>
      <c r="AC4" s="55"/>
    </row>
    <row r="5" spans="1:29" ht="15" customHeight="1" thickBot="1">
      <c r="A5" s="750" t="s">
        <v>383</v>
      </c>
      <c r="B5" s="751"/>
      <c r="C5" s="180" t="s">
        <v>384</v>
      </c>
      <c r="D5" s="170">
        <f>SUM(E129,K129,Q129)</f>
        <v>14598408.961600002</v>
      </c>
      <c r="E5" s="568">
        <f>B28-B10-B11+B25</f>
        <v>247862732.51590315</v>
      </c>
      <c r="J5" s="168"/>
      <c r="Y5" s="123"/>
      <c r="Z5" s="135"/>
      <c r="AA5" s="55"/>
      <c r="AB5" s="135"/>
      <c r="AC5" s="55"/>
    </row>
    <row r="6" spans="1:29" ht="15" customHeight="1" thickBot="1">
      <c r="A6" s="752" t="s">
        <v>33</v>
      </c>
      <c r="B6" s="753" t="s">
        <v>385</v>
      </c>
      <c r="C6" s="180" t="s">
        <v>386</v>
      </c>
      <c r="D6" s="170">
        <f>SUM(B171,H171,N171)</f>
        <v>17945171.972202305</v>
      </c>
      <c r="E6" s="274"/>
      <c r="J6" s="168"/>
      <c r="Y6" s="123"/>
      <c r="Z6" s="135"/>
      <c r="AA6" s="55"/>
      <c r="AB6" s="135"/>
      <c r="AC6" s="55"/>
    </row>
    <row r="7" spans="1:29" ht="15" customHeight="1">
      <c r="A7" s="754" t="s">
        <v>387</v>
      </c>
      <c r="B7" s="755">
        <f>SUM(C133,I133,O133)</f>
        <v>198005242.5</v>
      </c>
      <c r="C7" s="180" t="s">
        <v>388</v>
      </c>
      <c r="D7" s="364">
        <f>IFERROR((D6/D5)^(1/(D8+1))-1,0)</f>
        <v>3.499999999999992E-2</v>
      </c>
      <c r="G7" s="278"/>
      <c r="J7" s="168"/>
      <c r="Y7" s="123"/>
      <c r="Z7" s="135"/>
      <c r="AA7" s="55"/>
      <c r="AB7" s="135"/>
      <c r="AC7" s="55"/>
    </row>
    <row r="8" spans="1:29" ht="15" customHeight="1">
      <c r="A8" s="17" t="s">
        <v>77</v>
      </c>
      <c r="B8" s="143">
        <f>SUM(C134,I134,O134)</f>
        <v>9900262.125</v>
      </c>
      <c r="C8" s="180" t="s">
        <v>125</v>
      </c>
      <c r="D8" s="362">
        <f>Assumptions!$L$41</f>
        <v>5</v>
      </c>
      <c r="E8" s="274"/>
      <c r="F8" s="361"/>
      <c r="J8" s="168"/>
      <c r="Y8" s="123"/>
      <c r="Z8" s="135"/>
      <c r="AA8" s="55"/>
      <c r="AB8" s="135"/>
      <c r="AC8" s="55"/>
    </row>
    <row r="9" spans="1:29" ht="15" customHeight="1">
      <c r="A9" s="17" t="s">
        <v>389</v>
      </c>
      <c r="B9" s="143">
        <f>SUM(C135,I135,O135)</f>
        <v>0</v>
      </c>
      <c r="C9" s="272" t="s">
        <v>390</v>
      </c>
      <c r="D9" s="170">
        <f>SUM(B$164,H$164,N$164)</f>
        <v>0</v>
      </c>
      <c r="J9" s="168"/>
      <c r="Y9" s="123"/>
      <c r="Z9" s="135"/>
      <c r="AA9" s="55"/>
      <c r="AB9" s="135"/>
      <c r="AC9" s="55"/>
    </row>
    <row r="10" spans="1:29" ht="15" customHeight="1">
      <c r="A10" s="17" t="s">
        <v>391</v>
      </c>
      <c r="B10" s="143">
        <f t="shared" ref="B10:B23" si="0">SUM(C136,I136,O136)</f>
        <v>808909.2</v>
      </c>
      <c r="C10" s="180" t="s">
        <v>392</v>
      </c>
      <c r="D10" s="170">
        <f>SUM(B$175,H$175,N$175)</f>
        <v>390818830.85776436</v>
      </c>
      <c r="J10" s="168"/>
      <c r="Y10" s="123"/>
      <c r="Z10" s="135"/>
      <c r="AA10" s="55"/>
      <c r="AB10" s="135"/>
      <c r="AC10" s="55"/>
    </row>
    <row r="11" spans="1:29" ht="15" customHeight="1" thickBot="1">
      <c r="A11" s="17" t="s">
        <v>393</v>
      </c>
      <c r="B11" s="143">
        <f t="shared" si="0"/>
        <v>2480000</v>
      </c>
      <c r="C11" s="180" t="s">
        <v>394</v>
      </c>
      <c r="D11" s="543" t="str">
        <f>IF(OR(B35="YES",H35="YES",N35="YES"),"YES","NO")</f>
        <v>NO</v>
      </c>
      <c r="J11" s="168"/>
      <c r="Y11" s="123"/>
      <c r="Z11" s="135"/>
      <c r="AA11" s="55"/>
      <c r="AB11" s="135"/>
      <c r="AC11" s="55"/>
    </row>
    <row r="12" spans="1:29" ht="15" customHeight="1">
      <c r="A12" s="17" t="s">
        <v>79</v>
      </c>
      <c r="B12" s="143">
        <f t="shared" si="0"/>
        <v>3960104.85</v>
      </c>
      <c r="C12" s="749" t="s">
        <v>395</v>
      </c>
      <c r="D12" s="757"/>
      <c r="E12" s="758"/>
      <c r="G12" s="124"/>
      <c r="H12" s="124"/>
      <c r="J12" s="117"/>
      <c r="Y12" s="123"/>
      <c r="Z12" s="135"/>
      <c r="AA12" s="55"/>
      <c r="AB12" s="135"/>
      <c r="AC12" s="55"/>
    </row>
    <row r="13" spans="1:29" ht="15" customHeight="1">
      <c r="A13" s="377" t="s">
        <v>83</v>
      </c>
      <c r="B13" s="143">
        <f t="shared" si="0"/>
        <v>2970078.6374999997</v>
      </c>
      <c r="C13" s="844"/>
      <c r="D13" s="541" t="s">
        <v>12</v>
      </c>
      <c r="E13" s="542" t="s">
        <v>396</v>
      </c>
      <c r="G13" s="289"/>
      <c r="H13" s="554"/>
      <c r="Y13" s="123"/>
      <c r="Z13" s="135"/>
      <c r="AA13" s="55"/>
      <c r="AB13" s="135"/>
      <c r="AC13" s="55"/>
    </row>
    <row r="14" spans="1:29" ht="15" customHeight="1">
      <c r="A14" s="377" t="s">
        <v>84</v>
      </c>
      <c r="B14" s="143">
        <f t="shared" si="0"/>
        <v>20222.73</v>
      </c>
      <c r="C14" s="845" t="s">
        <v>9</v>
      </c>
      <c r="D14" s="546">
        <f>SUM(B157,H157,N157)</f>
        <v>163370534.28101897</v>
      </c>
      <c r="E14" s="759">
        <f>D14/$D$17</f>
        <v>0.61076527476336595</v>
      </c>
      <c r="G14" s="283"/>
      <c r="H14" s="130"/>
      <c r="Y14" s="123"/>
      <c r="Z14" s="135"/>
      <c r="AA14" s="55"/>
      <c r="AB14" s="135"/>
      <c r="AC14" s="55"/>
    </row>
    <row r="15" spans="1:29" ht="15" customHeight="1">
      <c r="A15" s="377" t="s">
        <v>85</v>
      </c>
      <c r="B15" s="143">
        <f t="shared" si="0"/>
        <v>3960104.85</v>
      </c>
      <c r="C15" s="846" t="s">
        <v>11</v>
      </c>
      <c r="D15" s="546">
        <f>SUM(B158,H158,N158)</f>
        <v>95947774.101550817</v>
      </c>
      <c r="E15" s="759">
        <f>D15/$D$17</f>
        <v>0.35870341533721489</v>
      </c>
      <c r="G15" s="283"/>
      <c r="H15" s="130"/>
      <c r="Y15" s="123"/>
      <c r="Z15" s="135"/>
      <c r="AA15" s="55"/>
      <c r="AB15" s="135"/>
      <c r="AC15" s="55"/>
    </row>
    <row r="16" spans="1:29" ht="15" customHeight="1">
      <c r="A16" s="377" t="s">
        <v>86</v>
      </c>
      <c r="B16" s="143">
        <f t="shared" si="0"/>
        <v>6930183.4875000007</v>
      </c>
      <c r="C16" s="847" t="s">
        <v>10</v>
      </c>
      <c r="D16" s="547">
        <f>-B25</f>
        <v>8166666.666666667</v>
      </c>
      <c r="E16" s="759">
        <f>D16/$D$17</f>
        <v>3.0531309899419261E-2</v>
      </c>
      <c r="Y16" s="123"/>
      <c r="Z16" s="135"/>
      <c r="AA16" s="55"/>
      <c r="AB16" s="135"/>
      <c r="AC16" s="55"/>
    </row>
    <row r="17" spans="1:29" ht="15" customHeight="1" thickBot="1">
      <c r="A17" s="377" t="s">
        <v>88</v>
      </c>
      <c r="B17" s="143">
        <f t="shared" si="0"/>
        <v>3960104.85</v>
      </c>
      <c r="C17" s="848" t="s">
        <v>397</v>
      </c>
      <c r="D17" s="552">
        <f>SUM(D14:D16)</f>
        <v>267484975.04923645</v>
      </c>
      <c r="E17" s="561">
        <f>SUM(E14:E16)</f>
        <v>1.0000000000000002</v>
      </c>
      <c r="Y17" s="123"/>
      <c r="Z17" s="135"/>
      <c r="AA17" s="55"/>
      <c r="AB17" s="135"/>
      <c r="AC17" s="55"/>
    </row>
    <row r="18" spans="1:29" ht="15" customHeight="1" thickTop="1" thickBot="1">
      <c r="A18" s="377" t="s">
        <v>93</v>
      </c>
      <c r="B18" s="143">
        <f t="shared" si="0"/>
        <v>9900262.125</v>
      </c>
      <c r="C18" s="849" t="s">
        <v>398</v>
      </c>
      <c r="D18" s="550" t="str">
        <f>IF(B29=D17,"YES","NO")</f>
        <v>YES</v>
      </c>
      <c r="E18" s="551"/>
      <c r="G18" s="356"/>
      <c r="H18" s="555"/>
      <c r="Y18" s="123"/>
      <c r="Z18" s="135"/>
      <c r="AA18" s="55"/>
      <c r="AB18" s="135"/>
      <c r="AC18" s="55"/>
    </row>
    <row r="19" spans="1:29" ht="15" customHeight="1">
      <c r="A19" s="377" t="s">
        <v>97</v>
      </c>
      <c r="B19" s="143">
        <f t="shared" si="0"/>
        <v>2970078.6374999997</v>
      </c>
      <c r="C19" s="854" t="s">
        <v>399</v>
      </c>
      <c r="D19" s="853"/>
      <c r="G19" s="124"/>
      <c r="H19" s="124"/>
      <c r="Y19" s="123"/>
      <c r="Z19" s="135"/>
      <c r="AA19" s="55"/>
      <c r="AB19" s="135"/>
      <c r="AC19" s="55"/>
    </row>
    <row r="20" spans="1:29" ht="15" customHeight="1">
      <c r="A20" s="377" t="s">
        <v>100</v>
      </c>
      <c r="B20" s="143">
        <f t="shared" si="0"/>
        <v>400000</v>
      </c>
      <c r="C20" s="377" t="s">
        <v>400</v>
      </c>
      <c r="D20" s="413">
        <f ca="1">'3-F DRAW'!B50</f>
        <v>256479089.90483686</v>
      </c>
      <c r="F20" s="363"/>
      <c r="G20" s="12"/>
      <c r="H20" s="556"/>
      <c r="Y20" s="123"/>
      <c r="Z20" s="135"/>
      <c r="AA20" s="55"/>
      <c r="AB20" s="135"/>
      <c r="AC20" s="55"/>
    </row>
    <row r="21" spans="1:29" ht="15" customHeight="1">
      <c r="A21" s="377" t="s">
        <v>103</v>
      </c>
      <c r="B21" s="143">
        <f t="shared" si="0"/>
        <v>5706702.9359999998</v>
      </c>
      <c r="C21" s="377" t="s">
        <v>401</v>
      </c>
      <c r="D21" s="549">
        <f ca="1">(D20+D15)/D15</f>
        <v>3.6731114119789821</v>
      </c>
      <c r="G21" s="12"/>
      <c r="H21" s="556"/>
      <c r="Y21" s="123"/>
      <c r="Z21" s="135"/>
      <c r="AA21" s="55"/>
      <c r="AB21" s="135"/>
      <c r="AC21" s="55"/>
    </row>
    <row r="22" spans="1:29" ht="15" customHeight="1">
      <c r="A22" s="377" t="s">
        <v>106</v>
      </c>
      <c r="B22" s="143">
        <f t="shared" si="0"/>
        <v>766315.79999999993</v>
      </c>
      <c r="C22" s="860" t="s">
        <v>402</v>
      </c>
      <c r="D22" s="861">
        <f ca="1">'3-F DRAW'!B59</f>
        <v>0.14859762737295323</v>
      </c>
      <c r="G22" s="12"/>
      <c r="H22" s="556"/>
      <c r="Y22" s="123"/>
      <c r="Z22" s="135"/>
      <c r="AA22" s="55"/>
      <c r="AB22" s="135"/>
      <c r="AC22" s="55"/>
    </row>
    <row r="23" spans="1:29" ht="15" customHeight="1">
      <c r="A23" s="377" t="s">
        <v>403</v>
      </c>
      <c r="B23" s="143">
        <f t="shared" si="0"/>
        <v>24522.105599999995</v>
      </c>
      <c r="C23" s="860" t="s">
        <v>404</v>
      </c>
      <c r="D23" s="861">
        <f ca="1">'3-F DRAW'!B55</f>
        <v>9.5835608959697671E-2</v>
      </c>
      <c r="G23" s="12"/>
      <c r="H23" s="556"/>
      <c r="Y23" s="123"/>
      <c r="Z23" s="135"/>
      <c r="AA23" s="55"/>
      <c r="AB23" s="135"/>
      <c r="AC23" s="55"/>
    </row>
    <row r="24" spans="1:29" ht="15" customHeight="1">
      <c r="A24" s="377" t="s">
        <v>112</v>
      </c>
      <c r="B24" s="143">
        <f>SUM(C150,I150,O150)</f>
        <v>831880.21513649996</v>
      </c>
      <c r="C24" s="860" t="s">
        <v>405</v>
      </c>
      <c r="D24" s="865">
        <f>IF(OR(B$35="YES",H35="YES",N35="YES"),"-",D5/B28)</f>
        <v>5.6295326977311259E-2</v>
      </c>
      <c r="E24" s="18"/>
      <c r="G24" s="328"/>
      <c r="H24" s="130"/>
      <c r="Y24" s="123"/>
      <c r="Z24" s="135"/>
      <c r="AA24" s="55"/>
      <c r="AB24" s="135"/>
      <c r="AC24" s="55"/>
    </row>
    <row r="25" spans="1:29" ht="15" customHeight="1">
      <c r="A25" s="17" t="s">
        <v>165</v>
      </c>
      <c r="B25" s="143">
        <f>SUM(C151,I151,O151)</f>
        <v>-8166666.666666667</v>
      </c>
      <c r="C25" s="860" t="s">
        <v>158</v>
      </c>
      <c r="D25" s="865">
        <f>SUM(D9,D10)/B28</f>
        <v>1.5071008032382855</v>
      </c>
      <c r="F25" s="348"/>
      <c r="G25" s="124"/>
      <c r="H25" s="124"/>
      <c r="Y25" s="123"/>
      <c r="Z25" s="135"/>
      <c r="AA25" s="55"/>
      <c r="AB25" s="135"/>
      <c r="AC25" s="55"/>
    </row>
    <row r="26" spans="1:29" ht="15" customHeight="1" thickBot="1">
      <c r="A26" s="408" t="s">
        <v>38</v>
      </c>
      <c r="B26" s="756">
        <f>SUM(C152,I152,O152)</f>
        <v>820000</v>
      </c>
      <c r="C26" s="863" t="s">
        <v>406</v>
      </c>
      <c r="D26" s="864">
        <f>IF((D5/D14)=0,"-",D5/D14)</f>
        <v>8.9357661868748037E-2</v>
      </c>
      <c r="G26" s="12"/>
      <c r="H26" s="557"/>
      <c r="Y26" s="123"/>
      <c r="Z26" s="135"/>
      <c r="AA26" s="55"/>
      <c r="AB26" s="135"/>
      <c r="AC26" s="55"/>
    </row>
    <row r="27" spans="1:29" ht="15" customHeight="1" thickBot="1">
      <c r="A27" s="762" t="s">
        <v>407</v>
      </c>
      <c r="B27" s="763">
        <f>SUM(C153,I153,O153)</f>
        <v>13070000</v>
      </c>
      <c r="G27" s="328"/>
      <c r="H27" s="558"/>
      <c r="Y27" s="123"/>
      <c r="Z27" s="135"/>
      <c r="AA27" s="55"/>
      <c r="AB27" s="135"/>
      <c r="AC27" s="55"/>
    </row>
    <row r="28" spans="1:29" ht="15" customHeight="1" thickTop="1">
      <c r="A28" s="760" t="s">
        <v>408</v>
      </c>
      <c r="B28" s="761">
        <f>SUM(B7:B27)</f>
        <v>259318308.38256979</v>
      </c>
      <c r="C28" s="328"/>
      <c r="D28" s="851"/>
      <c r="G28" s="328"/>
      <c r="H28" s="558"/>
      <c r="Y28" s="123"/>
      <c r="Z28" s="135"/>
      <c r="AA28" s="55"/>
      <c r="AB28" s="135"/>
      <c r="AC28" s="55"/>
    </row>
    <row r="29" spans="1:29" ht="15" customHeight="1" thickBot="1">
      <c r="A29" s="850" t="s">
        <v>409</v>
      </c>
      <c r="B29" s="862">
        <f>B28-B25</f>
        <v>267484975.04923645</v>
      </c>
      <c r="C29" s="12"/>
      <c r="D29" s="852"/>
      <c r="E29" s="12"/>
      <c r="G29" s="12"/>
      <c r="H29" s="132"/>
      <c r="Y29" s="123"/>
      <c r="Z29" s="135"/>
      <c r="AA29" s="55"/>
      <c r="AB29" s="135"/>
      <c r="AC29" s="55"/>
    </row>
    <row r="30" spans="1:29" ht="15" customHeight="1">
      <c r="A30" s="328"/>
      <c r="B30" s="843"/>
      <c r="G30" s="12"/>
      <c r="H30" s="548"/>
      <c r="Y30" s="123"/>
      <c r="Z30" s="135"/>
      <c r="AA30" s="55"/>
      <c r="AB30" s="135"/>
      <c r="AC30" s="55"/>
    </row>
    <row r="31" spans="1:29" ht="15" customHeight="1">
      <c r="A31" s="328"/>
      <c r="B31" s="843"/>
      <c r="E31" s="131"/>
      <c r="Y31" s="123"/>
      <c r="Z31" s="135"/>
      <c r="AA31" s="55"/>
      <c r="AB31" s="135"/>
      <c r="AC31" s="55"/>
    </row>
    <row r="32" spans="1:29" ht="15" customHeight="1">
      <c r="E32" s="132"/>
      <c r="Y32" s="123"/>
      <c r="Z32" s="135"/>
      <c r="AA32" s="55"/>
      <c r="AB32" s="135"/>
      <c r="AC32" s="55"/>
    </row>
    <row r="33" spans="1:29" ht="24.95" customHeight="1" thickBot="1">
      <c r="A33" s="169" t="s">
        <v>410</v>
      </c>
      <c r="M33" s="293"/>
      <c r="AB33" s="55"/>
      <c r="AC33" s="136"/>
    </row>
    <row r="34" spans="1:29" ht="20.25" customHeight="1">
      <c r="A34" s="1001" t="s">
        <v>219</v>
      </c>
      <c r="B34" s="1002" t="s">
        <v>46</v>
      </c>
      <c r="C34" s="1003" t="s">
        <v>411</v>
      </c>
      <c r="D34" s="1004">
        <f>IFERROR(INDEX('Building Configuration'!$B$2:$AA$34,MATCH(B$34,'Building Configuration'!$D$2:$D$34,0),MATCH("Total",'Building Configuration'!$B$2:$AA$2,0)),0)</f>
        <v>1015411.5</v>
      </c>
      <c r="E34" s="1005"/>
      <c r="G34" s="1001" t="s">
        <v>219</v>
      </c>
      <c r="H34" s="1002"/>
      <c r="I34" s="1003" t="s">
        <v>411</v>
      </c>
      <c r="J34" s="1004">
        <f>IFERROR(INDEX('Building Configuration'!$B$2:$AA$34,MATCH(H$34,'Building Configuration'!$D$2:$D$34,0),MATCH("Total",'Building Configuration'!$B$2:$AA$2,0)),0)</f>
        <v>0</v>
      </c>
      <c r="K34" s="1005"/>
      <c r="L34" s="123"/>
      <c r="M34" s="1001" t="s">
        <v>219</v>
      </c>
      <c r="N34" s="1002"/>
      <c r="O34" s="1003" t="s">
        <v>411</v>
      </c>
      <c r="P34" s="1004">
        <f>IFERROR(INDEX('Building Configuration'!$B$2:$AA$34,MATCH(N$34,'Building Configuration'!$D$2:$D$34,0),MATCH("Total",'Building Configuration'!$B$2:$AA$2,0)),0)</f>
        <v>0</v>
      </c>
      <c r="Q34" s="1005"/>
      <c r="R34" s="123"/>
      <c r="S34" s="304"/>
      <c r="T34" s="285"/>
      <c r="V34" s="168"/>
      <c r="W34" s="123"/>
      <c r="X34" s="124"/>
    </row>
    <row r="35" spans="1:29" ht="15" customHeight="1">
      <c r="A35" s="6" t="s">
        <v>412</v>
      </c>
      <c r="B35" s="137" t="str">
        <f>IF(OR(D$37&gt;0,D$39&gt;0,D$43&gt;0),"YES","NO")</f>
        <v>NO</v>
      </c>
      <c r="D35" s="119"/>
      <c r="E35" s="103"/>
      <c r="G35" s="6" t="s">
        <v>412</v>
      </c>
      <c r="H35" s="137" t="str">
        <f>IF(OR(J$37&gt;0,J$39&gt;0,J$43&gt;0),"YES","NO")</f>
        <v>NO</v>
      </c>
      <c r="J35" s="119"/>
      <c r="K35" s="103"/>
      <c r="L35" s="123"/>
      <c r="M35" s="6" t="s">
        <v>412</v>
      </c>
      <c r="N35" s="137" t="str">
        <f>IF(OR(P$37&gt;0,P$39&gt;0,P$43&gt;0),"YES","NO")</f>
        <v>NO</v>
      </c>
      <c r="P35" s="119"/>
      <c r="Q35" s="103"/>
      <c r="R35" s="123"/>
      <c r="S35" s="123"/>
      <c r="T35" s="137"/>
      <c r="V35" s="168"/>
      <c r="W35" s="123"/>
      <c r="X35" s="124"/>
    </row>
    <row r="36" spans="1:29" ht="15" customHeight="1">
      <c r="A36" s="6" t="s">
        <v>222</v>
      </c>
      <c r="B36" s="118" t="str">
        <f>IFERROR(INDEX('Building Configuration'!$B$2:$AA$34,MATCH(B$34,'Building Configuration'!$D$2:$D$34,0),MATCH(A36,'Building Configuration'!$B$2:$AA$2,0)),"-")</f>
        <v>Multifamily-Market</v>
      </c>
      <c r="C36" s="5" t="s">
        <v>231</v>
      </c>
      <c r="D36" s="119">
        <f>IFERROR(INDEX('Building Configuration'!$B$2:$AA$34,MATCH(B$34,'Building Configuration'!$D$2:$D$34,0),MATCH(B36,'Building Configuration'!$B$2:$AA$2,0)),0)</f>
        <v>675080.08</v>
      </c>
      <c r="E36" s="103"/>
      <c r="G36" s="6" t="s">
        <v>222</v>
      </c>
      <c r="H36" s="118" t="str">
        <f>IFERROR(INDEX('Building Configuration'!$B$2:$AA$34,MATCH(H$34,'Building Configuration'!$D$2:$D$34,0),MATCH(G36,'Building Configuration'!$B$2:$AA$2,0)),"-")</f>
        <v>-</v>
      </c>
      <c r="I36" s="5" t="s">
        <v>231</v>
      </c>
      <c r="J36" s="119">
        <f>IFERROR(INDEX('Building Configuration'!$B$2:$AA$34,MATCH(H$34,'Building Configuration'!$D$2:$D$34,0),MATCH(H36,'Building Configuration'!$B$2:$AA$2,0)),0)</f>
        <v>0</v>
      </c>
      <c r="K36" s="103"/>
      <c r="L36" s="123"/>
      <c r="M36" s="6" t="s">
        <v>222</v>
      </c>
      <c r="N36" s="118" t="str">
        <f>IFERROR(INDEX('Building Configuration'!$B$2:$AA$34,MATCH(N$34,'Building Configuration'!$D$2:$D$34,0),MATCH(M36,'Building Configuration'!$B$2:$AA$2,0)),"-")</f>
        <v>-</v>
      </c>
      <c r="O36" s="5" t="s">
        <v>231</v>
      </c>
      <c r="P36" s="119">
        <f>IFERROR(INDEX('Building Configuration'!$B$2:$AA$34,MATCH(N$34,'Building Configuration'!$D$2:$D$34,0),MATCH(N36,'Building Configuration'!$B$2:$AA$2,0)),0)</f>
        <v>0</v>
      </c>
      <c r="Q36" s="103"/>
      <c r="R36" s="123"/>
      <c r="S36" s="123"/>
      <c r="T36" s="118"/>
      <c r="V36" s="168"/>
      <c r="W36" s="123"/>
      <c r="X36" s="124"/>
    </row>
    <row r="37" spans="1:29" ht="15" customHeight="1">
      <c r="A37" s="6" t="s">
        <v>223</v>
      </c>
      <c r="B37" s="118" t="str">
        <f>IFERROR(INDEX('Building Configuration'!$B$2:$AA$34,MATCH(B$34,'Building Configuration'!$D$2:$D$34,0),MATCH(A37,'Building Configuration'!$B$2:$AA$2,0)),"-")</f>
        <v>-</v>
      </c>
      <c r="C37" s="5" t="s">
        <v>413</v>
      </c>
      <c r="D37" s="119">
        <f>IFERROR(INDEX('Building Configuration'!$B$2:$AA$34,MATCH(B$34,'Building Configuration'!$D$2:$D$34,0),MATCH(B37,'Building Configuration'!$B$2:$AA$2,0)),0)</f>
        <v>0</v>
      </c>
      <c r="E37" s="103"/>
      <c r="G37" s="6" t="s">
        <v>223</v>
      </c>
      <c r="H37" s="118" t="str">
        <f>IFERROR(INDEX('Building Configuration'!$B$2:$AA$34,MATCH(H$34,'Building Configuration'!$D$2:$D$34,0),MATCH(G37,'Building Configuration'!$B$2:$AA$2,0)),"-")</f>
        <v>-</v>
      </c>
      <c r="I37" s="5" t="s">
        <v>413</v>
      </c>
      <c r="J37" s="119">
        <f>IFERROR(INDEX('Building Configuration'!$B$2:$AA$34,MATCH(H$34,'Building Configuration'!$D$2:$D$34,0),MATCH(H37,'Building Configuration'!$B$2:$AA$2,0)),0)</f>
        <v>0</v>
      </c>
      <c r="K37" s="103"/>
      <c r="L37" s="123"/>
      <c r="M37" s="6" t="s">
        <v>223</v>
      </c>
      <c r="N37" s="118" t="str">
        <f>IFERROR(INDEX('Building Configuration'!$B$2:$AA$34,MATCH(N$34,'Building Configuration'!$D$2:$D$34,0),MATCH(M37,'Building Configuration'!$B$2:$AA$2,0)),"-")</f>
        <v>-</v>
      </c>
      <c r="O37" s="5" t="s">
        <v>413</v>
      </c>
      <c r="P37" s="119">
        <f>IFERROR(INDEX('Building Configuration'!$B$2:$AA$34,MATCH(N$34,'Building Configuration'!$D$2:$D$34,0),MATCH(N37,'Building Configuration'!$B$2:$AA$2,0)),0)</f>
        <v>0</v>
      </c>
      <c r="Q37" s="103"/>
      <c r="R37" s="123"/>
      <c r="S37" s="123"/>
      <c r="T37" s="118"/>
      <c r="V37" s="168"/>
      <c r="W37" s="123"/>
      <c r="X37" s="124"/>
    </row>
    <row r="38" spans="1:29" ht="15" customHeight="1">
      <c r="A38" s="6" t="s">
        <v>224</v>
      </c>
      <c r="B38" s="118" t="str">
        <f>IFERROR(INDEX('Building Configuration'!$B$2:$AA$34,MATCH(B$34,'Building Configuration'!$D$2:$D$34,0),MATCH(A38,'Building Configuration'!$B$2:$AA$2,0)),"-")</f>
        <v>Multifamily-Affordable</v>
      </c>
      <c r="C38" s="5" t="s">
        <v>233</v>
      </c>
      <c r="D38" s="119">
        <f>IFERROR(INDEX('Building Configuration'!$B$2:$AA$34,MATCH(B$34,'Building Configuration'!$D$2:$D$34,0),MATCH(B38,'Building Configuration'!$B$2:$AA$2,0)),0)</f>
        <v>168770.02</v>
      </c>
      <c r="E38" s="103"/>
      <c r="G38" s="6" t="s">
        <v>224</v>
      </c>
      <c r="H38" s="118" t="str">
        <f>IFERROR(INDEX('Building Configuration'!$B$2:$AA$34,MATCH(H$34,'Building Configuration'!$D$2:$D$34,0),MATCH(G38,'Building Configuration'!$B$2:$AA$2,0)),"-")</f>
        <v>-</v>
      </c>
      <c r="I38" s="5" t="s">
        <v>233</v>
      </c>
      <c r="J38" s="119">
        <f>IFERROR(INDEX('Building Configuration'!$B$2:$AA$34,MATCH(H$34,'Building Configuration'!$D$2:$D$34,0),MATCH(H38,'Building Configuration'!$B$2:$AA$2,0)),0)</f>
        <v>0</v>
      </c>
      <c r="K38" s="103"/>
      <c r="L38" s="123"/>
      <c r="M38" s="6" t="s">
        <v>224</v>
      </c>
      <c r="N38" s="118" t="str">
        <f>IFERROR(INDEX('Building Configuration'!$B$2:$AA$34,MATCH(N$34,'Building Configuration'!$D$2:$D$34,0),MATCH(M38,'Building Configuration'!$B$2:$AA$2,0)),"-")</f>
        <v>-</v>
      </c>
      <c r="O38" s="5" t="s">
        <v>233</v>
      </c>
      <c r="P38" s="119">
        <f>IFERROR(INDEX('Building Configuration'!$B$2:$AA$34,MATCH(N$34,'Building Configuration'!$D$2:$D$34,0),MATCH(N38,'Building Configuration'!$B$2:$AA$2,0)),0)</f>
        <v>0</v>
      </c>
      <c r="Q38" s="103"/>
      <c r="R38" s="123"/>
      <c r="S38" s="123"/>
      <c r="T38" s="118"/>
      <c r="V38" s="168"/>
      <c r="W38" s="123"/>
      <c r="X38" s="124"/>
      <c r="Z38" s="168"/>
    </row>
    <row r="39" spans="1:29" ht="15" customHeight="1">
      <c r="A39" s="6" t="s">
        <v>225</v>
      </c>
      <c r="B39" s="118" t="str">
        <f>IFERROR(INDEX('Building Configuration'!$B$2:$AA$34,MATCH(B$34,'Building Configuration'!$D$2:$D$34,0),MATCH(A39,'Building Configuration'!$B$2:$AA$2,0)),"-")</f>
        <v>-</v>
      </c>
      <c r="C39" s="5" t="s">
        <v>414</v>
      </c>
      <c r="D39" s="119">
        <f>IFERROR(INDEX('Building Configuration'!$B$2:$AA$34,MATCH(B$34,'Building Configuration'!$D$2:$D$34,0),MATCH(B39,'Building Configuration'!$B$2:$AA$2,0)),0)</f>
        <v>0</v>
      </c>
      <c r="E39" s="103"/>
      <c r="G39" s="6" t="s">
        <v>225</v>
      </c>
      <c r="H39" s="118" t="str">
        <f>IFERROR(INDEX('Building Configuration'!$B$2:$AA$34,MATCH(H$34,'Building Configuration'!$D$2:$D$34,0),MATCH(G39,'Building Configuration'!$B$2:$AA$2,0)),"-")</f>
        <v>-</v>
      </c>
      <c r="I39" s="5" t="s">
        <v>414</v>
      </c>
      <c r="J39" s="119">
        <f>IFERROR(INDEX('Building Configuration'!$B$2:$AA$34,MATCH(H$34,'Building Configuration'!$D$2:$D$34,0),MATCH(H39,'Building Configuration'!$B$2:$AA$2,0)),0)</f>
        <v>0</v>
      </c>
      <c r="K39" s="103"/>
      <c r="L39" s="123"/>
      <c r="M39" s="6" t="s">
        <v>225</v>
      </c>
      <c r="N39" s="118" t="str">
        <f>IFERROR(INDEX('Building Configuration'!$B$2:$AA$34,MATCH(N$34,'Building Configuration'!$D$2:$D$34,0),MATCH(M39,'Building Configuration'!$B$2:$AA$2,0)),"-")</f>
        <v>-</v>
      </c>
      <c r="O39" s="5" t="s">
        <v>414</v>
      </c>
      <c r="P39" s="119">
        <f>IFERROR(INDEX('Building Configuration'!$B$2:$AA$34,MATCH(N$34,'Building Configuration'!$D$2:$D$34,0),MATCH(N39,'Building Configuration'!$B$2:$AA$2,0)),0)</f>
        <v>0</v>
      </c>
      <c r="Q39" s="103"/>
      <c r="R39" s="123"/>
      <c r="S39" s="123"/>
      <c r="T39" s="118"/>
      <c r="V39" s="168"/>
      <c r="W39" s="123"/>
      <c r="X39" s="124"/>
      <c r="Z39" s="168"/>
    </row>
    <row r="40" spans="1:29" ht="15" customHeight="1">
      <c r="A40" s="6" t="s">
        <v>226</v>
      </c>
      <c r="B40" s="118" t="str">
        <f>IFERROR(INDEX('Building Configuration'!$B$2:$AA$34,MATCH(B$34,'Building Configuration'!$D$2:$D$34,0),MATCH(A40,'Building Configuration'!$B$2:$AA$2,0)),"-")</f>
        <v>-</v>
      </c>
      <c r="C40" s="5" t="s">
        <v>59</v>
      </c>
      <c r="D40" s="119">
        <f>IFERROR(INDEX('Building Configuration'!$B$2:$AA$34,MATCH(B$34,'Building Configuration'!$D$2:$D$34,0),MATCH(B40,'Building Configuration'!$B$2:$AA$2,0)),0)</f>
        <v>0</v>
      </c>
      <c r="E40" s="103"/>
      <c r="G40" s="6" t="s">
        <v>226</v>
      </c>
      <c r="H40" s="118" t="str">
        <f>IFERROR(INDEX('Building Configuration'!$B$2:$AA$34,MATCH(H$34,'Building Configuration'!$D$2:$D$34,0),MATCH(G40,'Building Configuration'!$B$2:$AA$2,0)),"-")</f>
        <v>-</v>
      </c>
      <c r="I40" s="5" t="s">
        <v>59</v>
      </c>
      <c r="J40" s="119">
        <f>IFERROR(INDEX('Building Configuration'!$B$2:$AA$34,MATCH(H$34,'Building Configuration'!$D$2:$D$34,0),MATCH(H40,'Building Configuration'!$B$2:$AA$2,0)),0)</f>
        <v>0</v>
      </c>
      <c r="K40" s="103"/>
      <c r="L40" s="123"/>
      <c r="M40" s="6" t="s">
        <v>226</v>
      </c>
      <c r="N40" s="118" t="str">
        <f>IFERROR(INDEX('Building Configuration'!$B$2:$AA$34,MATCH(N$34,'Building Configuration'!$D$2:$D$34,0),MATCH(M40,'Building Configuration'!$B$2:$AA$2,0)),"-")</f>
        <v>-</v>
      </c>
      <c r="O40" s="5" t="s">
        <v>59</v>
      </c>
      <c r="P40" s="119">
        <f>IFERROR(INDEX('Building Configuration'!$B$2:$AA$34,MATCH(N$34,'Building Configuration'!$D$2:$D$34,0),MATCH(N40,'Building Configuration'!$B$2:$AA$2,0)),0)</f>
        <v>0</v>
      </c>
      <c r="Q40" s="103"/>
      <c r="R40" s="123"/>
      <c r="S40" s="123"/>
      <c r="T40" s="118"/>
      <c r="V40" s="168"/>
      <c r="W40" s="123"/>
      <c r="X40" s="124"/>
      <c r="Z40" s="168"/>
    </row>
    <row r="41" spans="1:29" ht="15" customHeight="1">
      <c r="A41" s="6" t="s">
        <v>227</v>
      </c>
      <c r="B41" s="118" t="str">
        <f>IFERROR(INDEX('Building Configuration'!$B$2:$AA$34,MATCH(B$34,'Building Configuration'!$D$2:$D$34,0),MATCH(A41,'Building Configuration'!$B$2:$AA$2,0)),"-")</f>
        <v>Retail</v>
      </c>
      <c r="C41" s="5" t="s">
        <v>415</v>
      </c>
      <c r="D41" s="119">
        <f>IFERROR(INDEX('Building Configuration'!$B$2:$AA$34,MATCH(B$34,'Building Configuration'!$D$2:$D$34,0),MATCH(B41,'Building Configuration'!$B$2:$AA$2,0)),0)</f>
        <v>30051.599999999999</v>
      </c>
      <c r="E41" s="103"/>
      <c r="G41" s="6" t="s">
        <v>227</v>
      </c>
      <c r="H41" s="118" t="str">
        <f>IFERROR(INDEX('Building Configuration'!$B$2:$AA$34,MATCH(H$34,'Building Configuration'!$D$2:$D$34,0),MATCH(G41,'Building Configuration'!$B$2:$AA$2,0)),"-")</f>
        <v>-</v>
      </c>
      <c r="I41" s="5" t="s">
        <v>415</v>
      </c>
      <c r="J41" s="119">
        <f>IFERROR(INDEX('Building Configuration'!$B$2:$AA$34,MATCH(H$34,'Building Configuration'!$D$2:$D$34,0),MATCH(H41,'Building Configuration'!$B$2:$AA$2,0)),0)</f>
        <v>0</v>
      </c>
      <c r="K41" s="103"/>
      <c r="L41" s="123"/>
      <c r="M41" s="6" t="s">
        <v>227</v>
      </c>
      <c r="N41" s="118" t="str">
        <f>IFERROR(INDEX('Building Configuration'!$B$2:$AA$34,MATCH(N$34,'Building Configuration'!$D$2:$D$34,0),MATCH(M41,'Building Configuration'!$B$2:$AA$2,0)),"-")</f>
        <v>-</v>
      </c>
      <c r="O41" s="5" t="s">
        <v>415</v>
      </c>
      <c r="P41" s="119">
        <f>IFERROR(INDEX('Building Configuration'!$B$2:$AA$34,MATCH(N$34,'Building Configuration'!$D$2:$D$34,0),MATCH(N41,'Building Configuration'!$B$2:$AA$2,0)),0)</f>
        <v>0</v>
      </c>
      <c r="Q41" s="103"/>
      <c r="R41" s="123"/>
      <c r="S41" s="123"/>
      <c r="T41" s="118"/>
      <c r="V41" s="168"/>
      <c r="W41" s="123"/>
      <c r="X41" s="124"/>
      <c r="Z41" s="168"/>
    </row>
    <row r="42" spans="1:29" ht="15" customHeight="1">
      <c r="A42" s="6" t="s">
        <v>228</v>
      </c>
      <c r="B42" s="118" t="str">
        <f>IFERROR(INDEX('Building Configuration'!$B$2:$AA$34,MATCH(B$34,'Building Configuration'!$D$2:$D$34,0),MATCH(A42,'Building Configuration'!$B$2:$AA$2,0)),"-")</f>
        <v>-</v>
      </c>
      <c r="C42" s="5" t="s">
        <v>416</v>
      </c>
      <c r="D42" s="119">
        <f>IFERROR(INDEX('Building Configuration'!$B$2:$AA$34,MATCH(B$34,'Building Configuration'!$D$2:$D$34,0),MATCH(B42,'Building Configuration'!$B$2:$AA$2,0)),0)</f>
        <v>0</v>
      </c>
      <c r="E42" s="103"/>
      <c r="G42" s="6" t="s">
        <v>228</v>
      </c>
      <c r="H42" s="118" t="str">
        <f>IFERROR(INDEX('Building Configuration'!$B$2:$AA$34,MATCH(H$34,'Building Configuration'!$D$2:$D$34,0),MATCH(G42,'Building Configuration'!$B$2:$AA$2,0)),"-")</f>
        <v>-</v>
      </c>
      <c r="I42" s="5" t="s">
        <v>416</v>
      </c>
      <c r="J42" s="119">
        <f>IFERROR(INDEX('Building Configuration'!$B$2:$AA$34,MATCH(H$34,'Building Configuration'!$D$2:$D$34,0),MATCH(H42,'Building Configuration'!$B$2:$AA$2,0)),0)</f>
        <v>0</v>
      </c>
      <c r="K42" s="103"/>
      <c r="L42" s="123"/>
      <c r="M42" s="6" t="s">
        <v>228</v>
      </c>
      <c r="N42" s="118" t="str">
        <f>IFERROR(INDEX('Building Configuration'!$B$2:$AA$34,MATCH(N$34,'Building Configuration'!$D$2:$D$34,0),MATCH(M42,'Building Configuration'!$B$2:$AA$2,0)),"-")</f>
        <v>-</v>
      </c>
      <c r="O42" s="5" t="s">
        <v>416</v>
      </c>
      <c r="P42" s="119">
        <f>IFERROR(INDEX('Building Configuration'!$B$2:$AA$34,MATCH(N$34,'Building Configuration'!$D$2:$D$34,0),MATCH(N42,'Building Configuration'!$B$2:$AA$2,0)),0)</f>
        <v>0</v>
      </c>
      <c r="Q42" s="103"/>
      <c r="R42" s="123"/>
      <c r="S42" s="123"/>
      <c r="T42" s="118"/>
      <c r="V42" s="168"/>
      <c r="W42" s="123"/>
      <c r="X42" s="124"/>
      <c r="Z42" s="168"/>
    </row>
    <row r="43" spans="1:29" ht="15" customHeight="1">
      <c r="A43" s="6" t="s">
        <v>229</v>
      </c>
      <c r="B43" s="118" t="str">
        <f>IFERROR(INDEX('Building Configuration'!$B$2:$AA$34,MATCH(B$34,'Building Configuration'!$D$2:$D$34,0),MATCH(A43,'Building Configuration'!$B$2:$AA$2,0)),"-")</f>
        <v>-</v>
      </c>
      <c r="C43" s="5" t="s">
        <v>229</v>
      </c>
      <c r="D43" s="119">
        <f>IFERROR(INDEX('Building Configuration'!$B$2:$AA$34,MATCH(B$34,'Building Configuration'!$D$2:$D$34,0),MATCH(B43,'Building Configuration'!$B$2:$AA$2,0)),0)</f>
        <v>0</v>
      </c>
      <c r="E43" s="103"/>
      <c r="G43" s="6" t="s">
        <v>229</v>
      </c>
      <c r="H43" s="118" t="str">
        <f>IFERROR(INDEX('Building Configuration'!$B$2:$AA$34,MATCH(H$34,'Building Configuration'!$D$2:$D$34,0),MATCH(G43,'Building Configuration'!$B$2:$AA$2,0)),"-")</f>
        <v>-</v>
      </c>
      <c r="I43" s="5" t="s">
        <v>229</v>
      </c>
      <c r="J43" s="119">
        <f>IFERROR(INDEX('Building Configuration'!$B$2:$AA$34,MATCH(H$34,'Building Configuration'!$D$2:$D$34,0),MATCH(H43,'Building Configuration'!$B$2:$AA$2,0)),0)</f>
        <v>0</v>
      </c>
      <c r="K43" s="103"/>
      <c r="L43" s="123"/>
      <c r="M43" s="6" t="s">
        <v>229</v>
      </c>
      <c r="N43" s="118" t="str">
        <f>IFERROR(INDEX('Building Configuration'!$B$2:$AA$34,MATCH(N$34,'Building Configuration'!$D$2:$D$34,0),MATCH(M43,'Building Configuration'!$B$2:$AA$2,0)),"-")</f>
        <v>-</v>
      </c>
      <c r="O43" s="5" t="s">
        <v>229</v>
      </c>
      <c r="P43" s="119">
        <f>IFERROR(INDEX('Building Configuration'!$B$2:$AA$34,MATCH(N$34,'Building Configuration'!$D$2:$D$34,0),MATCH(N43,'Building Configuration'!$B$2:$AA$2,0)),0)</f>
        <v>0</v>
      </c>
      <c r="Q43" s="103"/>
      <c r="R43" s="123"/>
      <c r="S43" s="123"/>
      <c r="T43" s="118"/>
      <c r="V43" s="168"/>
      <c r="W43" s="123"/>
      <c r="X43" s="124"/>
      <c r="Z43" s="168"/>
    </row>
    <row r="44" spans="1:29" ht="15" customHeight="1">
      <c r="A44" s="6" t="s">
        <v>230</v>
      </c>
      <c r="B44" s="118" t="str">
        <f>IFERROR(INDEX('Building Configuration'!$B$2:$AA$34,MATCH(B$34,'Building Configuration'!$D$2:$D$34,0),MATCH(A44,'Building Configuration'!$B$2:$AA$2,0)),"-")</f>
        <v>-</v>
      </c>
      <c r="C44" s="5" t="s">
        <v>230</v>
      </c>
      <c r="D44" s="119">
        <f>IFERROR(INDEX('Building Configuration'!$B$2:$AA$34,MATCH(B$34,'Building Configuration'!$D$2:$D$34,0),MATCH(B44,'Building Configuration'!$B$2:$AA$2,0)),0)</f>
        <v>0</v>
      </c>
      <c r="E44" s="103"/>
      <c r="G44" s="6" t="s">
        <v>230</v>
      </c>
      <c r="H44" s="118" t="str">
        <f>IFERROR(INDEX('Building Configuration'!$B$2:$AA$34,MATCH(H$34,'Building Configuration'!$D$2:$D$34,0),MATCH(G44,'Building Configuration'!$B$2:$AA$2,0)),"-")</f>
        <v>-</v>
      </c>
      <c r="I44" s="5" t="s">
        <v>230</v>
      </c>
      <c r="J44" s="119">
        <f>IFERROR(INDEX('Building Configuration'!$B$2:$AA$34,MATCH(H$34,'Building Configuration'!$D$2:$D$34,0),MATCH(H44,'Building Configuration'!$B$2:$AA$2,0)),0)</f>
        <v>0</v>
      </c>
      <c r="K44" s="103"/>
      <c r="L44" s="123"/>
      <c r="M44" s="6" t="s">
        <v>230</v>
      </c>
      <c r="N44" s="118" t="str">
        <f>IFERROR(INDEX('Building Configuration'!$B$2:$AA$34,MATCH(N$34,'Building Configuration'!$D$2:$D$34,0),MATCH(M44,'Building Configuration'!$B$2:$AA$2,0)),"-")</f>
        <v>-</v>
      </c>
      <c r="O44" s="5" t="s">
        <v>230</v>
      </c>
      <c r="P44" s="119">
        <f>IFERROR(INDEX('Building Configuration'!$B$2:$AA$34,MATCH(N$34,'Building Configuration'!$D$2:$D$34,0),MATCH(N44,'Building Configuration'!$B$2:$AA$2,0)),0)</f>
        <v>0</v>
      </c>
      <c r="Q44" s="103"/>
      <c r="R44" s="123"/>
      <c r="S44" s="123"/>
      <c r="T44" s="118"/>
      <c r="V44" s="168"/>
      <c r="W44" s="123"/>
      <c r="X44" s="124"/>
      <c r="Z44" s="168"/>
    </row>
    <row r="45" spans="1:29" ht="15" customHeight="1">
      <c r="A45" s="6" t="s">
        <v>417</v>
      </c>
      <c r="B45" s="118" t="str">
        <f>IFERROR(IF(INDEX('Building Configuration'!$B$2:$AA$34,MATCH(B$34,'Building Configuration'!$D$2:$D$34,0),MATCH(C45,'Building Configuration'!$B$2:$AA$2,0))&gt;0,"YES","NO"),"-")</f>
        <v>YES</v>
      </c>
      <c r="C45" s="5" t="s">
        <v>116</v>
      </c>
      <c r="D45" s="119">
        <f>IFERROR(INDEX('Building Configuration'!$B$2:$AA$34,MATCH(B$34,'Building Configuration'!$D$2:$D$34,0),MATCH(C45,'Building Configuration'!$B$2:$AA$2,0)),0)</f>
        <v>141509.79999999999</v>
      </c>
      <c r="E45" s="65"/>
      <c r="G45" s="6" t="s">
        <v>417</v>
      </c>
      <c r="H45" s="118" t="str">
        <f>IFERROR(IF(INDEX('Building Configuration'!$B$2:$AA$34,MATCH(H$34,'Building Configuration'!$D$2:$D$34,0),MATCH(I45,'Building Configuration'!$B$2:$AA$2,0))&gt;0,"YES","NO"),"-")</f>
        <v>-</v>
      </c>
      <c r="I45" s="5" t="s">
        <v>116</v>
      </c>
      <c r="J45" s="119">
        <f>IFERROR(INDEX('Building Configuration'!$B$2:$AA$34,MATCH(H$34,'Building Configuration'!$D$2:$D$34,0),MATCH(I45,'Building Configuration'!$B$2:$AA$2,0)),0)</f>
        <v>0</v>
      </c>
      <c r="K45" s="65"/>
      <c r="L45" s="55"/>
      <c r="M45" s="6" t="s">
        <v>417</v>
      </c>
      <c r="N45" s="118" t="str">
        <f>IFERROR(IF(INDEX('Building Configuration'!$B$2:$AA$34,MATCH(N$34,'Building Configuration'!$D$2:$D$34,0),MATCH(O45,'Building Configuration'!$B$2:$AA$2,0))&gt;0,"YES","NO"),"-")</f>
        <v>-</v>
      </c>
      <c r="O45" s="5" t="s">
        <v>116</v>
      </c>
      <c r="P45" s="119">
        <f>IFERROR(INDEX('Building Configuration'!$B$2:$AA$34,MATCH(N$34,'Building Configuration'!$D$2:$D$34,0),MATCH(O45,'Building Configuration'!$B$2:$AA$2,0)),0)</f>
        <v>0</v>
      </c>
      <c r="Q45" s="65"/>
      <c r="R45" s="55"/>
      <c r="S45" s="123"/>
      <c r="T45" s="118"/>
      <c r="V45" s="168"/>
      <c r="W45" s="55"/>
      <c r="X45" s="99"/>
      <c r="Z45" s="117"/>
    </row>
    <row r="46" spans="1:29" ht="15" customHeight="1">
      <c r="A46" s="6" t="s">
        <v>418</v>
      </c>
      <c r="B46" s="161">
        <v>0.9</v>
      </c>
      <c r="C46" s="162">
        <f>100%-B46</f>
        <v>9.9999999999999978E-2</v>
      </c>
      <c r="D46" s="119"/>
      <c r="E46" s="65"/>
      <c r="G46" s="6" t="s">
        <v>418</v>
      </c>
      <c r="H46" s="161">
        <v>1</v>
      </c>
      <c r="I46" s="162">
        <f>100%-H46</f>
        <v>0</v>
      </c>
      <c r="J46" s="119"/>
      <c r="K46" s="65"/>
      <c r="L46" s="55"/>
      <c r="M46" s="6" t="s">
        <v>418</v>
      </c>
      <c r="N46" s="161">
        <v>1</v>
      </c>
      <c r="O46" s="162">
        <f>100%-N46</f>
        <v>0</v>
      </c>
      <c r="P46" s="119"/>
      <c r="Q46" s="65"/>
      <c r="R46" s="55"/>
      <c r="S46" s="123"/>
      <c r="T46" s="294"/>
      <c r="U46" s="305"/>
      <c r="V46" s="168"/>
      <c r="W46" s="55"/>
      <c r="X46" s="99"/>
    </row>
    <row r="47" spans="1:29" ht="15" customHeight="1">
      <c r="A47" s="6"/>
      <c r="B47" s="118"/>
      <c r="D47" s="119"/>
      <c r="E47" s="65"/>
      <c r="G47" s="6"/>
      <c r="H47" s="118"/>
      <c r="J47" s="119"/>
      <c r="K47" s="65"/>
      <c r="L47" s="55"/>
      <c r="M47" s="6"/>
      <c r="N47" s="118"/>
      <c r="P47" s="119"/>
      <c r="Q47" s="65"/>
      <c r="R47" s="55"/>
      <c r="S47" s="123"/>
      <c r="T47" s="118"/>
      <c r="V47" s="168"/>
      <c r="W47" s="55"/>
      <c r="X47" s="99"/>
    </row>
    <row r="48" spans="1:29" ht="15" customHeight="1">
      <c r="A48" s="104" t="s">
        <v>222</v>
      </c>
      <c r="B48" s="105" t="str">
        <f>B$36</f>
        <v>Multifamily-Market</v>
      </c>
      <c r="C48" s="166" t="s">
        <v>419</v>
      </c>
      <c r="D48" s="111">
        <f>D$36*E$48</f>
        <v>519811.66159999999</v>
      </c>
      <c r="E48" s="106">
        <f>Assumptions!$Y$28</f>
        <v>0.77</v>
      </c>
      <c r="F48" s="99"/>
      <c r="G48" s="104" t="s">
        <v>222</v>
      </c>
      <c r="H48" s="105" t="str">
        <f>H$36</f>
        <v>-</v>
      </c>
      <c r="I48" s="166" t="s">
        <v>419</v>
      </c>
      <c r="J48" s="111">
        <f>J$36*K$48</f>
        <v>0</v>
      </c>
      <c r="K48" s="106">
        <f>Assumptions!$Y$28</f>
        <v>0.77</v>
      </c>
      <c r="L48" s="55"/>
      <c r="M48" s="104" t="s">
        <v>222</v>
      </c>
      <c r="N48" s="105" t="str">
        <f>N$36</f>
        <v>-</v>
      </c>
      <c r="O48" s="166" t="s">
        <v>419</v>
      </c>
      <c r="P48" s="111">
        <f>P$36*Q$48</f>
        <v>0</v>
      </c>
      <c r="Q48" s="106">
        <f>Assumptions!$Y$28</f>
        <v>0.77</v>
      </c>
      <c r="R48" s="55"/>
      <c r="S48" s="123"/>
      <c r="T48" s="99"/>
      <c r="U48" s="135"/>
      <c r="V48" s="295"/>
      <c r="W48" s="55"/>
      <c r="X48" s="99"/>
    </row>
    <row r="49" spans="1:24" ht="15" customHeight="1">
      <c r="A49" s="104" t="s">
        <v>420</v>
      </c>
      <c r="B49" s="160">
        <v>525</v>
      </c>
      <c r="C49" s="113" t="str">
        <f>IF(C55&gt;D48,"# of Units Over Available Area","# of Units Within Available Area")</f>
        <v># of Units Within Available Area</v>
      </c>
      <c r="D49" s="112" t="s">
        <v>421</v>
      </c>
      <c r="E49" s="120">
        <v>0</v>
      </c>
      <c r="F49" s="101"/>
      <c r="G49" s="104" t="s">
        <v>420</v>
      </c>
      <c r="H49" s="160">
        <v>0</v>
      </c>
      <c r="I49" s="113" t="str">
        <f>IF(I55&gt;J48,"# of Units Over Available Area","# of Units Within Available Area")</f>
        <v># of Units Within Available Area</v>
      </c>
      <c r="J49" s="112" t="s">
        <v>421</v>
      </c>
      <c r="K49" s="120">
        <v>0</v>
      </c>
      <c r="L49" s="102"/>
      <c r="M49" s="104" t="s">
        <v>420</v>
      </c>
      <c r="N49" s="160">
        <v>0</v>
      </c>
      <c r="O49" s="113" t="str">
        <f>IF(O55&gt;P48,"# of Units Over Available Area","# of Units Within Available Area")</f>
        <v># of Units Within Available Area</v>
      </c>
      <c r="P49" s="112" t="s">
        <v>421</v>
      </c>
      <c r="Q49" s="120">
        <v>0</v>
      </c>
      <c r="R49" s="102"/>
      <c r="S49" s="123"/>
      <c r="T49" s="296"/>
      <c r="U49" s="297"/>
      <c r="V49" s="112"/>
      <c r="W49" s="102"/>
      <c r="X49" s="99"/>
    </row>
    <row r="50" spans="1:24" ht="15" customHeight="1">
      <c r="A50" s="107" t="s">
        <v>308</v>
      </c>
      <c r="B50" s="200" t="s">
        <v>422</v>
      </c>
      <c r="C50" s="109" t="s">
        <v>419</v>
      </c>
      <c r="D50" s="108" t="s">
        <v>423</v>
      </c>
      <c r="E50" s="110" t="s">
        <v>424</v>
      </c>
      <c r="F50" s="99"/>
      <c r="G50" s="107" t="s">
        <v>308</v>
      </c>
      <c r="H50" s="200" t="s">
        <v>422</v>
      </c>
      <c r="I50" s="109" t="s">
        <v>419</v>
      </c>
      <c r="J50" s="108" t="s">
        <v>423</v>
      </c>
      <c r="K50" s="110" t="s">
        <v>424</v>
      </c>
      <c r="L50" s="124"/>
      <c r="M50" s="107" t="s">
        <v>308</v>
      </c>
      <c r="N50" s="200" t="s">
        <v>422</v>
      </c>
      <c r="O50" s="109" t="s">
        <v>419</v>
      </c>
      <c r="P50" s="108" t="s">
        <v>423</v>
      </c>
      <c r="Q50" s="110" t="s">
        <v>424</v>
      </c>
      <c r="R50" s="124"/>
      <c r="S50" s="123"/>
      <c r="T50" s="306"/>
      <c r="U50" s="276"/>
      <c r="V50" s="124"/>
      <c r="W50" s="124"/>
      <c r="X50" s="99"/>
    </row>
    <row r="51" spans="1:24" ht="15" customHeight="1">
      <c r="A51" s="31" t="str">
        <f>Assumptions!$W$5</f>
        <v>Studio</v>
      </c>
      <c r="B51" s="76">
        <f>B$49*INDEX(Assumptions!$Y$5:$Y$8,MATCH(A51,Assumptions!$W$5:$W$8,0))</f>
        <v>105</v>
      </c>
      <c r="C51" s="32">
        <f>Assumptions!$R$15</f>
        <v>550</v>
      </c>
      <c r="D51" s="42">
        <f>Assumptions!$R$16*(1+E$49)</f>
        <v>3</v>
      </c>
      <c r="E51" s="43">
        <f>12*B51*C51*D51</f>
        <v>2079000</v>
      </c>
      <c r="F51" s="99"/>
      <c r="G51" s="31" t="str">
        <f>Assumptions!$W$5</f>
        <v>Studio</v>
      </c>
      <c r="H51" s="76">
        <f>H$49*INDEX(Assumptions!$Y$5:$Y$8,MATCH(G51,Assumptions!$W$5:$W$8,0))</f>
        <v>0</v>
      </c>
      <c r="I51" s="32">
        <f>Assumptions!$R$15</f>
        <v>550</v>
      </c>
      <c r="J51" s="42">
        <f>Assumptions!$R$16*(1+K$49)</f>
        <v>3</v>
      </c>
      <c r="K51" s="43">
        <f>12*H51*I51*J51</f>
        <v>0</v>
      </c>
      <c r="L51" s="125"/>
      <c r="M51" s="31" t="str">
        <f>Assumptions!$W$5</f>
        <v>Studio</v>
      </c>
      <c r="N51" s="76">
        <f>N$49*INDEX(Assumptions!$Y$5:$Y$8,MATCH(M51,Assumptions!$W$5:$W$8,0))</f>
        <v>0</v>
      </c>
      <c r="O51" s="32">
        <f>Assumptions!$R$15</f>
        <v>550</v>
      </c>
      <c r="P51" s="42">
        <f>Assumptions!$R$16*(1+Q$49)</f>
        <v>3</v>
      </c>
      <c r="Q51" s="43">
        <f>12*N51*O51*P51</f>
        <v>0</v>
      </c>
      <c r="R51" s="125"/>
      <c r="S51" s="307"/>
      <c r="T51" s="100"/>
      <c r="U51" s="308"/>
      <c r="V51" s="309"/>
      <c r="W51" s="125"/>
      <c r="X51" s="99"/>
    </row>
    <row r="52" spans="1:24" ht="15" customHeight="1">
      <c r="A52" s="31" t="str">
        <f>Assumptions!$W$6</f>
        <v>1BR</v>
      </c>
      <c r="B52" s="76">
        <f>B$49*INDEX(Assumptions!$Y$5:$Y$8,MATCH(A52,Assumptions!$W$5:$W$8,0))</f>
        <v>262.5</v>
      </c>
      <c r="C52" s="378">
        <f>Assumptions!$R$18</f>
        <v>800</v>
      </c>
      <c r="D52" s="379">
        <f>Assumptions!$R$19*(1+E$49)</f>
        <v>2.4</v>
      </c>
      <c r="E52" s="380">
        <f>12*B52*C52*D52</f>
        <v>6048000</v>
      </c>
      <c r="F52" s="99"/>
      <c r="G52" s="31" t="str">
        <f>Assumptions!$W$6</f>
        <v>1BR</v>
      </c>
      <c r="H52" s="76">
        <f>H$49*INDEX(Assumptions!$Y$5:$Y$8,MATCH(G52,Assumptions!$W$5:$W$8,0))</f>
        <v>0</v>
      </c>
      <c r="I52" s="378">
        <f>Assumptions!$R$18</f>
        <v>800</v>
      </c>
      <c r="J52" s="379">
        <f>Assumptions!$R$19*(1+K$49)</f>
        <v>2.4</v>
      </c>
      <c r="K52" s="380">
        <f>12*H52*I52*J52</f>
        <v>0</v>
      </c>
      <c r="L52" s="125"/>
      <c r="M52" s="31" t="str">
        <f>Assumptions!$W$6</f>
        <v>1BR</v>
      </c>
      <c r="N52" s="76">
        <f>N$49*INDEX(Assumptions!$Y$5:$Y$8,MATCH(M52,Assumptions!$W$5:$W$8,0))</f>
        <v>0</v>
      </c>
      <c r="O52" s="378">
        <f>Assumptions!$R$18</f>
        <v>800</v>
      </c>
      <c r="P52" s="379">
        <f>Assumptions!$R$19*(1+Q$49)</f>
        <v>2.4</v>
      </c>
      <c r="Q52" s="380">
        <f>12*N52*O52*P52</f>
        <v>0</v>
      </c>
      <c r="R52" s="125"/>
      <c r="S52" s="307"/>
      <c r="T52" s="100"/>
      <c r="U52" s="308"/>
      <c r="V52" s="309"/>
      <c r="W52" s="125"/>
      <c r="X52" s="99"/>
    </row>
    <row r="53" spans="1:24" ht="15" customHeight="1">
      <c r="A53" s="31" t="str">
        <f>Assumptions!$W$7</f>
        <v>2BR</v>
      </c>
      <c r="B53" s="76">
        <f>B$49*INDEX(Assumptions!$Y$5:$Y$8,MATCH(A53,Assumptions!$W$5:$W$8,0))</f>
        <v>78.75</v>
      </c>
      <c r="C53" s="32">
        <f>Assumptions!$R$21</f>
        <v>1200</v>
      </c>
      <c r="D53" s="379">
        <f>Assumptions!$R$22*(1+E$49)</f>
        <v>2.2000000000000002</v>
      </c>
      <c r="E53" s="380">
        <f>12*B53*C53*D53</f>
        <v>2494800</v>
      </c>
      <c r="F53" s="100"/>
      <c r="G53" s="31" t="str">
        <f>Assumptions!$W$7</f>
        <v>2BR</v>
      </c>
      <c r="H53" s="76">
        <f>H$49*INDEX(Assumptions!$Y$5:$Y$8,MATCH(G53,Assumptions!$W$5:$W$8,0))</f>
        <v>0</v>
      </c>
      <c r="I53" s="32">
        <f>Assumptions!$R$21</f>
        <v>1200</v>
      </c>
      <c r="J53" s="379">
        <f>Assumptions!$R$22*(1+K$49)</f>
        <v>2.2000000000000002</v>
      </c>
      <c r="K53" s="380">
        <f>12*H53*I53*J53</f>
        <v>0</v>
      </c>
      <c r="L53" s="125"/>
      <c r="M53" s="31" t="str">
        <f>Assumptions!$W$7</f>
        <v>2BR</v>
      </c>
      <c r="N53" s="76">
        <f>N$49*INDEX(Assumptions!$Y$5:$Y$8,MATCH(M53,Assumptions!$W$5:$W$8,0))</f>
        <v>0</v>
      </c>
      <c r="O53" s="32">
        <f>Assumptions!$R$21</f>
        <v>1200</v>
      </c>
      <c r="P53" s="379">
        <f>Assumptions!$R$22*(1+Q$49)</f>
        <v>2.2000000000000002</v>
      </c>
      <c r="Q53" s="380">
        <f>12*N53*O53*P53</f>
        <v>0</v>
      </c>
      <c r="R53" s="125"/>
      <c r="S53" s="307"/>
      <c r="T53" s="100"/>
      <c r="U53" s="308"/>
      <c r="V53" s="309"/>
      <c r="W53" s="125"/>
    </row>
    <row r="54" spans="1:24" ht="15" customHeight="1" thickBot="1">
      <c r="A54" s="31" t="str">
        <f>Assumptions!$W$8</f>
        <v>3BR</v>
      </c>
      <c r="B54" s="76">
        <f>B$49*INDEX(Assumptions!$Y$5:$Y$8,MATCH(A54,Assumptions!$W$5:$W$8,0))</f>
        <v>78.75</v>
      </c>
      <c r="C54" s="378">
        <f>Assumptions!$R$24</f>
        <v>2000</v>
      </c>
      <c r="D54" s="379">
        <f>Assumptions!$R$25*(1+E$49)</f>
        <v>2.5</v>
      </c>
      <c r="E54" s="380">
        <f>12*B54*C54*D54</f>
        <v>4725000</v>
      </c>
      <c r="G54" s="31" t="str">
        <f>Assumptions!$W$8</f>
        <v>3BR</v>
      </c>
      <c r="H54" s="76">
        <f>H$49*INDEX(Assumptions!$Y$5:$Y$8,MATCH(G54,Assumptions!$W$5:$W$8,0))</f>
        <v>0</v>
      </c>
      <c r="I54" s="378">
        <f>Assumptions!$R$24</f>
        <v>2000</v>
      </c>
      <c r="J54" s="379">
        <f>Assumptions!$R$25*(1+K$49)</f>
        <v>2.5</v>
      </c>
      <c r="K54" s="380">
        <f>12*H54*I54*J54</f>
        <v>0</v>
      </c>
      <c r="L54" s="125"/>
      <c r="M54" s="31" t="str">
        <f>Assumptions!$W$8</f>
        <v>3BR</v>
      </c>
      <c r="N54" s="76">
        <f>N$49*INDEX(Assumptions!$Y$5:$Y$8,MATCH(M54,Assumptions!$W$5:$W$8,0))</f>
        <v>0</v>
      </c>
      <c r="O54" s="378">
        <f>Assumptions!$R$24</f>
        <v>2000</v>
      </c>
      <c r="P54" s="379">
        <f>Assumptions!$R$25*(1+Q$49)</f>
        <v>2.5</v>
      </c>
      <c r="Q54" s="380">
        <f>12*N54*O54*P54</f>
        <v>0</v>
      </c>
      <c r="R54" s="125"/>
      <c r="S54" s="307"/>
      <c r="T54" s="100"/>
      <c r="U54" s="308"/>
      <c r="V54" s="309"/>
      <c r="W54" s="125"/>
    </row>
    <row r="55" spans="1:24" ht="15" customHeight="1" thickTop="1" thickBot="1">
      <c r="A55" s="7" t="s">
        <v>425</v>
      </c>
      <c r="B55" s="8">
        <f>SUM(B51:B54)</f>
        <v>525</v>
      </c>
      <c r="C55" s="9">
        <f>SUMPRODUCT(B51:B54,C51:C54)</f>
        <v>519750</v>
      </c>
      <c r="D55" s="61"/>
      <c r="E55" s="62">
        <f>SUM(E51:E54)</f>
        <v>15346800</v>
      </c>
      <c r="F55" s="100"/>
      <c r="G55" s="7" t="s">
        <v>425</v>
      </c>
      <c r="H55" s="8">
        <f>SUM(H51:H54)</f>
        <v>0</v>
      </c>
      <c r="I55" s="9">
        <f>SUMPRODUCT(H51:H54,I51:I54)</f>
        <v>0</v>
      </c>
      <c r="J55" s="61"/>
      <c r="K55" s="62">
        <f>SUM(K51:K54)</f>
        <v>0</v>
      </c>
      <c r="L55" s="122"/>
      <c r="M55" s="7" t="s">
        <v>425</v>
      </c>
      <c r="N55" s="8">
        <f>SUM(N51:N54)</f>
        <v>0</v>
      </c>
      <c r="O55" s="9">
        <f>SUMPRODUCT(N51:N54,O51:O54)</f>
        <v>0</v>
      </c>
      <c r="P55" s="61"/>
      <c r="Q55" s="62">
        <f>SUM(Q51:Q54)</f>
        <v>0</v>
      </c>
      <c r="R55" s="122"/>
      <c r="S55" s="12"/>
      <c r="T55" s="310"/>
      <c r="U55" s="311"/>
      <c r="V55" s="312"/>
      <c r="W55" s="122"/>
    </row>
    <row r="56" spans="1:24" ht="15" customHeight="1" thickTop="1" thickBot="1">
      <c r="A56" s="10" t="s">
        <v>426</v>
      </c>
      <c r="B56" s="60"/>
      <c r="C56" s="11">
        <f>IFERROR(C55/B55,0)</f>
        <v>990</v>
      </c>
      <c r="D56" s="63">
        <f>IFERROR((E55/12)/C55,0)</f>
        <v>2.4606060606060605</v>
      </c>
      <c r="E56" s="64"/>
      <c r="G56" s="10" t="s">
        <v>426</v>
      </c>
      <c r="H56" s="60"/>
      <c r="I56" s="11">
        <f>IFERROR(I55/H55,0)</f>
        <v>0</v>
      </c>
      <c r="J56" s="63">
        <f>IFERROR((K55/12)/I55,0)</f>
        <v>0</v>
      </c>
      <c r="K56" s="64"/>
      <c r="L56" s="12"/>
      <c r="M56" s="10" t="s">
        <v>426</v>
      </c>
      <c r="N56" s="60"/>
      <c r="O56" s="11">
        <f>IFERROR(O55/N55,0)</f>
        <v>0</v>
      </c>
      <c r="P56" s="63">
        <f>IFERROR((Q55/12)/O55,0)</f>
        <v>0</v>
      </c>
      <c r="Q56" s="64"/>
      <c r="R56" s="12"/>
      <c r="S56" s="12"/>
      <c r="T56" s="313"/>
      <c r="U56" s="314"/>
      <c r="V56" s="315"/>
      <c r="W56" s="12"/>
      <c r="X56" s="100"/>
    </row>
    <row r="57" spans="1:24" ht="15" customHeight="1">
      <c r="A57" s="104" t="s">
        <v>223</v>
      </c>
      <c r="B57" s="105" t="str">
        <f>B$37</f>
        <v>-</v>
      </c>
      <c r="C57" s="166" t="s">
        <v>419</v>
      </c>
      <c r="D57" s="165">
        <f>D$37*E$57</f>
        <v>0</v>
      </c>
      <c r="E57" s="106">
        <f>Assumptions!$Y$28</f>
        <v>0.77</v>
      </c>
      <c r="G57" s="104" t="s">
        <v>223</v>
      </c>
      <c r="H57" s="105" t="str">
        <f>H$37</f>
        <v>-</v>
      </c>
      <c r="I57" s="166" t="s">
        <v>419</v>
      </c>
      <c r="J57" s="165">
        <f>J$37*K$57</f>
        <v>0</v>
      </c>
      <c r="K57" s="106">
        <f>Assumptions!$Y$28</f>
        <v>0.77</v>
      </c>
      <c r="L57" s="55"/>
      <c r="M57" s="104" t="s">
        <v>223</v>
      </c>
      <c r="N57" s="105" t="str">
        <f>N$37</f>
        <v>-</v>
      </c>
      <c r="O57" s="166" t="s">
        <v>419</v>
      </c>
      <c r="P57" s="165">
        <f>P$37*Q$57</f>
        <v>0</v>
      </c>
      <c r="Q57" s="106">
        <f>Assumptions!$Y$28</f>
        <v>0.77</v>
      </c>
      <c r="R57" s="55"/>
      <c r="S57" s="123"/>
      <c r="T57" s="99"/>
      <c r="U57" s="135"/>
      <c r="V57" s="298"/>
      <c r="W57" s="55"/>
      <c r="X57" s="100"/>
    </row>
    <row r="58" spans="1:24" ht="15" customHeight="1">
      <c r="A58" s="104" t="s">
        <v>420</v>
      </c>
      <c r="B58" s="160">
        <v>0</v>
      </c>
      <c r="C58" s="113" t="str">
        <f>IF(C63&gt;D57,"# of Units Over Available Area","# of Units Within Available Area")</f>
        <v># of Units Within Available Area</v>
      </c>
      <c r="D58" s="158"/>
      <c r="E58" s="159"/>
      <c r="G58" s="104" t="s">
        <v>420</v>
      </c>
      <c r="H58" s="160">
        <v>0</v>
      </c>
      <c r="I58" s="113" t="str">
        <f>IF(I63&gt;J57,"# of Units Over Available Area","# of Units Within Available Area")</f>
        <v># of Units Within Available Area</v>
      </c>
      <c r="J58" s="158"/>
      <c r="K58" s="159"/>
      <c r="L58" s="102"/>
      <c r="M58" s="104" t="s">
        <v>420</v>
      </c>
      <c r="N58" s="160">
        <v>0</v>
      </c>
      <c r="O58" s="113" t="str">
        <f>IF(O63&gt;P57,"# of Units Over Available Area","# of Units Within Available Area")</f>
        <v># of Units Within Available Area</v>
      </c>
      <c r="P58" s="158"/>
      <c r="Q58" s="159"/>
      <c r="R58" s="102"/>
      <c r="S58" s="123"/>
      <c r="T58" s="296"/>
      <c r="U58" s="297"/>
      <c r="V58" s="112"/>
      <c r="W58" s="102"/>
      <c r="X58" s="100"/>
    </row>
    <row r="59" spans="1:24" ht="15" customHeight="1">
      <c r="A59" s="107" t="s">
        <v>308</v>
      </c>
      <c r="B59" s="108" t="s">
        <v>427</v>
      </c>
      <c r="C59" s="109" t="s">
        <v>428</v>
      </c>
      <c r="D59" s="108" t="s">
        <v>74</v>
      </c>
      <c r="E59" s="110" t="s">
        <v>429</v>
      </c>
      <c r="G59" s="107" t="s">
        <v>308</v>
      </c>
      <c r="H59" s="108" t="s">
        <v>427</v>
      </c>
      <c r="I59" s="109" t="s">
        <v>428</v>
      </c>
      <c r="J59" s="108" t="s">
        <v>74</v>
      </c>
      <c r="K59" s="110" t="s">
        <v>429</v>
      </c>
      <c r="L59" s="124"/>
      <c r="M59" s="107" t="s">
        <v>308</v>
      </c>
      <c r="N59" s="108" t="s">
        <v>427</v>
      </c>
      <c r="O59" s="109" t="s">
        <v>428</v>
      </c>
      <c r="P59" s="108" t="s">
        <v>74</v>
      </c>
      <c r="Q59" s="110" t="s">
        <v>429</v>
      </c>
      <c r="R59" s="124"/>
      <c r="S59" s="123"/>
      <c r="T59" s="124"/>
      <c r="U59" s="276"/>
      <c r="V59" s="124"/>
      <c r="W59" s="124"/>
      <c r="X59" s="100"/>
    </row>
    <row r="60" spans="1:24" ht="15" customHeight="1">
      <c r="A60" s="31" t="str">
        <f>Assumptions!$W$15</f>
        <v>1BR</v>
      </c>
      <c r="B60" s="76">
        <f>B$58*INDEX(Assumptions!$Y$10:$Y$12,MATCH(A60,Assumptions!$W$10:$W$12,0))</f>
        <v>0</v>
      </c>
      <c r="C60" s="32">
        <f>Assumptions!$S$18</f>
        <v>1000</v>
      </c>
      <c r="D60" s="379">
        <f>Assumptions!$S$19</f>
        <v>400</v>
      </c>
      <c r="E60" s="380">
        <f>B60*C60*D60</f>
        <v>0</v>
      </c>
      <c r="G60" s="31" t="str">
        <f>Assumptions!$W$15</f>
        <v>1BR</v>
      </c>
      <c r="H60" s="76">
        <f>H$58*INDEX(Assumptions!$Y$10:$Y$12,MATCH(G60,Assumptions!$W$10:$W$12,0))</f>
        <v>0</v>
      </c>
      <c r="I60" s="32">
        <f>Assumptions!$S$18</f>
        <v>1000</v>
      </c>
      <c r="J60" s="379">
        <f>Assumptions!$S$19</f>
        <v>400</v>
      </c>
      <c r="K60" s="380">
        <f>H60*I60*J60</f>
        <v>0</v>
      </c>
      <c r="L60" s="124"/>
      <c r="M60" s="31" t="str">
        <f>Assumptions!$W$15</f>
        <v>1BR</v>
      </c>
      <c r="N60" s="76">
        <f>N$58*INDEX(Assumptions!$Y$10:$Y$12,MATCH(M60,Assumptions!$W$10:$W$12,0))</f>
        <v>0</v>
      </c>
      <c r="O60" s="32">
        <f>Assumptions!$S$18</f>
        <v>1000</v>
      </c>
      <c r="P60" s="379">
        <f>Assumptions!$S$19</f>
        <v>400</v>
      </c>
      <c r="Q60" s="380">
        <f>N60*O60*P60</f>
        <v>0</v>
      </c>
      <c r="R60" s="124"/>
      <c r="S60" s="307"/>
      <c r="T60" s="100"/>
      <c r="U60" s="308"/>
      <c r="V60" s="309"/>
      <c r="W60" s="125"/>
      <c r="X60" s="100"/>
    </row>
    <row r="61" spans="1:24" ht="15" customHeight="1">
      <c r="A61" s="31" t="str">
        <f>Assumptions!$W$16</f>
        <v>2BR</v>
      </c>
      <c r="B61" s="76">
        <f>B$58*INDEX(Assumptions!$Y$10:$Y$12,MATCH(A61,Assumptions!$W$10:$W$12,0))</f>
        <v>0</v>
      </c>
      <c r="C61" s="32">
        <f>Assumptions!$S$21</f>
        <v>1500</v>
      </c>
      <c r="D61" s="379">
        <f>Assumptions!$S$22</f>
        <v>370</v>
      </c>
      <c r="E61" s="380">
        <f>B61*C61*D61</f>
        <v>0</v>
      </c>
      <c r="G61" s="31" t="str">
        <f>Assumptions!$W$16</f>
        <v>2BR</v>
      </c>
      <c r="H61" s="76">
        <f>H$58*INDEX(Assumptions!$Y$10:$Y$12,MATCH(G61,Assumptions!$W$10:$W$12,0))</f>
        <v>0</v>
      </c>
      <c r="I61" s="32">
        <f>Assumptions!$S$21</f>
        <v>1500</v>
      </c>
      <c r="J61" s="379">
        <f>Assumptions!$S$22</f>
        <v>370</v>
      </c>
      <c r="K61" s="380">
        <f>H61*I61*J61</f>
        <v>0</v>
      </c>
      <c r="L61" s="125"/>
      <c r="M61" s="31" t="str">
        <f>Assumptions!$W$16</f>
        <v>2BR</v>
      </c>
      <c r="N61" s="76">
        <f>N$58*INDEX(Assumptions!$Y$10:$Y$12,MATCH(M61,Assumptions!$W$10:$W$12,0))</f>
        <v>0</v>
      </c>
      <c r="O61" s="32">
        <f>Assumptions!$S$21</f>
        <v>1500</v>
      </c>
      <c r="P61" s="379">
        <f>Assumptions!$S$22</f>
        <v>370</v>
      </c>
      <c r="Q61" s="380">
        <f>N61*O61*P61</f>
        <v>0</v>
      </c>
      <c r="R61" s="125"/>
      <c r="S61" s="307"/>
      <c r="T61" s="100"/>
      <c r="U61" s="308"/>
      <c r="V61" s="309"/>
      <c r="W61" s="125"/>
      <c r="X61" s="100"/>
    </row>
    <row r="62" spans="1:24" ht="15" customHeight="1" thickBot="1">
      <c r="A62" s="31" t="str">
        <f>Assumptions!$W$17</f>
        <v>3BR</v>
      </c>
      <c r="B62" s="76">
        <f>B$58*INDEX(Assumptions!$Y$10:$Y$12,MATCH(A62,Assumptions!$W$10:$W$12,0))</f>
        <v>0</v>
      </c>
      <c r="C62" s="378">
        <f>Assumptions!$S$24</f>
        <v>2300</v>
      </c>
      <c r="D62" s="379">
        <f>Assumptions!$S$25</f>
        <v>340</v>
      </c>
      <c r="E62" s="380">
        <f>B62*C62*D62</f>
        <v>0</v>
      </c>
      <c r="G62" s="31" t="str">
        <f>Assumptions!$W$17</f>
        <v>3BR</v>
      </c>
      <c r="H62" s="76">
        <f>H$58*INDEX(Assumptions!$Y$10:$Y$12,MATCH(G62,Assumptions!$W$10:$W$12,0))</f>
        <v>0</v>
      </c>
      <c r="I62" s="378">
        <f>Assumptions!$S$24</f>
        <v>2300</v>
      </c>
      <c r="J62" s="379">
        <f>Assumptions!$S$25</f>
        <v>340</v>
      </c>
      <c r="K62" s="380">
        <f>H62*I62*J62</f>
        <v>0</v>
      </c>
      <c r="L62" s="125"/>
      <c r="M62" s="31" t="str">
        <f>Assumptions!$W$17</f>
        <v>3BR</v>
      </c>
      <c r="N62" s="76">
        <f>N$58*INDEX(Assumptions!$Y$10:$Y$12,MATCH(M62,Assumptions!$W$10:$W$12,0))</f>
        <v>0</v>
      </c>
      <c r="O62" s="378">
        <f>Assumptions!$S$24</f>
        <v>2300</v>
      </c>
      <c r="P62" s="379">
        <f>Assumptions!$S$25</f>
        <v>340</v>
      </c>
      <c r="Q62" s="380">
        <f>N62*O62*P62</f>
        <v>0</v>
      </c>
      <c r="R62" s="125"/>
      <c r="S62" s="307"/>
      <c r="T62" s="100"/>
      <c r="U62" s="308"/>
      <c r="V62" s="309"/>
      <c r="W62" s="125"/>
      <c r="X62" s="100"/>
    </row>
    <row r="63" spans="1:24" ht="15" customHeight="1" thickTop="1" thickBot="1">
      <c r="A63" s="7" t="s">
        <v>425</v>
      </c>
      <c r="B63" s="8">
        <f>SUM(B61:B62)</f>
        <v>0</v>
      </c>
      <c r="C63" s="9">
        <f>SUMPRODUCT(B60:B62,C60:C62)</f>
        <v>0</v>
      </c>
      <c r="D63" s="61"/>
      <c r="E63" s="62">
        <f>SUM(E60:E62)</f>
        <v>0</v>
      </c>
      <c r="G63" s="7" t="s">
        <v>425</v>
      </c>
      <c r="H63" s="8">
        <f>SUM(H61:H62)</f>
        <v>0</v>
      </c>
      <c r="I63" s="9">
        <f>SUMPRODUCT(H60:H62,I60:I62)</f>
        <v>0</v>
      </c>
      <c r="J63" s="61"/>
      <c r="K63" s="62">
        <f>SUM(K60:K62)</f>
        <v>0</v>
      </c>
      <c r="L63" s="122"/>
      <c r="M63" s="7" t="s">
        <v>425</v>
      </c>
      <c r="N63" s="8">
        <f>SUM(N61:N62)</f>
        <v>0</v>
      </c>
      <c r="O63" s="9">
        <f>SUMPRODUCT(N60:N62,O60:O62)</f>
        <v>0</v>
      </c>
      <c r="P63" s="61"/>
      <c r="Q63" s="62">
        <f>SUM(Q60:Q62)</f>
        <v>0</v>
      </c>
      <c r="R63" s="122"/>
      <c r="S63" s="12"/>
      <c r="T63" s="310"/>
      <c r="U63" s="311"/>
      <c r="V63" s="312"/>
      <c r="W63" s="122"/>
      <c r="X63" s="100"/>
    </row>
    <row r="64" spans="1:24" ht="15" customHeight="1" thickTop="1" thickBot="1">
      <c r="A64" s="10" t="s">
        <v>426</v>
      </c>
      <c r="B64" s="60"/>
      <c r="C64" s="11">
        <f>IFERROR(C63/B63,0)</f>
        <v>0</v>
      </c>
      <c r="D64" s="63">
        <f>IFERROR((E63/12)/C63,0)</f>
        <v>0</v>
      </c>
      <c r="E64" s="64"/>
      <c r="G64" s="10" t="s">
        <v>426</v>
      </c>
      <c r="H64" s="60"/>
      <c r="I64" s="11">
        <f>IFERROR(I63/H63,0)</f>
        <v>0</v>
      </c>
      <c r="J64" s="63">
        <f>IFERROR((K63/12)/I63,0)</f>
        <v>0</v>
      </c>
      <c r="K64" s="64"/>
      <c r="L64" s="12"/>
      <c r="M64" s="10" t="s">
        <v>426</v>
      </c>
      <c r="N64" s="60"/>
      <c r="O64" s="11">
        <f>IFERROR(O63/N63,0)</f>
        <v>0</v>
      </c>
      <c r="P64" s="63">
        <f>IFERROR((Q63/12)/O63,0)</f>
        <v>0</v>
      </c>
      <c r="Q64" s="64"/>
      <c r="R64" s="12"/>
      <c r="S64" s="12"/>
      <c r="T64" s="313"/>
      <c r="U64" s="314"/>
      <c r="V64" s="315"/>
      <c r="W64" s="12"/>
      <c r="X64" s="100"/>
    </row>
    <row r="65" spans="1:24" ht="15" customHeight="1">
      <c r="A65" s="104" t="s">
        <v>224</v>
      </c>
      <c r="B65" s="105" t="str">
        <f>B$38</f>
        <v>Multifamily-Affordable</v>
      </c>
      <c r="C65" s="166" t="s">
        <v>419</v>
      </c>
      <c r="D65" s="111">
        <f>D$38*E$65</f>
        <v>129952.9154</v>
      </c>
      <c r="E65" s="106">
        <f>Assumptions!$Y$28</f>
        <v>0.77</v>
      </c>
      <c r="G65" s="104" t="s">
        <v>224</v>
      </c>
      <c r="H65" s="105" t="str">
        <f>H$38</f>
        <v>-</v>
      </c>
      <c r="I65" s="166" t="s">
        <v>419</v>
      </c>
      <c r="J65" s="111">
        <f>J$38*K$65</f>
        <v>0</v>
      </c>
      <c r="K65" s="106">
        <f>Assumptions!$Y$28</f>
        <v>0.77</v>
      </c>
      <c r="L65" s="12"/>
      <c r="M65" s="104" t="s">
        <v>224</v>
      </c>
      <c r="N65" s="105" t="str">
        <f>N$38</f>
        <v>-</v>
      </c>
      <c r="O65" s="166" t="s">
        <v>419</v>
      </c>
      <c r="P65" s="111">
        <f>P$38*Q$65</f>
        <v>0</v>
      </c>
      <c r="Q65" s="106">
        <f>Assumptions!$Y$28</f>
        <v>0.77</v>
      </c>
      <c r="R65" s="12"/>
      <c r="S65" s="123"/>
      <c r="T65" s="99"/>
      <c r="U65" s="135"/>
      <c r="V65" s="295"/>
      <c r="W65" s="55"/>
      <c r="X65" s="100"/>
    </row>
    <row r="66" spans="1:24" ht="15" customHeight="1">
      <c r="A66" s="104" t="s">
        <v>420</v>
      </c>
      <c r="B66" s="160">
        <v>134</v>
      </c>
      <c r="C66" s="113" t="str">
        <f>IF(C72&gt;D65,"# of Units Over Available Area","# of Units Within Available Area")</f>
        <v># of Units Within Available Area</v>
      </c>
      <c r="D66" s="112" t="s">
        <v>421</v>
      </c>
      <c r="E66" s="120">
        <v>0</v>
      </c>
      <c r="G66" s="104" t="s">
        <v>420</v>
      </c>
      <c r="H66" s="160">
        <v>0</v>
      </c>
      <c r="I66" s="113" t="str">
        <f>IF(I72&gt;J65,"# of Units Over Available Area","# of Units Within Available Area")</f>
        <v># of Units Within Available Area</v>
      </c>
      <c r="J66" s="112" t="s">
        <v>421</v>
      </c>
      <c r="K66" s="120">
        <v>0</v>
      </c>
      <c r="L66" s="12"/>
      <c r="M66" s="104" t="s">
        <v>420</v>
      </c>
      <c r="N66" s="160">
        <v>0</v>
      </c>
      <c r="O66" s="113" t="str">
        <f>IF(O72&gt;P65,"# of Units Over Available Area","# of Units Within Available Area")</f>
        <v># of Units Within Available Area</v>
      </c>
      <c r="P66" s="112" t="s">
        <v>421</v>
      </c>
      <c r="Q66" s="120">
        <v>0</v>
      </c>
      <c r="R66" s="12"/>
      <c r="S66" s="123"/>
      <c r="T66" s="296"/>
      <c r="U66" s="297"/>
      <c r="V66" s="112"/>
      <c r="W66" s="102"/>
      <c r="X66" s="100"/>
    </row>
    <row r="67" spans="1:24" ht="15" customHeight="1">
      <c r="A67" s="107" t="s">
        <v>308</v>
      </c>
      <c r="B67" s="108" t="s">
        <v>427</v>
      </c>
      <c r="C67" s="109" t="s">
        <v>428</v>
      </c>
      <c r="D67" s="108" t="s">
        <v>423</v>
      </c>
      <c r="E67" s="110" t="s">
        <v>424</v>
      </c>
      <c r="G67" s="107" t="s">
        <v>308</v>
      </c>
      <c r="H67" s="108" t="s">
        <v>427</v>
      </c>
      <c r="I67" s="109" t="s">
        <v>428</v>
      </c>
      <c r="J67" s="108" t="s">
        <v>423</v>
      </c>
      <c r="K67" s="110" t="s">
        <v>424</v>
      </c>
      <c r="L67" s="12"/>
      <c r="M67" s="107" t="s">
        <v>308</v>
      </c>
      <c r="N67" s="108" t="s">
        <v>427</v>
      </c>
      <c r="O67" s="109" t="s">
        <v>428</v>
      </c>
      <c r="P67" s="108" t="s">
        <v>423</v>
      </c>
      <c r="Q67" s="110" t="s">
        <v>424</v>
      </c>
      <c r="R67" s="12"/>
      <c r="S67" s="123"/>
      <c r="T67" s="124"/>
      <c r="U67" s="276"/>
      <c r="V67" s="124"/>
      <c r="W67" s="124"/>
      <c r="X67" s="100"/>
    </row>
    <row r="68" spans="1:24" ht="15" customHeight="1">
      <c r="A68" s="31" t="str">
        <f>Assumptions!$W$14</f>
        <v>Studio</v>
      </c>
      <c r="B68" s="76">
        <f>B$66*INDEX(Assumptions!$Y$14:$Y$17,MATCH(A68,Assumptions!$W$14:$W$17,0))</f>
        <v>40.199999999999996</v>
      </c>
      <c r="C68" s="32">
        <f>Assumptions!$R$28</f>
        <v>550</v>
      </c>
      <c r="D68" s="42">
        <f>Assumptions!$R29*(1+E$66)</f>
        <v>2.4</v>
      </c>
      <c r="E68" s="43">
        <f>12*B68*C68*D68</f>
        <v>636768</v>
      </c>
      <c r="G68" s="31" t="str">
        <f>Assumptions!$W$14</f>
        <v>Studio</v>
      </c>
      <c r="H68" s="76">
        <f>H$66*INDEX(Assumptions!$Y$14:$Y$17,MATCH(G68,Assumptions!$W$14:$W$17,0))</f>
        <v>0</v>
      </c>
      <c r="I68" s="32">
        <f>Assumptions!$R$28</f>
        <v>550</v>
      </c>
      <c r="J68" s="42">
        <f>Assumptions!$R29*(1+K$66)</f>
        <v>2.4</v>
      </c>
      <c r="K68" s="43">
        <f>12*H68*I68*J68</f>
        <v>0</v>
      </c>
      <c r="L68" s="12"/>
      <c r="M68" s="31" t="str">
        <f>Assumptions!$W$14</f>
        <v>Studio</v>
      </c>
      <c r="N68" s="76">
        <f>N$66*INDEX(Assumptions!$Y$14:$Y$17,MATCH(M68,Assumptions!$W$14:$W$17,0))</f>
        <v>0</v>
      </c>
      <c r="O68" s="32">
        <f>Assumptions!$R$28</f>
        <v>550</v>
      </c>
      <c r="P68" s="42">
        <f>Assumptions!$R29*(1+Q$66)</f>
        <v>2.4</v>
      </c>
      <c r="Q68" s="43">
        <f>12*N68*O68*P68</f>
        <v>0</v>
      </c>
      <c r="R68" s="12"/>
      <c r="S68" s="307"/>
      <c r="T68" s="100"/>
      <c r="U68" s="308"/>
      <c r="V68" s="309"/>
      <c r="W68" s="125"/>
      <c r="X68" s="100"/>
    </row>
    <row r="69" spans="1:24" ht="15" customHeight="1">
      <c r="A69" s="31" t="str">
        <f>Assumptions!$W$15</f>
        <v>1BR</v>
      </c>
      <c r="B69" s="76">
        <f>B$66*INDEX(Assumptions!$Y$14:$Y$17,MATCH(A69,Assumptions!$W$14:$W$17,0))</f>
        <v>53.6</v>
      </c>
      <c r="C69" s="32">
        <f>Assumptions!$R$31</f>
        <v>800</v>
      </c>
      <c r="D69" s="42">
        <f>Assumptions!$R32*(1+E$66)</f>
        <v>2.0487500000000001</v>
      </c>
      <c r="E69" s="43">
        <f>12*B69*C69*D69</f>
        <v>1054204.8</v>
      </c>
      <c r="G69" s="31" t="str">
        <f>Assumptions!$W$15</f>
        <v>1BR</v>
      </c>
      <c r="H69" s="76">
        <f>H$66*INDEX(Assumptions!$Y$14:$Y$17,MATCH(G69,Assumptions!$W$14:$W$17,0))</f>
        <v>0</v>
      </c>
      <c r="I69" s="32">
        <f>Assumptions!$R$31</f>
        <v>800</v>
      </c>
      <c r="J69" s="42">
        <f>Assumptions!$R32*(1+K$66)</f>
        <v>2.0487500000000001</v>
      </c>
      <c r="K69" s="43">
        <f>12*H69*I69*J69</f>
        <v>0</v>
      </c>
      <c r="L69" s="12"/>
      <c r="M69" s="31" t="str">
        <f>Assumptions!$W$15</f>
        <v>1BR</v>
      </c>
      <c r="N69" s="76">
        <f>N$66*INDEX(Assumptions!$Y$14:$Y$17,MATCH(M69,Assumptions!$W$14:$W$17,0))</f>
        <v>0</v>
      </c>
      <c r="O69" s="32">
        <f>Assumptions!$R$31</f>
        <v>800</v>
      </c>
      <c r="P69" s="42">
        <f>Assumptions!$R32*(1+Q$66)</f>
        <v>2.0487500000000001</v>
      </c>
      <c r="Q69" s="43">
        <f>12*N69*O69*P69</f>
        <v>0</v>
      </c>
      <c r="R69" s="12"/>
      <c r="S69" s="307"/>
      <c r="T69" s="100"/>
      <c r="U69" s="308"/>
      <c r="V69" s="309"/>
      <c r="W69" s="125"/>
      <c r="X69" s="100"/>
    </row>
    <row r="70" spans="1:24" ht="15" customHeight="1">
      <c r="A70" s="31" t="str">
        <f>Assumptions!$W$16</f>
        <v>2BR</v>
      </c>
      <c r="B70" s="76">
        <f>B$66*INDEX(Assumptions!$Y$14:$Y$17,MATCH(A70,Assumptions!$W$14:$W$17,0))</f>
        <v>20.099999999999998</v>
      </c>
      <c r="C70" s="378">
        <f>Assumptions!$R$34</f>
        <v>1200</v>
      </c>
      <c r="D70" s="379">
        <f>Assumptions!$R$36*(1+E$66)</f>
        <v>1.5083333333333333</v>
      </c>
      <c r="E70" s="380">
        <f>12*B70*C70*D70</f>
        <v>436572</v>
      </c>
      <c r="G70" s="31" t="str">
        <f>Assumptions!$W$16</f>
        <v>2BR</v>
      </c>
      <c r="H70" s="76">
        <f>H$66*INDEX(Assumptions!$Y$14:$Y$17,MATCH(G70,Assumptions!$W$14:$W$17,0))</f>
        <v>0</v>
      </c>
      <c r="I70" s="378">
        <f>Assumptions!$R$34</f>
        <v>1200</v>
      </c>
      <c r="J70" s="379">
        <f>Assumptions!$R$36*(1+K$66)</f>
        <v>1.5083333333333333</v>
      </c>
      <c r="K70" s="380">
        <f>12*H70*I70*J70</f>
        <v>0</v>
      </c>
      <c r="L70" s="12"/>
      <c r="M70" s="31" t="str">
        <f>Assumptions!$W$16</f>
        <v>2BR</v>
      </c>
      <c r="N70" s="76">
        <f>N$66*INDEX(Assumptions!$Y$14:$Y$17,MATCH(M70,Assumptions!$W$14:$W$17,0))</f>
        <v>0</v>
      </c>
      <c r="O70" s="378">
        <f>Assumptions!$R$34</f>
        <v>1200</v>
      </c>
      <c r="P70" s="379">
        <f>Assumptions!$R$36*(1+Q$66)</f>
        <v>1.5083333333333333</v>
      </c>
      <c r="Q70" s="380">
        <f>12*N70*O70*P70</f>
        <v>0</v>
      </c>
      <c r="R70" s="12"/>
      <c r="S70" s="307"/>
      <c r="T70" s="100"/>
      <c r="U70" s="308"/>
      <c r="V70" s="309"/>
      <c r="W70" s="125"/>
      <c r="X70" s="100"/>
    </row>
    <row r="71" spans="1:24" ht="15" customHeight="1" thickBot="1">
      <c r="A71" s="31" t="str">
        <f>Assumptions!$W$17</f>
        <v>3BR</v>
      </c>
      <c r="B71" s="76">
        <f>B$66*INDEX(Assumptions!$Y$14:$Y$17,MATCH(A71,Assumptions!$W$14:$W$17,0))</f>
        <v>20.099999999999998</v>
      </c>
      <c r="C71" s="32">
        <f>Assumptions!$R$38</f>
        <v>2000</v>
      </c>
      <c r="D71" s="379">
        <f>Assumptions!$R$39*(1+E$66)</f>
        <v>1.5145</v>
      </c>
      <c r="E71" s="380">
        <f>12*B71*C71*D71</f>
        <v>730594.79999999993</v>
      </c>
      <c r="G71" s="31" t="str">
        <f>Assumptions!$W$17</f>
        <v>3BR</v>
      </c>
      <c r="H71" s="76">
        <f>H$66*INDEX(Assumptions!$Y$14:$Y$17,MATCH(G71,Assumptions!$W$14:$W$17,0))</f>
        <v>0</v>
      </c>
      <c r="I71" s="32">
        <f>Assumptions!$R$38</f>
        <v>2000</v>
      </c>
      <c r="J71" s="379">
        <f>Assumptions!$R$39*(1+K$66)</f>
        <v>1.5145</v>
      </c>
      <c r="K71" s="380">
        <f>12*H71*I71*J71</f>
        <v>0</v>
      </c>
      <c r="L71" s="12"/>
      <c r="M71" s="31" t="str">
        <f>Assumptions!$W$17</f>
        <v>3BR</v>
      </c>
      <c r="N71" s="76">
        <f>N$66*INDEX(Assumptions!$Y$14:$Y$17,MATCH(M71,Assumptions!$W$14:$W$17,0))</f>
        <v>0</v>
      </c>
      <c r="O71" s="32">
        <f>Assumptions!$R$38</f>
        <v>2000</v>
      </c>
      <c r="P71" s="379">
        <f>Assumptions!$R$39*(1+Q$66)</f>
        <v>1.5145</v>
      </c>
      <c r="Q71" s="380">
        <f>12*N71*O71*P71</f>
        <v>0</v>
      </c>
      <c r="R71" s="12"/>
      <c r="S71" s="307"/>
      <c r="T71" s="100"/>
      <c r="U71" s="308"/>
      <c r="V71" s="309"/>
      <c r="W71" s="125"/>
      <c r="X71" s="100"/>
    </row>
    <row r="72" spans="1:24" ht="15" customHeight="1" thickTop="1" thickBot="1">
      <c r="A72" s="7" t="s">
        <v>425</v>
      </c>
      <c r="B72" s="8">
        <f>SUM(B68:B71)</f>
        <v>134</v>
      </c>
      <c r="C72" s="9">
        <f>SUMPRODUCT(B68:B71,C68:C71)</f>
        <v>129310</v>
      </c>
      <c r="D72" s="61"/>
      <c r="E72" s="62">
        <f>SUM(E68:E71)</f>
        <v>2858139.5999999996</v>
      </c>
      <c r="G72" s="7" t="s">
        <v>425</v>
      </c>
      <c r="H72" s="8">
        <f>SUM(H68:H71)</f>
        <v>0</v>
      </c>
      <c r="I72" s="9">
        <f>SUMPRODUCT(H68:H71,I68:I71)</f>
        <v>0</v>
      </c>
      <c r="J72" s="61"/>
      <c r="K72" s="62">
        <f>SUM(K68:K71)</f>
        <v>0</v>
      </c>
      <c r="L72" s="12"/>
      <c r="M72" s="7" t="s">
        <v>425</v>
      </c>
      <c r="N72" s="8">
        <f>SUM(N68:N71)</f>
        <v>0</v>
      </c>
      <c r="O72" s="9">
        <f>SUMPRODUCT(N68:N71,O68:O71)</f>
        <v>0</v>
      </c>
      <c r="P72" s="61"/>
      <c r="Q72" s="62">
        <f>SUM(Q68:Q71)</f>
        <v>0</v>
      </c>
      <c r="R72" s="12"/>
      <c r="S72" s="12"/>
      <c r="T72" s="310"/>
      <c r="U72" s="311"/>
      <c r="V72" s="312"/>
      <c r="W72" s="122"/>
      <c r="X72" s="100"/>
    </row>
    <row r="73" spans="1:24" ht="15" customHeight="1" thickTop="1" thickBot="1">
      <c r="A73" s="10" t="s">
        <v>426</v>
      </c>
      <c r="B73" s="60"/>
      <c r="C73" s="11">
        <f>IFERROR(C72/B72,0)</f>
        <v>965</v>
      </c>
      <c r="D73" s="63">
        <f>IFERROR((E72/12)/C72,0)</f>
        <v>1.8419170984455955</v>
      </c>
      <c r="E73" s="64"/>
      <c r="G73" s="10" t="s">
        <v>426</v>
      </c>
      <c r="H73" s="60"/>
      <c r="I73" s="11">
        <f>IFERROR(I72/H72,0)</f>
        <v>0</v>
      </c>
      <c r="J73" s="63">
        <f>IFERROR((K72/12)/I72,0)</f>
        <v>0</v>
      </c>
      <c r="K73" s="64"/>
      <c r="L73" s="12"/>
      <c r="M73" s="10" t="s">
        <v>426</v>
      </c>
      <c r="N73" s="60"/>
      <c r="O73" s="11">
        <f>IFERROR(O72/N72,0)</f>
        <v>0</v>
      </c>
      <c r="P73" s="63">
        <f>IFERROR((Q72/12)/O72,0)</f>
        <v>0</v>
      </c>
      <c r="Q73" s="64"/>
      <c r="R73" s="12"/>
      <c r="S73" s="12"/>
      <c r="T73" s="313"/>
      <c r="U73" s="314"/>
      <c r="V73" s="315"/>
      <c r="W73" s="12"/>
      <c r="X73" s="100"/>
    </row>
    <row r="74" spans="1:24" ht="15" customHeight="1">
      <c r="A74" s="104" t="s">
        <v>225</v>
      </c>
      <c r="B74" s="105" t="str">
        <f>B$39</f>
        <v>-</v>
      </c>
      <c r="C74" s="166" t="s">
        <v>419</v>
      </c>
      <c r="D74" s="111">
        <f>D$39*E$74</f>
        <v>0</v>
      </c>
      <c r="E74" s="106">
        <f>Assumptions!$Y$28</f>
        <v>0.77</v>
      </c>
      <c r="G74" s="104" t="s">
        <v>225</v>
      </c>
      <c r="H74" s="105" t="str">
        <f>H$39</f>
        <v>-</v>
      </c>
      <c r="I74" s="166" t="s">
        <v>419</v>
      </c>
      <c r="J74" s="111">
        <f>J$39*K$74</f>
        <v>0</v>
      </c>
      <c r="K74" s="106">
        <f>Assumptions!$Y$28</f>
        <v>0.77</v>
      </c>
      <c r="L74" s="12"/>
      <c r="M74" s="104" t="s">
        <v>225</v>
      </c>
      <c r="N74" s="105" t="str">
        <f>N$39</f>
        <v>-</v>
      </c>
      <c r="O74" s="166" t="s">
        <v>419</v>
      </c>
      <c r="P74" s="111">
        <f>P$39*Q$74</f>
        <v>0</v>
      </c>
      <c r="Q74" s="106">
        <f>Assumptions!$Y$28</f>
        <v>0.77</v>
      </c>
      <c r="R74" s="12"/>
      <c r="S74" s="123"/>
      <c r="T74" s="99"/>
      <c r="U74" s="135"/>
      <c r="V74" s="295"/>
      <c r="W74" s="55"/>
      <c r="X74" s="100"/>
    </row>
    <row r="75" spans="1:24" ht="15" customHeight="1">
      <c r="A75" s="104" t="s">
        <v>420</v>
      </c>
      <c r="B75" s="160">
        <v>0</v>
      </c>
      <c r="C75" s="113" t="str">
        <f>IF(C80&gt;D74,"# of Units Over Available Area","# of Units Within Available Area")</f>
        <v># of Units Within Available Area</v>
      </c>
      <c r="D75" s="158"/>
      <c r="E75" s="159"/>
      <c r="G75" s="104" t="s">
        <v>420</v>
      </c>
      <c r="H75" s="160">
        <v>0</v>
      </c>
      <c r="I75" s="113" t="str">
        <f>IF(I80&gt;J74,"# of Units Over Available Area","# of Units Within Available Area")</f>
        <v># of Units Within Available Area</v>
      </c>
      <c r="J75" s="158"/>
      <c r="K75" s="159"/>
      <c r="L75" s="12"/>
      <c r="M75" s="104" t="s">
        <v>420</v>
      </c>
      <c r="N75" s="160">
        <v>0</v>
      </c>
      <c r="O75" s="113" t="str">
        <f>IF(O80&gt;P74,"# of Units Over Available Area","# of Units Within Available Area")</f>
        <v># of Units Within Available Area</v>
      </c>
      <c r="P75" s="158"/>
      <c r="Q75" s="159"/>
      <c r="R75" s="12"/>
      <c r="S75" s="123"/>
      <c r="T75" s="296"/>
      <c r="U75" s="297"/>
      <c r="V75" s="112"/>
      <c r="W75" s="102"/>
      <c r="X75" s="100"/>
    </row>
    <row r="76" spans="1:24" ht="15" customHeight="1">
      <c r="A76" s="107" t="s">
        <v>308</v>
      </c>
      <c r="B76" s="108" t="s">
        <v>427</v>
      </c>
      <c r="C76" s="109" t="s">
        <v>428</v>
      </c>
      <c r="D76" s="108" t="s">
        <v>74</v>
      </c>
      <c r="E76" s="110" t="s">
        <v>429</v>
      </c>
      <c r="G76" s="107" t="s">
        <v>308</v>
      </c>
      <c r="H76" s="108" t="s">
        <v>427</v>
      </c>
      <c r="I76" s="109" t="s">
        <v>428</v>
      </c>
      <c r="J76" s="108" t="s">
        <v>74</v>
      </c>
      <c r="K76" s="110" t="s">
        <v>429</v>
      </c>
      <c r="L76" s="12"/>
      <c r="M76" s="107" t="s">
        <v>308</v>
      </c>
      <c r="N76" s="108" t="s">
        <v>427</v>
      </c>
      <c r="O76" s="109" t="s">
        <v>428</v>
      </c>
      <c r="P76" s="108" t="s">
        <v>74</v>
      </c>
      <c r="Q76" s="110" t="s">
        <v>429</v>
      </c>
      <c r="R76" s="12"/>
      <c r="S76" s="123"/>
      <c r="T76" s="124"/>
      <c r="U76" s="276"/>
      <c r="V76" s="124"/>
      <c r="W76" s="124"/>
      <c r="X76" s="100"/>
    </row>
    <row r="77" spans="1:24" ht="15" customHeight="1">
      <c r="A77" s="31" t="str">
        <f>Assumptions!$W$19</f>
        <v>1BR</v>
      </c>
      <c r="B77" s="76">
        <f>B$75*INDEX(Assumptions!$Y$19:$Y$21,MATCH(A77,Assumptions!$W$19:$W$21,0))</f>
        <v>0</v>
      </c>
      <c r="C77" s="32">
        <f>Assumptions!$S$18</f>
        <v>1000</v>
      </c>
      <c r="D77" s="379">
        <f>Assumptions!$S$32</f>
        <v>268</v>
      </c>
      <c r="E77" s="380">
        <f>B77*C77*D77</f>
        <v>0</v>
      </c>
      <c r="G77" s="31" t="str">
        <f>Assumptions!$W$19</f>
        <v>1BR</v>
      </c>
      <c r="H77" s="76">
        <f>H$75*INDEX(Assumptions!$Y$19:$Y$21,MATCH(G77,Assumptions!$W$19:$W$21,0))</f>
        <v>0</v>
      </c>
      <c r="I77" s="32">
        <f>Assumptions!$S$18</f>
        <v>1000</v>
      </c>
      <c r="J77" s="379">
        <f>Assumptions!$S$32</f>
        <v>268</v>
      </c>
      <c r="K77" s="380">
        <f>H77*I77*J77</f>
        <v>0</v>
      </c>
      <c r="L77" s="12"/>
      <c r="M77" s="31" t="str">
        <f>Assumptions!$W$19</f>
        <v>1BR</v>
      </c>
      <c r="N77" s="76">
        <f>N$75*INDEX(Assumptions!$Y$19:$Y$21,MATCH(M77,Assumptions!$W$19:$W$21,0))</f>
        <v>0</v>
      </c>
      <c r="O77" s="32">
        <f>Assumptions!$S$18</f>
        <v>1000</v>
      </c>
      <c r="P77" s="379">
        <f>Assumptions!$S$32</f>
        <v>268</v>
      </c>
      <c r="Q77" s="380">
        <f>N77*O77*P77</f>
        <v>0</v>
      </c>
      <c r="R77" s="12"/>
      <c r="S77" s="307"/>
      <c r="T77" s="100"/>
      <c r="U77" s="308"/>
      <c r="V77" s="309"/>
      <c r="W77" s="125"/>
      <c r="X77" s="100"/>
    </row>
    <row r="78" spans="1:24" ht="15" customHeight="1">
      <c r="A78" s="31" t="str">
        <f>Assumptions!$W$20</f>
        <v>2BR</v>
      </c>
      <c r="B78" s="76">
        <f>B$75*INDEX(Assumptions!$Y$19:$Y$21,MATCH(A78,Assumptions!$W$19:$W$21,0))</f>
        <v>0</v>
      </c>
      <c r="C78" s="32">
        <f>Assumptions!$S$21</f>
        <v>1500</v>
      </c>
      <c r="D78" s="379">
        <f>Assumptions!$S$36</f>
        <v>216</v>
      </c>
      <c r="E78" s="380">
        <f>B78*C78*D78</f>
        <v>0</v>
      </c>
      <c r="G78" s="31" t="str">
        <f>Assumptions!$W$20</f>
        <v>2BR</v>
      </c>
      <c r="H78" s="76">
        <f>H$75*INDEX(Assumptions!$Y$19:$Y$21,MATCH(G78,Assumptions!$W$19:$W$21,0))</f>
        <v>0</v>
      </c>
      <c r="I78" s="32">
        <f>Assumptions!$S$21</f>
        <v>1500</v>
      </c>
      <c r="J78" s="379">
        <f>Assumptions!$S$36</f>
        <v>216</v>
      </c>
      <c r="K78" s="380">
        <f>H78*I78*J78</f>
        <v>0</v>
      </c>
      <c r="L78" s="12"/>
      <c r="M78" s="31" t="str">
        <f>Assumptions!$W$20</f>
        <v>2BR</v>
      </c>
      <c r="N78" s="76">
        <f>N$75*INDEX(Assumptions!$Y$19:$Y$21,MATCH(M78,Assumptions!$W$19:$W$21,0))</f>
        <v>0</v>
      </c>
      <c r="O78" s="32">
        <f>Assumptions!$S$21</f>
        <v>1500</v>
      </c>
      <c r="P78" s="379">
        <f>Assumptions!$S$36</f>
        <v>216</v>
      </c>
      <c r="Q78" s="380">
        <f>N78*O78*P78</f>
        <v>0</v>
      </c>
      <c r="R78" s="12"/>
      <c r="S78" s="307"/>
      <c r="T78" s="100"/>
      <c r="U78" s="308"/>
      <c r="V78" s="309"/>
      <c r="W78" s="125"/>
      <c r="X78" s="100"/>
    </row>
    <row r="79" spans="1:24" ht="15" customHeight="1" thickBot="1">
      <c r="A79" s="31" t="str">
        <f>Assumptions!$W$21</f>
        <v>3BR</v>
      </c>
      <c r="B79" s="76">
        <f>B$75*INDEX(Assumptions!$Y$19:$Y$21,MATCH(A79,Assumptions!$W$19:$W$21,0))</f>
        <v>0</v>
      </c>
      <c r="C79" s="378">
        <f>Assumptions!$S$24</f>
        <v>2300</v>
      </c>
      <c r="D79" s="379">
        <f>Assumptions!$S$39</f>
        <v>174.34782608695653</v>
      </c>
      <c r="E79" s="380">
        <f>B79*C79*D79</f>
        <v>0</v>
      </c>
      <c r="G79" s="31" t="str">
        <f>Assumptions!$W$21</f>
        <v>3BR</v>
      </c>
      <c r="H79" s="76">
        <f>H$75*INDEX(Assumptions!$Y$19:$Y$21,MATCH(G79,Assumptions!$W$19:$W$21,0))</f>
        <v>0</v>
      </c>
      <c r="I79" s="378">
        <f>Assumptions!$S$24</f>
        <v>2300</v>
      </c>
      <c r="J79" s="379">
        <f>Assumptions!$S$39</f>
        <v>174.34782608695653</v>
      </c>
      <c r="K79" s="380">
        <f>H79*I79*J79</f>
        <v>0</v>
      </c>
      <c r="L79" s="12"/>
      <c r="M79" s="31" t="str">
        <f>Assumptions!$W$21</f>
        <v>3BR</v>
      </c>
      <c r="N79" s="76">
        <f>N$75*INDEX(Assumptions!$Y$19:$Y$21,MATCH(M79,Assumptions!$W$19:$W$21,0))</f>
        <v>0</v>
      </c>
      <c r="O79" s="378">
        <f>Assumptions!$S$24</f>
        <v>2300</v>
      </c>
      <c r="P79" s="379">
        <f>Assumptions!$S$39</f>
        <v>174.34782608695653</v>
      </c>
      <c r="Q79" s="380">
        <f>N79*O79*P79</f>
        <v>0</v>
      </c>
      <c r="R79" s="12"/>
      <c r="S79" s="307"/>
      <c r="T79" s="100"/>
      <c r="U79" s="308"/>
      <c r="V79" s="309"/>
      <c r="W79" s="125"/>
      <c r="X79" s="100"/>
    </row>
    <row r="80" spans="1:24" ht="15" customHeight="1" thickTop="1" thickBot="1">
      <c r="A80" s="7" t="s">
        <v>425</v>
      </c>
      <c r="B80" s="8">
        <f>SUM(B77:B79)</f>
        <v>0</v>
      </c>
      <c r="C80" s="9">
        <f>SUMPRODUCT(B77:B79,C77:C79)</f>
        <v>0</v>
      </c>
      <c r="D80" s="61"/>
      <c r="E80" s="62">
        <f>SUM(E77:E79)</f>
        <v>0</v>
      </c>
      <c r="G80" s="7" t="s">
        <v>425</v>
      </c>
      <c r="H80" s="8">
        <f>SUM(H77:H79)</f>
        <v>0</v>
      </c>
      <c r="I80" s="9">
        <f>SUMPRODUCT(H77:H79,I77:I79)</f>
        <v>0</v>
      </c>
      <c r="J80" s="61"/>
      <c r="K80" s="62">
        <f>SUM(K77:K79)</f>
        <v>0</v>
      </c>
      <c r="L80" s="12"/>
      <c r="M80" s="7" t="s">
        <v>425</v>
      </c>
      <c r="N80" s="8">
        <f>SUM(N77:N79)</f>
        <v>0</v>
      </c>
      <c r="O80" s="9">
        <f>SUMPRODUCT(N77:N79,O77:O79)</f>
        <v>0</v>
      </c>
      <c r="P80" s="61"/>
      <c r="Q80" s="62">
        <f>SUM(Q77:Q79)</f>
        <v>0</v>
      </c>
      <c r="R80" s="12"/>
      <c r="S80" s="12"/>
      <c r="T80" s="310"/>
      <c r="U80" s="311"/>
      <c r="V80" s="312"/>
      <c r="W80" s="122"/>
      <c r="X80" s="100"/>
    </row>
    <row r="81" spans="1:24" ht="15" customHeight="1" thickTop="1" thickBot="1">
      <c r="A81" s="10" t="s">
        <v>426</v>
      </c>
      <c r="B81" s="60"/>
      <c r="C81" s="11">
        <f>IFERROR(C80/B80,0)</f>
        <v>0</v>
      </c>
      <c r="D81" s="63">
        <f>IFERROR((E80/12)/C80,0)</f>
        <v>0</v>
      </c>
      <c r="E81" s="64"/>
      <c r="G81" s="10" t="s">
        <v>426</v>
      </c>
      <c r="H81" s="60"/>
      <c r="I81" s="11">
        <f>IFERROR(I80/H80,0)</f>
        <v>0</v>
      </c>
      <c r="J81" s="63">
        <f>IFERROR((K80/12)/I80,0)</f>
        <v>0</v>
      </c>
      <c r="K81" s="64"/>
      <c r="L81" s="12"/>
      <c r="M81" s="10" t="s">
        <v>426</v>
      </c>
      <c r="N81" s="60"/>
      <c r="O81" s="11">
        <f>IFERROR(O80/N80,0)</f>
        <v>0</v>
      </c>
      <c r="P81" s="63">
        <f>IFERROR((Q80/12)/O80,0)</f>
        <v>0</v>
      </c>
      <c r="Q81" s="64"/>
      <c r="R81" s="12"/>
      <c r="S81" s="12"/>
      <c r="T81" s="313"/>
      <c r="U81" s="314"/>
      <c r="V81" s="315"/>
      <c r="W81" s="12"/>
      <c r="X81" s="100"/>
    </row>
    <row r="82" spans="1:24" ht="15" customHeight="1">
      <c r="A82" s="104" t="s">
        <v>226</v>
      </c>
      <c r="B82" s="105" t="str">
        <f>B$38</f>
        <v>Multifamily-Affordable</v>
      </c>
      <c r="C82" s="166" t="s">
        <v>419</v>
      </c>
      <c r="D82" s="111">
        <f>D$40*E$82</f>
        <v>0</v>
      </c>
      <c r="E82" s="106">
        <f>Assumptions!$Y$29</f>
        <v>0.8</v>
      </c>
      <c r="G82" s="104" t="s">
        <v>226</v>
      </c>
      <c r="H82" s="105" t="str">
        <f>H$38</f>
        <v>-</v>
      </c>
      <c r="I82" s="166" t="s">
        <v>419</v>
      </c>
      <c r="J82" s="111">
        <f>J$40*K$82</f>
        <v>0</v>
      </c>
      <c r="K82" s="106">
        <f>Assumptions!$Y$29</f>
        <v>0.8</v>
      </c>
      <c r="M82" s="104" t="s">
        <v>226</v>
      </c>
      <c r="N82" s="105" t="str">
        <f>N$38</f>
        <v>-</v>
      </c>
      <c r="O82" s="166" t="s">
        <v>419</v>
      </c>
      <c r="P82" s="111">
        <f>P$40*Q$82</f>
        <v>0</v>
      </c>
      <c r="Q82" s="106">
        <f>Assumptions!$Y$29</f>
        <v>0.8</v>
      </c>
      <c r="S82" s="123"/>
      <c r="T82" s="99"/>
      <c r="U82" s="135"/>
      <c r="V82" s="295"/>
      <c r="W82" s="55"/>
    </row>
    <row r="83" spans="1:24" ht="15" customHeight="1">
      <c r="A83" s="104" t="s">
        <v>430</v>
      </c>
      <c r="B83" s="160">
        <v>0</v>
      </c>
      <c r="C83" s="113" t="str">
        <f>IF(C88&gt;D82,"# of Units Over Available Area","# of Units Within Available Area")</f>
        <v># of Units Within Available Area</v>
      </c>
      <c r="D83" s="112" t="s">
        <v>421</v>
      </c>
      <c r="E83" s="120">
        <v>0.3</v>
      </c>
      <c r="G83" s="104" t="s">
        <v>430</v>
      </c>
      <c r="H83" s="160">
        <v>0</v>
      </c>
      <c r="I83" s="113" t="str">
        <f>IF(I88&gt;J82,"# of Units Over Available Area","# of Units Within Available Area")</f>
        <v># of Units Within Available Area</v>
      </c>
      <c r="J83" s="112" t="s">
        <v>421</v>
      </c>
      <c r="K83" s="120">
        <v>0.3</v>
      </c>
      <c r="M83" s="104" t="s">
        <v>430</v>
      </c>
      <c r="N83" s="160">
        <v>0</v>
      </c>
      <c r="O83" s="113" t="str">
        <f>IF(O88&gt;P82,"# of Units Over Available Area","# of Units Within Available Area")</f>
        <v># of Units Within Available Area</v>
      </c>
      <c r="P83" s="112" t="s">
        <v>421</v>
      </c>
      <c r="Q83" s="120">
        <v>0.3</v>
      </c>
      <c r="S83" s="123"/>
      <c r="T83" s="296"/>
      <c r="U83" s="297"/>
      <c r="V83" s="112"/>
      <c r="W83" s="102"/>
    </row>
    <row r="84" spans="1:24" ht="15" customHeight="1">
      <c r="A84" s="107" t="s">
        <v>431</v>
      </c>
      <c r="B84" s="108" t="s">
        <v>427</v>
      </c>
      <c r="C84" s="109" t="s">
        <v>428</v>
      </c>
      <c r="D84" s="108" t="s">
        <v>432</v>
      </c>
      <c r="E84" s="110" t="s">
        <v>433</v>
      </c>
      <c r="G84" s="107" t="s">
        <v>431</v>
      </c>
      <c r="H84" s="108" t="s">
        <v>427</v>
      </c>
      <c r="I84" s="109" t="s">
        <v>428</v>
      </c>
      <c r="J84" s="108" t="s">
        <v>432</v>
      </c>
      <c r="K84" s="110" t="s">
        <v>433</v>
      </c>
      <c r="M84" s="107" t="s">
        <v>431</v>
      </c>
      <c r="N84" s="108" t="s">
        <v>427</v>
      </c>
      <c r="O84" s="109" t="s">
        <v>428</v>
      </c>
      <c r="P84" s="108" t="s">
        <v>432</v>
      </c>
      <c r="Q84" s="110" t="s">
        <v>433</v>
      </c>
      <c r="S84" s="123"/>
      <c r="T84" s="124"/>
      <c r="U84" s="276"/>
      <c r="V84" s="124"/>
      <c r="W84" s="124"/>
    </row>
    <row r="85" spans="1:24" ht="15" customHeight="1">
      <c r="A85" s="31" t="str">
        <f>Assumptions!$W$23</f>
        <v>Studio</v>
      </c>
      <c r="B85" s="76">
        <f>B$83*INDEX(Assumptions!$Y$23:$Y$25,MATCH(A85,Assumptions!$W$23:$W$25,0))</f>
        <v>0</v>
      </c>
      <c r="C85" s="32">
        <f>Assumptions!$R$42</f>
        <v>500</v>
      </c>
      <c r="D85" s="42">
        <f>Assumptions!$R$43*(1+$E$83)</f>
        <v>3.9000000000000004</v>
      </c>
      <c r="E85" s="43">
        <f>12*B85*C85*D85</f>
        <v>0</v>
      </c>
      <c r="G85" s="31" t="str">
        <f>Assumptions!$W$23</f>
        <v>Studio</v>
      </c>
      <c r="H85" s="76">
        <f>H$83*INDEX(Assumptions!$Y$23:$Y$25,MATCH(G85,Assumptions!$W$23:$W$25,0))</f>
        <v>0</v>
      </c>
      <c r="I85" s="32">
        <f>Assumptions!$R$42</f>
        <v>500</v>
      </c>
      <c r="J85" s="42">
        <f>Assumptions!$R$43*(1+$E$83)</f>
        <v>3.9000000000000004</v>
      </c>
      <c r="K85" s="43">
        <f>12*H85*I85*J85</f>
        <v>0</v>
      </c>
      <c r="M85" s="31" t="str">
        <f>Assumptions!$W$23</f>
        <v>Studio</v>
      </c>
      <c r="N85" s="76">
        <f>N$83*INDEX(Assumptions!$Y$23:$Y$25,MATCH(M85,Assumptions!$W$23:$W$25,0))</f>
        <v>0</v>
      </c>
      <c r="O85" s="32">
        <f>Assumptions!$R$42</f>
        <v>500</v>
      </c>
      <c r="P85" s="42">
        <f>Assumptions!$R$43*(1+$E$83)</f>
        <v>3.9000000000000004</v>
      </c>
      <c r="Q85" s="43">
        <f>12*N85*O85*P85</f>
        <v>0</v>
      </c>
      <c r="S85" s="307"/>
      <c r="T85" s="100"/>
      <c r="U85" s="308"/>
      <c r="V85" s="309"/>
      <c r="W85" s="125"/>
    </row>
    <row r="86" spans="1:24" ht="15" customHeight="1">
      <c r="A86" s="31" t="str">
        <f>Assumptions!$W$24</f>
        <v>1BR</v>
      </c>
      <c r="B86" s="76">
        <f>B$83*INDEX(Assumptions!$Y$23:$Y$25,MATCH(A86,Assumptions!$W$23:$W$25,0))</f>
        <v>0</v>
      </c>
      <c r="C86" s="378">
        <f>Assumptions!$R$45</f>
        <v>700</v>
      </c>
      <c r="D86" s="42">
        <f>Assumptions!$R$46*(1+$E$83)</f>
        <v>3.25</v>
      </c>
      <c r="E86" s="380">
        <f>12*B86*C86*D86</f>
        <v>0</v>
      </c>
      <c r="G86" s="31" t="str">
        <f>Assumptions!$W$24</f>
        <v>1BR</v>
      </c>
      <c r="H86" s="76">
        <f>H$83*INDEX(Assumptions!$Y$23:$Y$25,MATCH(G86,Assumptions!$W$23:$W$25,0))</f>
        <v>0</v>
      </c>
      <c r="I86" s="378">
        <f>Assumptions!$R$45</f>
        <v>700</v>
      </c>
      <c r="J86" s="42">
        <f>Assumptions!$R$46*(1+$E$83)</f>
        <v>3.25</v>
      </c>
      <c r="K86" s="380">
        <f>12*H86*I86*J86</f>
        <v>0</v>
      </c>
      <c r="M86" s="31" t="str">
        <f>Assumptions!$W$24</f>
        <v>1BR</v>
      </c>
      <c r="N86" s="76">
        <f>N$83*INDEX(Assumptions!$Y$23:$Y$25,MATCH(M86,Assumptions!$W$23:$W$25,0))</f>
        <v>0</v>
      </c>
      <c r="O86" s="378">
        <f>Assumptions!$R$45</f>
        <v>700</v>
      </c>
      <c r="P86" s="42">
        <f>Assumptions!$R$46*(1+$E$83)</f>
        <v>3.25</v>
      </c>
      <c r="Q86" s="380">
        <f>12*N86*O86*P86</f>
        <v>0</v>
      </c>
      <c r="S86" s="307"/>
      <c r="T86" s="100"/>
      <c r="U86" s="308"/>
      <c r="V86" s="309"/>
      <c r="W86" s="125"/>
    </row>
    <row r="87" spans="1:24" ht="15" customHeight="1" thickBot="1">
      <c r="A87" s="31" t="str">
        <f>Assumptions!$W$25</f>
        <v>2BR</v>
      </c>
      <c r="B87" s="76">
        <f>B$83*INDEX(Assumptions!$Y$23:$Y$25,MATCH(A87,Assumptions!$W$23:$W$25,0))</f>
        <v>0</v>
      </c>
      <c r="C87" s="32">
        <f>Assumptions!$R$48</f>
        <v>1100</v>
      </c>
      <c r="D87" s="42">
        <f>Assumptions!$R$49*(1+$E$83)</f>
        <v>2.9899999999999998</v>
      </c>
      <c r="E87" s="380">
        <f>12*B87*C87*D87</f>
        <v>0</v>
      </c>
      <c r="G87" s="31" t="str">
        <f>Assumptions!$W$25</f>
        <v>2BR</v>
      </c>
      <c r="H87" s="76">
        <f>H$83*INDEX(Assumptions!$Y$23:$Y$25,MATCH(G87,Assumptions!$W$23:$W$25,0))</f>
        <v>0</v>
      </c>
      <c r="I87" s="32">
        <f>Assumptions!$R$48</f>
        <v>1100</v>
      </c>
      <c r="J87" s="42">
        <f>Assumptions!$R$49*(1+$E$83)</f>
        <v>2.9899999999999998</v>
      </c>
      <c r="K87" s="380">
        <f>12*H87*I87*J87</f>
        <v>0</v>
      </c>
      <c r="M87" s="31" t="str">
        <f>Assumptions!$W$25</f>
        <v>2BR</v>
      </c>
      <c r="N87" s="76">
        <f>N$83*INDEX(Assumptions!$Y$23:$Y$25,MATCH(M87,Assumptions!$W$23:$W$25,0))</f>
        <v>0</v>
      </c>
      <c r="O87" s="32">
        <f>Assumptions!$R$48</f>
        <v>1100</v>
      </c>
      <c r="P87" s="42">
        <f>Assumptions!$R$49*(1+$E$83)</f>
        <v>2.9899999999999998</v>
      </c>
      <c r="Q87" s="380">
        <f>12*N87*O87*P87</f>
        <v>0</v>
      </c>
      <c r="S87" s="307"/>
      <c r="T87" s="100"/>
      <c r="U87" s="308"/>
      <c r="V87" s="309"/>
      <c r="W87" s="125"/>
    </row>
    <row r="88" spans="1:24" ht="15" customHeight="1" thickTop="1" thickBot="1">
      <c r="A88" s="7" t="s">
        <v>425</v>
      </c>
      <c r="B88" s="8">
        <f>SUM(B85:B87)</f>
        <v>0</v>
      </c>
      <c r="C88" s="9">
        <f>SUMPRODUCT(B85:B87,C85:C87)</f>
        <v>0</v>
      </c>
      <c r="D88" s="61"/>
      <c r="E88" s="62">
        <f>SUM(E85:E87)</f>
        <v>0</v>
      </c>
      <c r="G88" s="7" t="s">
        <v>425</v>
      </c>
      <c r="H88" s="8">
        <f>SUM(H85:H87)</f>
        <v>0</v>
      </c>
      <c r="I88" s="9">
        <f>SUMPRODUCT(H85:H87,I85:I87)</f>
        <v>0</v>
      </c>
      <c r="J88" s="61"/>
      <c r="K88" s="62">
        <f>SUM(K85:K87)</f>
        <v>0</v>
      </c>
      <c r="M88" s="7" t="s">
        <v>425</v>
      </c>
      <c r="N88" s="8">
        <f>SUM(N85:N87)</f>
        <v>0</v>
      </c>
      <c r="O88" s="9">
        <f>SUMPRODUCT(N85:N87,O85:O87)</f>
        <v>0</v>
      </c>
      <c r="P88" s="61"/>
      <c r="Q88" s="62">
        <f>SUM(Q85:Q87)</f>
        <v>0</v>
      </c>
      <c r="S88" s="12"/>
      <c r="T88" s="310"/>
      <c r="U88" s="311"/>
      <c r="V88" s="312"/>
      <c r="W88" s="122"/>
    </row>
    <row r="89" spans="1:24" ht="15" customHeight="1" thickTop="1" thickBot="1">
      <c r="A89" s="10" t="s">
        <v>426</v>
      </c>
      <c r="B89" s="60"/>
      <c r="C89" s="11">
        <f>IFERROR(C88/B88,0)</f>
        <v>0</v>
      </c>
      <c r="D89" s="63">
        <f>IFERROR((E88/12)/C88,0)</f>
        <v>0</v>
      </c>
      <c r="E89" s="64"/>
      <c r="G89" s="10" t="s">
        <v>426</v>
      </c>
      <c r="H89" s="60"/>
      <c r="I89" s="11">
        <f>IFERROR(I88/H88,0)</f>
        <v>0</v>
      </c>
      <c r="J89" s="63">
        <f>IFERROR((K88/12)/I88,0)</f>
        <v>0</v>
      </c>
      <c r="K89" s="64"/>
      <c r="M89" s="10" t="s">
        <v>426</v>
      </c>
      <c r="N89" s="60"/>
      <c r="O89" s="11">
        <f>IFERROR(O88/N88,0)</f>
        <v>0</v>
      </c>
      <c r="P89" s="63">
        <f>IFERROR((Q88/12)/O88,0)</f>
        <v>0</v>
      </c>
      <c r="Q89" s="64"/>
      <c r="S89" s="12"/>
      <c r="T89" s="313"/>
      <c r="U89" s="314"/>
      <c r="V89" s="315"/>
      <c r="W89" s="12"/>
    </row>
    <row r="90" spans="1:24" ht="15" customHeight="1">
      <c r="A90" s="104" t="s">
        <v>434</v>
      </c>
      <c r="B90" s="116" t="str">
        <f>B$41</f>
        <v>Retail</v>
      </c>
      <c r="C90" s="114"/>
      <c r="D90" s="115"/>
      <c r="E90" s="121"/>
      <c r="G90" s="104" t="s">
        <v>434</v>
      </c>
      <c r="H90" s="116" t="str">
        <f>H$41</f>
        <v>-</v>
      </c>
      <c r="I90" s="114"/>
      <c r="J90" s="115"/>
      <c r="K90" s="121"/>
      <c r="L90" s="126"/>
      <c r="M90" s="104" t="s">
        <v>434</v>
      </c>
      <c r="N90" s="116" t="str">
        <f>N$41</f>
        <v>-</v>
      </c>
      <c r="O90" s="114"/>
      <c r="P90" s="115"/>
      <c r="Q90" s="121"/>
      <c r="R90" s="126"/>
      <c r="S90" s="123"/>
      <c r="T90" s="299"/>
      <c r="U90" s="300"/>
      <c r="V90" s="316"/>
      <c r="W90" s="126"/>
    </row>
    <row r="91" spans="1:24" ht="15" customHeight="1">
      <c r="A91" s="107" t="s">
        <v>33</v>
      </c>
      <c r="B91" s="108" t="s">
        <v>435</v>
      </c>
      <c r="C91" s="109" t="s">
        <v>436</v>
      </c>
      <c r="D91" s="108" t="s">
        <v>437</v>
      </c>
      <c r="E91" s="110" t="s">
        <v>433</v>
      </c>
      <c r="G91" s="107" t="s">
        <v>33</v>
      </c>
      <c r="H91" s="108" t="s">
        <v>435</v>
      </c>
      <c r="I91" s="109" t="s">
        <v>436</v>
      </c>
      <c r="J91" s="108" t="s">
        <v>437</v>
      </c>
      <c r="K91" s="110" t="s">
        <v>433</v>
      </c>
      <c r="L91" s="124"/>
      <c r="M91" s="107" t="s">
        <v>33</v>
      </c>
      <c r="N91" s="108" t="s">
        <v>435</v>
      </c>
      <c r="O91" s="109" t="s">
        <v>436</v>
      </c>
      <c r="P91" s="108" t="s">
        <v>437</v>
      </c>
      <c r="Q91" s="110" t="s">
        <v>433</v>
      </c>
      <c r="R91" s="124"/>
      <c r="S91" s="123"/>
      <c r="T91" s="124"/>
      <c r="U91" s="276"/>
      <c r="V91" s="124"/>
      <c r="W91" s="124"/>
    </row>
    <row r="92" spans="1:24" ht="15" customHeight="1">
      <c r="A92" s="56" t="s">
        <v>40</v>
      </c>
      <c r="B92" s="41">
        <f>IFERROR(IF(B$90=A92,D$41,0),0)</f>
        <v>30051.599999999999</v>
      </c>
      <c r="C92" s="57">
        <f>IFERROR(B92*INDEX(Assumptions!$Y$30:$Y$31,MATCH(A92,Assumptions!$W$30:$W$31,0)),0)</f>
        <v>25543.859999999997</v>
      </c>
      <c r="D92" s="58">
        <f>IF(C92&gt;0,INDEX(Assumptions!$R$5:$R$6,MATCH(A92,Assumptions!$Q$5:$Q$6,0)),0)</f>
        <v>32</v>
      </c>
      <c r="E92" s="59">
        <f>C92*D92</f>
        <v>817403.5199999999</v>
      </c>
      <c r="F92" s="187"/>
      <c r="G92" s="56" t="s">
        <v>40</v>
      </c>
      <c r="H92" s="41">
        <f>IFERROR(IF(H$90=G92,J$41,0),0)</f>
        <v>0</v>
      </c>
      <c r="I92" s="57">
        <f>IFERROR(H92*INDEX(Assumptions!$Y$30:$Y$31,MATCH(G92,Assumptions!$W$30:$W$31,0)),0)</f>
        <v>0</v>
      </c>
      <c r="J92" s="58">
        <f>IF(I92&gt;0,INDEX(Assumptions!$R$5:$R$6,MATCH(G92,Assumptions!$Q$5:$Q$6,0)),0)</f>
        <v>0</v>
      </c>
      <c r="K92" s="59">
        <f>I92*J92</f>
        <v>0</v>
      </c>
      <c r="L92" s="127"/>
      <c r="M92" s="56" t="s">
        <v>40</v>
      </c>
      <c r="N92" s="41">
        <f>IFERROR(IF(N$90=M92,P$41,0),0)</f>
        <v>0</v>
      </c>
      <c r="O92" s="57">
        <f>IFERROR(N92*INDEX(Assumptions!$Y$30:$Y$31,MATCH(M92,Assumptions!$W$30:$W$31,0)),0)</f>
        <v>0</v>
      </c>
      <c r="P92" s="58">
        <f>IF(O92&gt;0,INDEX(Assumptions!$R$5:$R$6,MATCH(M92,Assumptions!$Q$5:$Q$6,0)),0)</f>
        <v>0</v>
      </c>
      <c r="Q92" s="59">
        <f>O92*P92</f>
        <v>0</v>
      </c>
      <c r="R92" s="127"/>
      <c r="S92" s="317"/>
      <c r="T92" s="100"/>
      <c r="U92" s="318"/>
      <c r="V92" s="319"/>
      <c r="W92" s="127"/>
    </row>
    <row r="93" spans="1:24" ht="15" customHeight="1" thickBot="1">
      <c r="A93" s="1006" t="s">
        <v>425</v>
      </c>
      <c r="B93" s="40">
        <f>SUM(B92:B92)</f>
        <v>30051.599999999999</v>
      </c>
      <c r="C93" s="40">
        <f>SUM(C92:C92)</f>
        <v>25543.859999999997</v>
      </c>
      <c r="D93" s="38">
        <f>IF(B93=0,0,E93/B93)</f>
        <v>27.2</v>
      </c>
      <c r="E93" s="39">
        <f>SUM(E92:E92)</f>
        <v>817403.5199999999</v>
      </c>
      <c r="G93" s="1006" t="s">
        <v>425</v>
      </c>
      <c r="H93" s="40">
        <f>SUM(H92:H92)</f>
        <v>0</v>
      </c>
      <c r="I93" s="40">
        <f>SUM(I92:I92)</f>
        <v>0</v>
      </c>
      <c r="J93" s="38">
        <f>IF(H93=0,0,K93/H93)</f>
        <v>0</v>
      </c>
      <c r="K93" s="39">
        <f>SUM(K92:K92)</f>
        <v>0</v>
      </c>
      <c r="L93" s="127"/>
      <c r="M93" s="1006" t="s">
        <v>425</v>
      </c>
      <c r="N93" s="40">
        <f>SUM(N92:N92)</f>
        <v>0</v>
      </c>
      <c r="O93" s="40">
        <f>SUM(O92:O92)</f>
        <v>0</v>
      </c>
      <c r="P93" s="38">
        <f>IF(N93=0,0,Q93/N93)</f>
        <v>0</v>
      </c>
      <c r="Q93" s="39">
        <f>SUM(Q92:Q92)</f>
        <v>0</v>
      </c>
      <c r="R93" s="127"/>
      <c r="S93" s="12"/>
      <c r="T93" s="320"/>
      <c r="U93" s="320"/>
      <c r="V93" s="319"/>
      <c r="W93" s="127"/>
    </row>
    <row r="94" spans="1:24" ht="15" customHeight="1">
      <c r="A94" s="104" t="s">
        <v>438</v>
      </c>
      <c r="B94" s="116" t="str">
        <f>B$42</f>
        <v>-</v>
      </c>
      <c r="C94" s="114"/>
      <c r="D94" s="115"/>
      <c r="E94" s="121"/>
      <c r="G94" s="104" t="s">
        <v>438</v>
      </c>
      <c r="H94" s="116" t="str">
        <f>H$42</f>
        <v>-</v>
      </c>
      <c r="I94" s="114"/>
      <c r="J94" s="115"/>
      <c r="K94" s="121"/>
      <c r="L94" s="126"/>
      <c r="M94" s="104" t="s">
        <v>438</v>
      </c>
      <c r="N94" s="116" t="str">
        <f>N$42</f>
        <v>-</v>
      </c>
      <c r="O94" s="114"/>
      <c r="P94" s="115"/>
      <c r="Q94" s="121"/>
      <c r="R94" s="126"/>
      <c r="S94" s="123"/>
      <c r="T94" s="299"/>
      <c r="U94" s="300"/>
      <c r="V94" s="316"/>
      <c r="W94" s="126"/>
    </row>
    <row r="95" spans="1:24" ht="15" customHeight="1">
      <c r="A95" s="107" t="s">
        <v>33</v>
      </c>
      <c r="B95" s="108" t="s">
        <v>435</v>
      </c>
      <c r="C95" s="109" t="s">
        <v>436</v>
      </c>
      <c r="D95" s="108" t="s">
        <v>437</v>
      </c>
      <c r="E95" s="110" t="s">
        <v>433</v>
      </c>
      <c r="G95" s="107" t="s">
        <v>33</v>
      </c>
      <c r="H95" s="108" t="s">
        <v>435</v>
      </c>
      <c r="I95" s="109" t="s">
        <v>436</v>
      </c>
      <c r="J95" s="108" t="s">
        <v>437</v>
      </c>
      <c r="K95" s="110" t="s">
        <v>433</v>
      </c>
      <c r="L95" s="124"/>
      <c r="M95" s="107" t="s">
        <v>33</v>
      </c>
      <c r="N95" s="108" t="s">
        <v>435</v>
      </c>
      <c r="O95" s="109" t="s">
        <v>436</v>
      </c>
      <c r="P95" s="108" t="s">
        <v>437</v>
      </c>
      <c r="Q95" s="110" t="s">
        <v>433</v>
      </c>
      <c r="R95" s="124"/>
      <c r="S95" s="123"/>
      <c r="T95" s="124"/>
      <c r="U95" s="276"/>
      <c r="V95" s="124"/>
      <c r="W95" s="124"/>
    </row>
    <row r="96" spans="1:24" ht="15" customHeight="1" thickBot="1">
      <c r="A96" s="381" t="s">
        <v>44</v>
      </c>
      <c r="B96" s="382">
        <f>IFERROR(IF(B$94=A96,D$42,0),0)</f>
        <v>0</v>
      </c>
      <c r="C96" s="383">
        <f>IFERROR(B96*INDEX(Assumptions!$Y$30:$Y$31,MATCH(A96,Assumptions!$W$30:$W$31,0)),0)</f>
        <v>0</v>
      </c>
      <c r="D96" s="384">
        <f>IF(C96&gt;0,INDEX(Assumptions!$R$5:$R$6,MATCH(A96,Assumptions!$Q$5:$Q$6,0)),0)</f>
        <v>0</v>
      </c>
      <c r="E96" s="59">
        <f>C96*D96</f>
        <v>0</v>
      </c>
      <c r="G96" s="381" t="s">
        <v>44</v>
      </c>
      <c r="H96" s="382">
        <f>IFERROR(IF(H$94=G96,J$42,0),0)</f>
        <v>0</v>
      </c>
      <c r="I96" s="383">
        <f>IFERROR(H96*INDEX(Assumptions!$Y$30:$Y$31,MATCH(G96,Assumptions!$W$30:$W$31,0)),0)</f>
        <v>0</v>
      </c>
      <c r="J96" s="384">
        <f>IF(I96&gt;0,INDEX(Assumptions!$R$5:$R$6,MATCH(G96,Assumptions!$Q$5:$Q$6,0)),0)</f>
        <v>0</v>
      </c>
      <c r="K96" s="59">
        <f>I96*J96</f>
        <v>0</v>
      </c>
      <c r="L96" s="127"/>
      <c r="M96" s="381" t="s">
        <v>44</v>
      </c>
      <c r="N96" s="382">
        <f>IFERROR(IF(N$94=M96,P$42,0),0)</f>
        <v>0</v>
      </c>
      <c r="O96" s="383">
        <f>IFERROR(N96*INDEX(Assumptions!$Y$30:$Y$31,MATCH(M96,Assumptions!$W$30:$W$31,0)),0)</f>
        <v>0</v>
      </c>
      <c r="P96" s="384">
        <f>IF(O96&gt;0,INDEX(Assumptions!$R$5:$R$6,MATCH(M96,Assumptions!$Q$5:$Q$6,0)),0)</f>
        <v>0</v>
      </c>
      <c r="Q96" s="59">
        <f>O96*P96</f>
        <v>0</v>
      </c>
      <c r="R96" s="127"/>
      <c r="S96" s="317"/>
      <c r="T96" s="100"/>
      <c r="U96" s="318"/>
      <c r="V96" s="319"/>
      <c r="W96" s="127"/>
    </row>
    <row r="97" spans="1:23" ht="15" customHeight="1" thickTop="1" thickBot="1">
      <c r="A97" s="1006" t="s">
        <v>425</v>
      </c>
      <c r="B97" s="40">
        <f>SUM(B96:B96)</f>
        <v>0</v>
      </c>
      <c r="C97" s="40">
        <f>SUM(C96:C96)</f>
        <v>0</v>
      </c>
      <c r="D97" s="38">
        <f>IF(B97=0,0,E97/B97)</f>
        <v>0</v>
      </c>
      <c r="E97" s="39">
        <f>SUM(E96:E96)</f>
        <v>0</v>
      </c>
      <c r="G97" s="1006" t="s">
        <v>425</v>
      </c>
      <c r="H97" s="40">
        <f>SUM(H96:H96)</f>
        <v>0</v>
      </c>
      <c r="I97" s="40">
        <f>SUM(I96:I96)</f>
        <v>0</v>
      </c>
      <c r="J97" s="38">
        <f>IF(H97=0,0,K97/H97)</f>
        <v>0</v>
      </c>
      <c r="K97" s="39">
        <f>SUM(K96:K96)</f>
        <v>0</v>
      </c>
      <c r="L97" s="127"/>
      <c r="M97" s="1006" t="s">
        <v>425</v>
      </c>
      <c r="N97" s="40">
        <f>SUM(N96:N96)</f>
        <v>0</v>
      </c>
      <c r="O97" s="40">
        <f>SUM(O96:O96)</f>
        <v>0</v>
      </c>
      <c r="P97" s="38">
        <f>IF(N97=0,0,Q97/N97)</f>
        <v>0</v>
      </c>
      <c r="Q97" s="39">
        <f>SUM(Q96:Q96)</f>
        <v>0</v>
      </c>
      <c r="R97" s="127"/>
      <c r="S97" s="12"/>
      <c r="T97" s="320"/>
      <c r="U97" s="320"/>
      <c r="V97" s="319"/>
      <c r="W97" s="127"/>
    </row>
    <row r="98" spans="1:23" ht="15" customHeight="1">
      <c r="A98" s="104" t="s">
        <v>439</v>
      </c>
      <c r="B98" s="116" t="str">
        <f>B$43</f>
        <v>-</v>
      </c>
      <c r="C98" s="114"/>
      <c r="D98" s="115"/>
      <c r="E98" s="121"/>
      <c r="G98" s="104" t="s">
        <v>439</v>
      </c>
      <c r="H98" s="116" t="str">
        <f>H$43</f>
        <v>-</v>
      </c>
      <c r="I98" s="114"/>
      <c r="J98" s="115"/>
      <c r="K98" s="121"/>
      <c r="L98" s="126"/>
      <c r="M98" s="104" t="s">
        <v>439</v>
      </c>
      <c r="N98" s="116" t="str">
        <f>N$43</f>
        <v>-</v>
      </c>
      <c r="O98" s="114"/>
      <c r="P98" s="115"/>
      <c r="Q98" s="121"/>
      <c r="R98" s="126"/>
      <c r="S98" s="123"/>
      <c r="T98" s="299"/>
      <c r="U98" s="300"/>
      <c r="V98" s="316"/>
      <c r="W98" s="126"/>
    </row>
    <row r="99" spans="1:23" ht="15" customHeight="1">
      <c r="A99" s="107" t="s">
        <v>33</v>
      </c>
      <c r="B99" s="108" t="s">
        <v>435</v>
      </c>
      <c r="C99" s="109"/>
      <c r="D99" s="108" t="s">
        <v>74</v>
      </c>
      <c r="E99" s="110" t="s">
        <v>429</v>
      </c>
      <c r="G99" s="107" t="s">
        <v>33</v>
      </c>
      <c r="H99" s="108" t="s">
        <v>435</v>
      </c>
      <c r="I99" s="109"/>
      <c r="J99" s="108" t="s">
        <v>74</v>
      </c>
      <c r="K99" s="110" t="s">
        <v>429</v>
      </c>
      <c r="L99" s="124"/>
      <c r="M99" s="107" t="s">
        <v>33</v>
      </c>
      <c r="N99" s="108" t="s">
        <v>435</v>
      </c>
      <c r="O99" s="109"/>
      <c r="P99" s="108" t="s">
        <v>74</v>
      </c>
      <c r="Q99" s="110" t="s">
        <v>429</v>
      </c>
      <c r="R99" s="124"/>
      <c r="S99" s="123"/>
      <c r="T99" s="124"/>
      <c r="U99" s="276"/>
      <c r="V99" s="124"/>
      <c r="W99" s="124"/>
    </row>
    <row r="100" spans="1:23" ht="15" customHeight="1" thickBot="1">
      <c r="A100" s="381" t="s">
        <v>51</v>
      </c>
      <c r="B100" s="386">
        <f>IFERROR(IF(B$98=A100,D$43,0),0)</f>
        <v>0</v>
      </c>
      <c r="C100" s="383"/>
      <c r="D100" s="384">
        <f>Assumptions!$S$8</f>
        <v>500</v>
      </c>
      <c r="E100" s="385">
        <f>B100*D100</f>
        <v>0</v>
      </c>
      <c r="G100" s="381" t="s">
        <v>51</v>
      </c>
      <c r="H100" s="386">
        <f>IFERROR(IF(H$98=G100,J$43,0),0)</f>
        <v>0</v>
      </c>
      <c r="I100" s="383"/>
      <c r="J100" s="384">
        <f>Assumptions!$S$8</f>
        <v>500</v>
      </c>
      <c r="K100" s="385">
        <f>H100*J100</f>
        <v>0</v>
      </c>
      <c r="L100" s="127"/>
      <c r="M100" s="381" t="s">
        <v>51</v>
      </c>
      <c r="N100" s="386">
        <f>IFERROR(IF(N$98=M100,P$43,0),0)</f>
        <v>0</v>
      </c>
      <c r="O100" s="383"/>
      <c r="P100" s="384">
        <f>Assumptions!$S$8</f>
        <v>500</v>
      </c>
      <c r="Q100" s="385">
        <f>N100*P100</f>
        <v>0</v>
      </c>
      <c r="R100" s="127"/>
      <c r="S100" s="317"/>
      <c r="T100" s="100"/>
      <c r="U100" s="318"/>
      <c r="V100" s="319"/>
      <c r="W100" s="127"/>
    </row>
    <row r="101" spans="1:23" ht="15" customHeight="1" thickTop="1" thickBot="1">
      <c r="A101" s="1006" t="s">
        <v>425</v>
      </c>
      <c r="B101" s="40">
        <f>SUM(B100:B100)</f>
        <v>0</v>
      </c>
      <c r="C101" s="40"/>
      <c r="D101" s="38">
        <f>IF(B101=0,0,E101/B101)</f>
        <v>0</v>
      </c>
      <c r="E101" s="39">
        <f>SUM(E100:E100)</f>
        <v>0</v>
      </c>
      <c r="G101" s="1006" t="s">
        <v>425</v>
      </c>
      <c r="H101" s="40">
        <f>SUM(H100:H100)</f>
        <v>0</v>
      </c>
      <c r="I101" s="40"/>
      <c r="J101" s="38">
        <f>IF(H101=0,0,K101/H101)</f>
        <v>0</v>
      </c>
      <c r="K101" s="39">
        <f>SUM(K100:K100)</f>
        <v>0</v>
      </c>
      <c r="L101" s="127"/>
      <c r="M101" s="1006" t="s">
        <v>425</v>
      </c>
      <c r="N101" s="40">
        <f>SUM(N100:N100)</f>
        <v>0</v>
      </c>
      <c r="O101" s="40"/>
      <c r="P101" s="38">
        <f>IF(N101=0,0,Q101/N101)</f>
        <v>0</v>
      </c>
      <c r="Q101" s="39">
        <f>SUM(Q100:Q100)</f>
        <v>0</v>
      </c>
      <c r="R101" s="127"/>
      <c r="S101" s="12"/>
      <c r="T101" s="320"/>
      <c r="U101" s="320"/>
      <c r="V101" s="319"/>
      <c r="W101" s="127"/>
    </row>
    <row r="102" spans="1:23" ht="15" customHeight="1">
      <c r="A102" s="104" t="s">
        <v>440</v>
      </c>
      <c r="B102" s="116" t="str">
        <f>B$44</f>
        <v>-</v>
      </c>
      <c r="C102" s="114"/>
      <c r="D102" s="115"/>
      <c r="E102" s="121"/>
      <c r="G102" s="104" t="s">
        <v>440</v>
      </c>
      <c r="H102" s="116" t="str">
        <f>H$44</f>
        <v>-</v>
      </c>
      <c r="I102" s="114"/>
      <c r="J102" s="115"/>
      <c r="K102" s="121"/>
      <c r="L102" s="127"/>
      <c r="M102" s="104" t="s">
        <v>440</v>
      </c>
      <c r="N102" s="116" t="str">
        <f>N$44</f>
        <v>-</v>
      </c>
      <c r="O102" s="114"/>
      <c r="P102" s="115"/>
      <c r="Q102" s="121"/>
      <c r="R102" s="127"/>
      <c r="S102" s="123"/>
      <c r="T102" s="299"/>
      <c r="U102" s="300"/>
      <c r="V102" s="316"/>
      <c r="W102" s="126"/>
    </row>
    <row r="103" spans="1:23" ht="15" customHeight="1">
      <c r="A103" s="107" t="s">
        <v>33</v>
      </c>
      <c r="B103" s="108" t="s">
        <v>435</v>
      </c>
      <c r="C103" s="109" t="s">
        <v>441</v>
      </c>
      <c r="D103" s="108" t="s">
        <v>437</v>
      </c>
      <c r="E103" s="110" t="s">
        <v>433</v>
      </c>
      <c r="G103" s="107" t="s">
        <v>33</v>
      </c>
      <c r="H103" s="108" t="s">
        <v>435</v>
      </c>
      <c r="I103" s="109" t="s">
        <v>441</v>
      </c>
      <c r="J103" s="108" t="s">
        <v>437</v>
      </c>
      <c r="K103" s="110" t="s">
        <v>433</v>
      </c>
      <c r="L103" s="127"/>
      <c r="M103" s="107" t="s">
        <v>33</v>
      </c>
      <c r="N103" s="108" t="s">
        <v>435</v>
      </c>
      <c r="O103" s="109" t="s">
        <v>441</v>
      </c>
      <c r="P103" s="108" t="s">
        <v>437</v>
      </c>
      <c r="Q103" s="110" t="s">
        <v>433</v>
      </c>
      <c r="R103" s="127"/>
      <c r="S103" s="123"/>
      <c r="T103" s="124"/>
      <c r="U103" s="276"/>
      <c r="V103" s="124"/>
      <c r="W103" s="124"/>
    </row>
    <row r="104" spans="1:23" ht="15" customHeight="1" thickBot="1">
      <c r="A104" s="381" t="s">
        <v>48</v>
      </c>
      <c r="B104" s="386">
        <f>IFERROR(IF(B$102=A104,D$44,0),0)</f>
        <v>0</v>
      </c>
      <c r="C104" s="383">
        <f>IFERROR(B104*INDEX(Assumptions!$Y$32:$Y$32,MATCH(A104,Assumptions!$W$32:$W$32,0)),0)</f>
        <v>0</v>
      </c>
      <c r="D104" s="384">
        <f>IF(C104&gt;0,INDEX(Assumptions!$R$7:$R$7,MATCH(A104,Assumptions!$Q$7:$Q$7,0)),0)</f>
        <v>0</v>
      </c>
      <c r="E104" s="59">
        <f>C104*D104</f>
        <v>0</v>
      </c>
      <c r="G104" s="381" t="s">
        <v>48</v>
      </c>
      <c r="H104" s="386">
        <f>IFERROR(IF(H$102=G104,J$44,0),0)</f>
        <v>0</v>
      </c>
      <c r="I104" s="383">
        <f>IFERROR(H104*INDEX(Assumptions!$Y$32:$Y$32,MATCH(G104,Assumptions!$W$32:$W$32,0)),0)</f>
        <v>0</v>
      </c>
      <c r="J104" s="384">
        <f>IF(I104&gt;0,INDEX(Assumptions!$R$7:$R$7,MATCH(G104,Assumptions!$Q$7:$Q$7,0)),0)</f>
        <v>0</v>
      </c>
      <c r="K104" s="59">
        <f>I104*J104</f>
        <v>0</v>
      </c>
      <c r="L104" s="127"/>
      <c r="M104" s="381" t="s">
        <v>48</v>
      </c>
      <c r="N104" s="386">
        <f>IFERROR(IF(N$102=M104,P$44,0),0)</f>
        <v>0</v>
      </c>
      <c r="O104" s="383">
        <f>IFERROR(N104*INDEX(Assumptions!$Y$32:$Y$32,MATCH(M104,Assumptions!$W$32:$W$32,0)),0)</f>
        <v>0</v>
      </c>
      <c r="P104" s="384">
        <f>IF(O104&gt;0,INDEX(Assumptions!$R$7:$R$7,MATCH(M104,Assumptions!$Q$7:$Q$7,0)),0)</f>
        <v>0</v>
      </c>
      <c r="Q104" s="59">
        <f>O104*P104</f>
        <v>0</v>
      </c>
      <c r="R104" s="127"/>
      <c r="S104" s="317"/>
      <c r="T104" s="100"/>
      <c r="U104" s="318"/>
      <c r="V104" s="319"/>
      <c r="W104" s="127"/>
    </row>
    <row r="105" spans="1:23" ht="15" customHeight="1" thickTop="1" thickBot="1">
      <c r="A105" s="1006" t="s">
        <v>425</v>
      </c>
      <c r="B105" s="40">
        <f>SUM(B104)</f>
        <v>0</v>
      </c>
      <c r="C105" s="40">
        <f>SUM(C104)</f>
        <v>0</v>
      </c>
      <c r="D105" s="38">
        <f>IF(B105=0,0,E105/B105)</f>
        <v>0</v>
      </c>
      <c r="E105" s="39">
        <f>SUM(E104)</f>
        <v>0</v>
      </c>
      <c r="G105" s="1006" t="s">
        <v>425</v>
      </c>
      <c r="H105" s="40">
        <f>SUM(H104)</f>
        <v>0</v>
      </c>
      <c r="I105" s="40">
        <f>SUM(I104)</f>
        <v>0</v>
      </c>
      <c r="J105" s="38">
        <f>IF(H105=0,0,K105/H105)</f>
        <v>0</v>
      </c>
      <c r="K105" s="39">
        <f>SUM(K104)</f>
        <v>0</v>
      </c>
      <c r="L105" s="127"/>
      <c r="M105" s="1006" t="s">
        <v>425</v>
      </c>
      <c r="N105" s="40">
        <f>SUM(N104)</f>
        <v>0</v>
      </c>
      <c r="O105" s="40">
        <f>SUM(O104)</f>
        <v>0</v>
      </c>
      <c r="P105" s="38">
        <f>IF(N105=0,0,Q105/N105)</f>
        <v>0</v>
      </c>
      <c r="Q105" s="39">
        <f>SUM(Q104)</f>
        <v>0</v>
      </c>
      <c r="R105" s="127"/>
      <c r="S105" s="12"/>
      <c r="T105" s="320"/>
      <c r="U105" s="320"/>
      <c r="V105" s="319"/>
      <c r="W105" s="127"/>
    </row>
    <row r="106" spans="1:23" ht="15" customHeight="1">
      <c r="A106" s="1007" t="s">
        <v>418</v>
      </c>
      <c r="B106" s="1008" t="s">
        <v>435</v>
      </c>
      <c r="C106" s="1009" t="s">
        <v>442</v>
      </c>
      <c r="D106" s="1009" t="s">
        <v>443</v>
      </c>
      <c r="E106" s="1010" t="s">
        <v>433</v>
      </c>
      <c r="G106" s="1007" t="s">
        <v>418</v>
      </c>
      <c r="H106" s="1008" t="s">
        <v>435</v>
      </c>
      <c r="I106" s="1009" t="s">
        <v>442</v>
      </c>
      <c r="J106" s="1009" t="s">
        <v>443</v>
      </c>
      <c r="K106" s="1010" t="s">
        <v>433</v>
      </c>
      <c r="M106" s="1007" t="s">
        <v>418</v>
      </c>
      <c r="N106" s="1008" t="s">
        <v>435</v>
      </c>
      <c r="O106" s="1009" t="s">
        <v>442</v>
      </c>
      <c r="P106" s="1009" t="s">
        <v>443</v>
      </c>
      <c r="Q106" s="1010" t="s">
        <v>433</v>
      </c>
      <c r="S106" s="123"/>
      <c r="T106" s="124"/>
      <c r="U106" s="276"/>
      <c r="V106" s="276"/>
      <c r="W106" s="124"/>
    </row>
    <row r="107" spans="1:23" ht="15" customHeight="1" thickBot="1">
      <c r="A107" s="387"/>
      <c r="B107" s="388">
        <f>D45</f>
        <v>141509.79999999999</v>
      </c>
      <c r="C107" s="389">
        <f>IF(B107=0,0,IFERROR((B107/Assumptions!$Y$35)-1,0))</f>
        <v>470.6993333333333</v>
      </c>
      <c r="D107" s="390"/>
      <c r="E107" s="385"/>
      <c r="G107" s="387"/>
      <c r="H107" s="388">
        <f>J45</f>
        <v>0</v>
      </c>
      <c r="I107" s="389">
        <f>IF(H107=0,0,IFERROR((H107/Assumptions!$Y$35)-1,0))</f>
        <v>0</v>
      </c>
      <c r="J107" s="390"/>
      <c r="K107" s="385"/>
      <c r="M107" s="387"/>
      <c r="N107" s="388">
        <f>P45</f>
        <v>0</v>
      </c>
      <c r="O107" s="389">
        <f>IF(N107=0,0,IFERROR((N107/Assumptions!$Y$35)-1,0))</f>
        <v>0</v>
      </c>
      <c r="P107" s="390"/>
      <c r="Q107" s="385"/>
      <c r="T107" s="83"/>
      <c r="U107" s="168"/>
      <c r="W107" s="127"/>
    </row>
    <row r="108" spans="1:23" ht="15" customHeight="1" thickTop="1">
      <c r="A108" s="163" t="s">
        <v>61</v>
      </c>
      <c r="B108" s="128">
        <f>IF(B34="Parking Lot",B107*50%,B$107*B46)</f>
        <v>127358.81999999999</v>
      </c>
      <c r="C108" s="259">
        <f>IF(B108=0,0,IFERROR((B108/Assumptions!$Y$35)-1,0))</f>
        <v>423.52939999999995</v>
      </c>
      <c r="D108" s="36">
        <f>Assumptions!$Y36</f>
        <v>300</v>
      </c>
      <c r="E108" s="59">
        <f>IF(OR(D$37&gt;0,D$39&gt;0,D$40&gt;0,D$43&gt;0),0,IF(B$58&gt;0,0,IF(C108&lt;0,0,C108*D108*12)))</f>
        <v>1524705.8399999999</v>
      </c>
      <c r="G108" s="163" t="s">
        <v>61</v>
      </c>
      <c r="H108" s="128">
        <f>IF(H34="Parking Lot",H107*50%,H$107*H46)</f>
        <v>0</v>
      </c>
      <c r="I108" s="259">
        <f>IF(H108=0,0,IFERROR((H108/Assumptions!$Y$35)-1,0))</f>
        <v>0</v>
      </c>
      <c r="J108" s="36">
        <f>Assumptions!$Y36</f>
        <v>300</v>
      </c>
      <c r="K108" s="59">
        <f>IF(OR(J$37&gt;0,J$39&gt;0,J$40&gt;0,J$43&gt;0),0,IF(H$58&gt;0,0,IF(I108&lt;0,0,I108*J108*12)))</f>
        <v>0</v>
      </c>
      <c r="M108" s="163" t="s">
        <v>61</v>
      </c>
      <c r="N108" s="128">
        <f>IF(N34="Parking Lot",N107*50%,N$107*N46)</f>
        <v>0</v>
      </c>
      <c r="O108" s="259">
        <f>IF(N108=0,0,IFERROR((N108/Assumptions!$Y$35)-1,0))</f>
        <v>0</v>
      </c>
      <c r="P108" s="36">
        <f>Assumptions!$Y36</f>
        <v>300</v>
      </c>
      <c r="Q108" s="59">
        <f>IF(OR(P$37&gt;0,P$39&gt;0,P$40&gt;0,P$43&gt;0),0,IF(N$58&gt;0,0,IF(O108&lt;0,0,O108*P108*12)))</f>
        <v>0</v>
      </c>
      <c r="S108" s="321"/>
      <c r="T108" s="83"/>
      <c r="U108" s="168"/>
      <c r="V108" s="286"/>
      <c r="W108" s="127"/>
    </row>
    <row r="109" spans="1:23" ht="15" customHeight="1">
      <c r="A109" s="391" t="s">
        <v>239</v>
      </c>
      <c r="B109" s="392">
        <f>B107-B108-B110</f>
        <v>14150.979999999996</v>
      </c>
      <c r="C109" s="393">
        <f>IF(B109=0,0,IFERROR((B109/Assumptions!$Y$35)-1,0))</f>
        <v>46.169933333333319</v>
      </c>
      <c r="D109" s="394">
        <f>Assumptions!$Y37</f>
        <v>250</v>
      </c>
      <c r="E109" s="59">
        <f>IF(OR(D$37&gt;0,D$39&gt;0,D$40&gt;0,D$43&gt;0),0,IF(B$58&gt;0,0,IF(C109&lt;0,0,C109*D109*12)))</f>
        <v>138509.79999999996</v>
      </c>
      <c r="G109" s="391" t="s">
        <v>239</v>
      </c>
      <c r="H109" s="392">
        <f>H107-H108-H110</f>
        <v>0</v>
      </c>
      <c r="I109" s="393">
        <f>IF(H109=0,0,IFERROR((H109/Assumptions!$Y$35)-1,0))</f>
        <v>0</v>
      </c>
      <c r="J109" s="394">
        <f>Assumptions!$Y37</f>
        <v>250</v>
      </c>
      <c r="K109" s="59">
        <f>IF(OR(J$37&gt;0,J$39&gt;0,J$40&gt;0,J$43&gt;0),0,IF(H$58&gt;0,0,IF(I109&lt;0,0,I109*J109*12)))</f>
        <v>0</v>
      </c>
      <c r="M109" s="391" t="s">
        <v>239</v>
      </c>
      <c r="N109" s="392">
        <f>N107-N108-N110</f>
        <v>0</v>
      </c>
      <c r="O109" s="393">
        <f>IF(N109=0,0,IFERROR((N109/Assumptions!$Y$35)-1,0))</f>
        <v>0</v>
      </c>
      <c r="P109" s="394">
        <f>Assumptions!$Y37</f>
        <v>250</v>
      </c>
      <c r="Q109" s="59">
        <f>IF(OR(P$37&gt;0,P$39&gt;0,P$40&gt;0,P$43&gt;0),0,IF(N$58&gt;0,0,IF(O109&lt;0,0,O109*P109*12)))</f>
        <v>0</v>
      </c>
      <c r="S109" s="203"/>
      <c r="T109" s="83"/>
      <c r="U109" s="168"/>
      <c r="V109" s="286"/>
      <c r="W109" s="127"/>
    </row>
    <row r="110" spans="1:23" ht="15" customHeight="1" thickBot="1">
      <c r="A110" s="395" t="s">
        <v>122</v>
      </c>
      <c r="B110" s="396">
        <v>0</v>
      </c>
      <c r="C110" s="397">
        <f>IF(B110=0,0,IFERROR((B110/Assumptions!$Y$35)-1,0))</f>
        <v>0</v>
      </c>
      <c r="D110" s="398">
        <f>Assumptions!$Y38</f>
        <v>50</v>
      </c>
      <c r="E110" s="39">
        <f>IF(OR(D$37&gt;0,D$39&gt;0,D$40&gt;0,D$43&gt;0),0,IF(B$58&gt;0,0,IF(C110&lt;0,0,C110*D110*12)))</f>
        <v>0</v>
      </c>
      <c r="G110" s="395" t="s">
        <v>122</v>
      </c>
      <c r="H110" s="396">
        <v>0</v>
      </c>
      <c r="I110" s="397">
        <f>IF(H110=0,0,IFERROR((H110/Assumptions!$Y$35)-1,0))</f>
        <v>0</v>
      </c>
      <c r="J110" s="398">
        <f>Assumptions!$Y38</f>
        <v>50</v>
      </c>
      <c r="K110" s="39">
        <f>IF(OR(J$37&gt;0,J$39&gt;0,J$40&gt;0,J$43&gt;0),0,IF(H$58&gt;0,0,IF(I110&lt;0,0,I110*J110*12)))</f>
        <v>0</v>
      </c>
      <c r="M110" s="395" t="s">
        <v>122</v>
      </c>
      <c r="N110" s="396">
        <v>0</v>
      </c>
      <c r="O110" s="397">
        <f>IF(N110=0,0,IFERROR((N110/Assumptions!$Y$35)-1,0))</f>
        <v>0</v>
      </c>
      <c r="P110" s="398">
        <f>Assumptions!$Y38</f>
        <v>50</v>
      </c>
      <c r="Q110" s="39">
        <f>IF(OR(P$37&gt;0,P$39&gt;0,P$40&gt;0,P$43&gt;0),0,IF(N$58&gt;0,0,IF(O110&lt;0,0,O110*P110*12)))</f>
        <v>0</v>
      </c>
      <c r="S110" s="203"/>
      <c r="T110" s="322"/>
      <c r="U110" s="168"/>
      <c r="V110" s="286"/>
      <c r="W110" s="127"/>
    </row>
    <row r="111" spans="1:23" ht="15" customHeight="1" thickBot="1">
      <c r="A111" s="203"/>
      <c r="B111" s="83"/>
      <c r="C111" s="204"/>
      <c r="D111" s="202"/>
      <c r="E111" s="127"/>
      <c r="G111" s="203"/>
      <c r="H111" s="83"/>
      <c r="I111" s="204"/>
      <c r="J111" s="202"/>
      <c r="K111" s="127"/>
      <c r="M111" s="203"/>
      <c r="N111" s="83"/>
      <c r="O111" s="204"/>
      <c r="P111" s="202"/>
      <c r="Q111" s="127"/>
      <c r="S111" s="203"/>
      <c r="T111" s="83"/>
      <c r="U111" s="301"/>
      <c r="V111" s="286"/>
      <c r="W111" s="127"/>
    </row>
    <row r="112" spans="1:23" ht="15" customHeight="1" thickBot="1">
      <c r="A112" s="1011" t="s">
        <v>444</v>
      </c>
      <c r="B112" s="80"/>
      <c r="C112" s="77" t="str">
        <f>B34</f>
        <v>Multifamily + Retail 2</v>
      </c>
      <c r="D112" s="77"/>
      <c r="E112" s="1012"/>
      <c r="F112" s="12"/>
      <c r="G112" s="1011" t="s">
        <v>444</v>
      </c>
      <c r="H112" s="80"/>
      <c r="I112" s="77">
        <f>H34</f>
        <v>0</v>
      </c>
      <c r="J112" s="77"/>
      <c r="K112" s="1012"/>
      <c r="L112" s="12"/>
      <c r="M112" s="1011" t="s">
        <v>444</v>
      </c>
      <c r="N112" s="80"/>
      <c r="O112" s="77">
        <f>N34</f>
        <v>0</v>
      </c>
      <c r="P112" s="77"/>
      <c r="Q112" s="1012"/>
      <c r="R112" s="12"/>
      <c r="S112" s="274"/>
      <c r="T112" s="274"/>
      <c r="U112" s="129"/>
      <c r="V112" s="129"/>
      <c r="W112" s="274"/>
    </row>
    <row r="113" spans="1:23" ht="13.5" thickBot="1">
      <c r="A113" s="1013" t="s">
        <v>445</v>
      </c>
      <c r="B113" s="78" t="s">
        <v>446</v>
      </c>
      <c r="C113" s="78" t="s">
        <v>447</v>
      </c>
      <c r="D113" s="78" t="s">
        <v>448</v>
      </c>
      <c r="E113" s="1014" t="s">
        <v>449</v>
      </c>
      <c r="F113" s="12"/>
      <c r="G113" s="1013" t="s">
        <v>445</v>
      </c>
      <c r="H113" s="78" t="s">
        <v>446</v>
      </c>
      <c r="I113" s="78" t="s">
        <v>447</v>
      </c>
      <c r="J113" s="78" t="s">
        <v>448</v>
      </c>
      <c r="K113" s="1014" t="s">
        <v>449</v>
      </c>
      <c r="L113" s="12"/>
      <c r="M113" s="1013" t="s">
        <v>445</v>
      </c>
      <c r="N113" s="78" t="s">
        <v>446</v>
      </c>
      <c r="O113" s="78" t="s">
        <v>447</v>
      </c>
      <c r="P113" s="78" t="s">
        <v>448</v>
      </c>
      <c r="Q113" s="1014" t="s">
        <v>449</v>
      </c>
      <c r="R113" s="12"/>
      <c r="S113" s="123"/>
      <c r="T113" s="124"/>
      <c r="U113" s="124"/>
      <c r="V113" s="124"/>
      <c r="W113" s="124"/>
    </row>
    <row r="114" spans="1:23" ht="12.6">
      <c r="A114" s="33" t="s">
        <v>450</v>
      </c>
      <c r="B114" s="34"/>
      <c r="C114" s="35"/>
      <c r="D114" s="82"/>
      <c r="E114" s="13">
        <f>SUM(E55,E72,E88)</f>
        <v>18204939.600000001</v>
      </c>
      <c r="F114" s="12"/>
      <c r="G114" s="33" t="s">
        <v>450</v>
      </c>
      <c r="H114" s="34"/>
      <c r="I114" s="35"/>
      <c r="J114" s="82"/>
      <c r="K114" s="13">
        <f>SUM(K55,K72,K88)</f>
        <v>0</v>
      </c>
      <c r="L114" s="12"/>
      <c r="M114" s="33" t="s">
        <v>450</v>
      </c>
      <c r="N114" s="34"/>
      <c r="O114" s="35"/>
      <c r="P114" s="82"/>
      <c r="Q114" s="13">
        <f>SUM(Q55,Q72,Q88)</f>
        <v>0</v>
      </c>
      <c r="R114" s="12"/>
      <c r="S114" s="12"/>
      <c r="T114" s="286"/>
      <c r="U114" s="323"/>
      <c r="V114" s="324"/>
      <c r="W114" s="286"/>
    </row>
    <row r="115" spans="1:23" ht="12.6">
      <c r="A115" s="91" t="s">
        <v>451</v>
      </c>
      <c r="B115" s="34"/>
      <c r="C115" s="35"/>
      <c r="D115" s="399"/>
      <c r="E115" s="92">
        <f>SUM(E93,E97)</f>
        <v>817403.5199999999</v>
      </c>
      <c r="F115" s="12"/>
      <c r="G115" s="91" t="s">
        <v>451</v>
      </c>
      <c r="H115" s="34"/>
      <c r="I115" s="35"/>
      <c r="J115" s="399"/>
      <c r="K115" s="92">
        <f>SUM(K93,K97)</f>
        <v>0</v>
      </c>
      <c r="L115" s="12"/>
      <c r="M115" s="91" t="s">
        <v>451</v>
      </c>
      <c r="N115" s="34"/>
      <c r="O115" s="35"/>
      <c r="P115" s="399"/>
      <c r="Q115" s="92">
        <f>SUM(Q93,Q97)</f>
        <v>0</v>
      </c>
      <c r="R115" s="12"/>
      <c r="S115" s="12"/>
      <c r="T115" s="286"/>
      <c r="U115" s="323"/>
      <c r="V115" s="324"/>
      <c r="W115" s="286"/>
    </row>
    <row r="116" spans="1:23" ht="12.6">
      <c r="A116" s="400" t="s">
        <v>452</v>
      </c>
      <c r="B116" s="1077"/>
      <c r="C116" s="1078"/>
      <c r="D116" s="401"/>
      <c r="E116" s="1015">
        <f>E105</f>
        <v>0</v>
      </c>
      <c r="F116" s="12"/>
      <c r="G116" s="400" t="s">
        <v>452</v>
      </c>
      <c r="H116" s="1077"/>
      <c r="I116" s="1078"/>
      <c r="J116" s="401"/>
      <c r="K116" s="1015">
        <f>K105</f>
        <v>0</v>
      </c>
      <c r="L116" s="12"/>
      <c r="M116" s="400" t="s">
        <v>452</v>
      </c>
      <c r="N116" s="1077"/>
      <c r="O116" s="1078"/>
      <c r="P116" s="401"/>
      <c r="Q116" s="1015">
        <f>Q105</f>
        <v>0</v>
      </c>
      <c r="R116" s="12"/>
      <c r="S116" s="325"/>
      <c r="T116" s="1079"/>
      <c r="U116" s="1079"/>
      <c r="V116" s="326"/>
      <c r="W116" s="286"/>
    </row>
    <row r="117" spans="1:23" ht="12.95">
      <c r="A117" s="402" t="s">
        <v>453</v>
      </c>
      <c r="B117" s="89"/>
      <c r="C117" s="89"/>
      <c r="D117" s="86"/>
      <c r="E117" s="403">
        <f>SUM(E114:E116)</f>
        <v>19022343.120000001</v>
      </c>
      <c r="F117" s="12"/>
      <c r="G117" s="402" t="s">
        <v>453</v>
      </c>
      <c r="H117" s="89"/>
      <c r="I117" s="89"/>
      <c r="J117" s="86"/>
      <c r="K117" s="403">
        <f>SUM(K114:K116)</f>
        <v>0</v>
      </c>
      <c r="L117" s="12"/>
      <c r="M117" s="402" t="s">
        <v>453</v>
      </c>
      <c r="N117" s="89"/>
      <c r="O117" s="89"/>
      <c r="P117" s="86"/>
      <c r="Q117" s="403">
        <f>SUM(Q114:Q116)</f>
        <v>0</v>
      </c>
      <c r="R117" s="12"/>
      <c r="S117" s="277"/>
      <c r="T117" s="302"/>
      <c r="U117" s="302"/>
      <c r="V117" s="167"/>
      <c r="W117" s="167"/>
    </row>
    <row r="118" spans="1:23" ht="12.95">
      <c r="A118" s="1071"/>
      <c r="B118" s="1072"/>
      <c r="C118" s="1072"/>
      <c r="D118" s="1072"/>
      <c r="E118" s="1073"/>
      <c r="F118" s="12"/>
      <c r="G118" s="1071"/>
      <c r="H118" s="1072"/>
      <c r="I118" s="1072"/>
      <c r="J118" s="1072"/>
      <c r="K118" s="1073"/>
      <c r="L118" s="12"/>
      <c r="M118" s="1071"/>
      <c r="N118" s="1072"/>
      <c r="O118" s="1072"/>
      <c r="P118" s="1072"/>
      <c r="Q118" s="1073"/>
      <c r="R118" s="12"/>
      <c r="S118" s="1074"/>
      <c r="T118" s="1074"/>
      <c r="U118" s="1074"/>
      <c r="V118" s="1074"/>
      <c r="W118" s="1074"/>
    </row>
    <row r="119" spans="1:23" ht="12.95">
      <c r="A119" s="95" t="s">
        <v>454</v>
      </c>
      <c r="B119" s="85"/>
      <c r="C119" s="85"/>
      <c r="D119" s="85"/>
      <c r="E119" s="96"/>
      <c r="F119" s="12"/>
      <c r="G119" s="95" t="s">
        <v>454</v>
      </c>
      <c r="H119" s="85"/>
      <c r="I119" s="85"/>
      <c r="J119" s="85"/>
      <c r="K119" s="96"/>
      <c r="L119" s="12"/>
      <c r="M119" s="95" t="s">
        <v>454</v>
      </c>
      <c r="N119" s="85"/>
      <c r="O119" s="85"/>
      <c r="P119" s="85"/>
      <c r="Q119" s="96"/>
      <c r="R119" s="12"/>
      <c r="S119" s="277"/>
      <c r="T119" s="167"/>
      <c r="U119" s="167"/>
      <c r="V119" s="167"/>
      <c r="W119" s="167"/>
    </row>
    <row r="120" spans="1:23" ht="12.6">
      <c r="A120" s="404" t="s">
        <v>455</v>
      </c>
      <c r="B120" s="394"/>
      <c r="C120" s="401"/>
      <c r="D120" s="401"/>
      <c r="E120" s="405">
        <f>E108</f>
        <v>1524705.8399999999</v>
      </c>
      <c r="F120" s="12"/>
      <c r="G120" s="404" t="s">
        <v>455</v>
      </c>
      <c r="H120" s="394"/>
      <c r="I120" s="401"/>
      <c r="J120" s="401"/>
      <c r="K120" s="405">
        <f>K108</f>
        <v>0</v>
      </c>
      <c r="L120" s="12"/>
      <c r="M120" s="404" t="s">
        <v>455</v>
      </c>
      <c r="N120" s="394"/>
      <c r="O120" s="401"/>
      <c r="P120" s="401"/>
      <c r="Q120" s="405">
        <f>Q108</f>
        <v>0</v>
      </c>
      <c r="R120" s="12"/>
      <c r="S120" s="327"/>
      <c r="T120" s="286"/>
      <c r="U120" s="326"/>
      <c r="V120" s="326"/>
      <c r="W120" s="286"/>
    </row>
    <row r="121" spans="1:23" ht="12.6">
      <c r="A121" s="404" t="s">
        <v>456</v>
      </c>
      <c r="B121" s="394"/>
      <c r="C121" s="401"/>
      <c r="D121" s="401"/>
      <c r="E121" s="405">
        <f>E109</f>
        <v>138509.79999999996</v>
      </c>
      <c r="F121" s="12"/>
      <c r="G121" s="404" t="s">
        <v>456</v>
      </c>
      <c r="H121" s="394"/>
      <c r="I121" s="401"/>
      <c r="J121" s="401"/>
      <c r="K121" s="405">
        <f>K109</f>
        <v>0</v>
      </c>
      <c r="L121" s="12"/>
      <c r="M121" s="404" t="s">
        <v>456</v>
      </c>
      <c r="N121" s="394"/>
      <c r="O121" s="401"/>
      <c r="P121" s="401"/>
      <c r="Q121" s="405">
        <f>Q109</f>
        <v>0</v>
      </c>
      <c r="R121" s="12"/>
      <c r="S121" s="327"/>
      <c r="T121" s="286"/>
      <c r="U121" s="326"/>
      <c r="V121" s="326"/>
      <c r="W121" s="286"/>
    </row>
    <row r="122" spans="1:23" ht="12.6">
      <c r="A122" s="404" t="s">
        <v>457</v>
      </c>
      <c r="B122" s="394"/>
      <c r="C122" s="401"/>
      <c r="D122" s="401"/>
      <c r="E122" s="405">
        <f>E110</f>
        <v>0</v>
      </c>
      <c r="F122" s="12"/>
      <c r="G122" s="404" t="s">
        <v>457</v>
      </c>
      <c r="H122" s="394"/>
      <c r="I122" s="401"/>
      <c r="J122" s="401"/>
      <c r="K122" s="405">
        <f>K110</f>
        <v>0</v>
      </c>
      <c r="L122" s="12"/>
      <c r="M122" s="404" t="s">
        <v>457</v>
      </c>
      <c r="N122" s="394"/>
      <c r="O122" s="401"/>
      <c r="P122" s="401"/>
      <c r="Q122" s="405">
        <f>Q110</f>
        <v>0</v>
      </c>
      <c r="R122" s="12"/>
      <c r="S122" s="327"/>
      <c r="T122" s="286"/>
      <c r="U122" s="326"/>
      <c r="V122" s="326"/>
      <c r="W122" s="286"/>
    </row>
    <row r="123" spans="1:23" ht="12.6">
      <c r="A123" s="404" t="s">
        <v>458</v>
      </c>
      <c r="B123" s="401"/>
      <c r="C123" s="401"/>
      <c r="D123" s="401"/>
      <c r="E123" s="405">
        <f>Assumptions!$L$44*E117</f>
        <v>570670.29359999998</v>
      </c>
      <c r="F123" s="12"/>
      <c r="G123" s="404" t="s">
        <v>458</v>
      </c>
      <c r="H123" s="401"/>
      <c r="I123" s="401"/>
      <c r="J123" s="401"/>
      <c r="K123" s="405">
        <f>Assumptions!$L$44*K117</f>
        <v>0</v>
      </c>
      <c r="L123" s="12"/>
      <c r="M123" s="404" t="s">
        <v>458</v>
      </c>
      <c r="N123" s="401"/>
      <c r="O123" s="401"/>
      <c r="P123" s="401"/>
      <c r="Q123" s="405">
        <f>Assumptions!$L$44*Q117</f>
        <v>0</v>
      </c>
      <c r="R123" s="12"/>
      <c r="S123" s="327"/>
      <c r="T123" s="326"/>
      <c r="U123" s="326"/>
      <c r="V123" s="326"/>
      <c r="W123" s="286"/>
    </row>
    <row r="124" spans="1:23" ht="13.5" thickBot="1">
      <c r="A124" s="84" t="s">
        <v>459</v>
      </c>
      <c r="B124" s="72"/>
      <c r="C124" s="87"/>
      <c r="D124" s="406"/>
      <c r="E124" s="73">
        <f>SUM(E120:E123)</f>
        <v>2233885.9336000001</v>
      </c>
      <c r="F124" s="12"/>
      <c r="G124" s="84" t="s">
        <v>459</v>
      </c>
      <c r="H124" s="72"/>
      <c r="I124" s="87"/>
      <c r="J124" s="406"/>
      <c r="K124" s="73">
        <f>SUM(K120:K123)</f>
        <v>0</v>
      </c>
      <c r="L124" s="12"/>
      <c r="M124" s="84" t="s">
        <v>459</v>
      </c>
      <c r="N124" s="72"/>
      <c r="O124" s="87"/>
      <c r="P124" s="406"/>
      <c r="Q124" s="73">
        <f>SUM(Q120:Q123)</f>
        <v>0</v>
      </c>
      <c r="R124" s="12"/>
      <c r="S124" s="328"/>
      <c r="T124" s="167"/>
      <c r="U124" s="167"/>
      <c r="V124" s="167"/>
      <c r="W124" s="167"/>
    </row>
    <row r="125" spans="1:23" ht="14.1" thickTop="1" thickBot="1">
      <c r="A125" s="27">
        <v>0.05</v>
      </c>
      <c r="B125" s="74"/>
      <c r="C125" s="88"/>
      <c r="D125" s="94"/>
      <c r="E125" s="79">
        <f>-A125*E117</f>
        <v>-951117.15600000008</v>
      </c>
      <c r="F125" s="12"/>
      <c r="G125" s="27">
        <v>0.05</v>
      </c>
      <c r="H125" s="74"/>
      <c r="I125" s="88"/>
      <c r="J125" s="94"/>
      <c r="K125" s="79">
        <f>-G125*K117</f>
        <v>0</v>
      </c>
      <c r="L125" s="12"/>
      <c r="M125" s="27">
        <v>0.05</v>
      </c>
      <c r="N125" s="74"/>
      <c r="O125" s="88"/>
      <c r="P125" s="94"/>
      <c r="Q125" s="79">
        <f>-M125*Q117</f>
        <v>0</v>
      </c>
      <c r="R125" s="12"/>
      <c r="S125" s="329"/>
      <c r="T125" s="286"/>
      <c r="U125" s="286"/>
      <c r="V125" s="286"/>
      <c r="W125" s="286"/>
    </row>
    <row r="126" spans="1:23" ht="14.1" thickTop="1" thickBot="1">
      <c r="A126" s="1016" t="s">
        <v>460</v>
      </c>
      <c r="B126" s="14"/>
      <c r="C126" s="1017"/>
      <c r="D126" s="93"/>
      <c r="E126" s="1018">
        <f>E117+E124+E125</f>
        <v>20305111.897600003</v>
      </c>
      <c r="F126" s="12"/>
      <c r="G126" s="1016" t="s">
        <v>460</v>
      </c>
      <c r="H126" s="14"/>
      <c r="I126" s="1017"/>
      <c r="J126" s="93"/>
      <c r="K126" s="1018">
        <f>K117+K124+K125</f>
        <v>0</v>
      </c>
      <c r="L126" s="12"/>
      <c r="M126" s="1016" t="s">
        <v>460</v>
      </c>
      <c r="N126" s="14"/>
      <c r="O126" s="1017"/>
      <c r="P126" s="93"/>
      <c r="Q126" s="1018">
        <f>Q117+Q124+Q125</f>
        <v>0</v>
      </c>
      <c r="R126" s="12"/>
      <c r="S126" s="330"/>
      <c r="T126" s="167"/>
      <c r="U126" s="331"/>
      <c r="V126" s="331"/>
      <c r="W126" s="167"/>
    </row>
    <row r="127" spans="1:23" ht="13.5" thickBot="1">
      <c r="A127" s="6" t="s">
        <v>461</v>
      </c>
      <c r="B127" s="78" t="s">
        <v>462</v>
      </c>
      <c r="C127" s="78"/>
      <c r="D127" s="78"/>
      <c r="E127" s="15" t="s">
        <v>463</v>
      </c>
      <c r="F127" s="12"/>
      <c r="G127" s="6" t="s">
        <v>461</v>
      </c>
      <c r="H127" s="78" t="s">
        <v>462</v>
      </c>
      <c r="I127" s="78"/>
      <c r="J127" s="78"/>
      <c r="K127" s="15" t="s">
        <v>463</v>
      </c>
      <c r="L127" s="12"/>
      <c r="M127" s="6" t="s">
        <v>461</v>
      </c>
      <c r="N127" s="78" t="s">
        <v>462</v>
      </c>
      <c r="O127" s="78"/>
      <c r="P127" s="78"/>
      <c r="Q127" s="15" t="s">
        <v>463</v>
      </c>
      <c r="R127" s="12"/>
      <c r="S127" s="123"/>
      <c r="T127" s="124"/>
      <c r="U127" s="124"/>
      <c r="V127" s="124"/>
      <c r="W127" s="124"/>
    </row>
    <row r="128" spans="1:23" ht="13.5" thickBot="1">
      <c r="A128" s="97" t="s">
        <v>464</v>
      </c>
      <c r="B128" s="90"/>
      <c r="C128" s="16"/>
      <c r="D128" s="16"/>
      <c r="E128" s="98">
        <f>-0.3*E117</f>
        <v>-5706702.9359999998</v>
      </c>
      <c r="F128" s="12"/>
      <c r="G128" s="97" t="s">
        <v>464</v>
      </c>
      <c r="H128" s="90"/>
      <c r="I128" s="16"/>
      <c r="J128" s="16"/>
      <c r="K128" s="98">
        <f>-0.3*K117</f>
        <v>0</v>
      </c>
      <c r="L128" s="12"/>
      <c r="M128" s="97" t="s">
        <v>464</v>
      </c>
      <c r="N128" s="90"/>
      <c r="O128" s="16"/>
      <c r="P128" s="16"/>
      <c r="Q128" s="98">
        <f>-0.3*Q117</f>
        <v>0</v>
      </c>
      <c r="R128" s="12"/>
      <c r="S128" s="289"/>
      <c r="T128" s="332"/>
      <c r="U128" s="333"/>
      <c r="V128" s="333"/>
      <c r="W128" s="333"/>
    </row>
    <row r="129" spans="1:25" ht="13.5" thickBot="1">
      <c r="A129" s="1019" t="s">
        <v>465</v>
      </c>
      <c r="B129" s="81"/>
      <c r="C129" s="81"/>
      <c r="D129" s="81"/>
      <c r="E129" s="1020">
        <f>E126+E128</f>
        <v>14598408.961600002</v>
      </c>
      <c r="F129" s="12"/>
      <c r="G129" s="1019" t="s">
        <v>465</v>
      </c>
      <c r="H129" s="81"/>
      <c r="I129" s="81"/>
      <c r="J129" s="81"/>
      <c r="K129" s="1020">
        <f>K126+K128</f>
        <v>0</v>
      </c>
      <c r="L129" s="12"/>
      <c r="M129" s="1019" t="s">
        <v>465</v>
      </c>
      <c r="N129" s="81"/>
      <c r="O129" s="81"/>
      <c r="P129" s="81"/>
      <c r="Q129" s="1020">
        <f>Q126+Q128</f>
        <v>0</v>
      </c>
      <c r="R129" s="12"/>
      <c r="S129" s="118"/>
      <c r="T129" s="334"/>
      <c r="U129" s="334"/>
      <c r="V129" s="334"/>
      <c r="W129" s="335"/>
    </row>
    <row r="130" spans="1:25" ht="12.6">
      <c r="F130" s="12"/>
      <c r="L130" s="12"/>
      <c r="R130" s="12"/>
    </row>
    <row r="131" spans="1:25" ht="12.95">
      <c r="A131" s="734" t="s">
        <v>383</v>
      </c>
      <c r="B131" s="734"/>
      <c r="C131" s="734"/>
      <c r="F131" s="12"/>
      <c r="G131" s="734" t="s">
        <v>383</v>
      </c>
      <c r="H131" s="734"/>
      <c r="I131" s="734"/>
      <c r="L131" s="12"/>
      <c r="M131" s="734" t="s">
        <v>383</v>
      </c>
      <c r="N131" s="734"/>
      <c r="O131" s="734"/>
      <c r="R131" s="12"/>
      <c r="S131" s="274"/>
      <c r="T131" s="274"/>
      <c r="U131" s="274"/>
    </row>
    <row r="132" spans="1:25" ht="12.95">
      <c r="A132" s="735"/>
      <c r="B132" s="736" t="s">
        <v>466</v>
      </c>
      <c r="C132" s="736" t="s">
        <v>467</v>
      </c>
      <c r="F132" s="83"/>
      <c r="G132" s="735"/>
      <c r="H132" s="736" t="s">
        <v>466</v>
      </c>
      <c r="I132" s="736" t="s">
        <v>467</v>
      </c>
      <c r="L132" s="83"/>
      <c r="M132" s="735"/>
      <c r="N132" s="736" t="s">
        <v>466</v>
      </c>
      <c r="O132" s="736" t="s">
        <v>467</v>
      </c>
      <c r="R132" s="83"/>
      <c r="S132" s="274"/>
      <c r="T132" s="282"/>
      <c r="U132" s="282"/>
    </row>
    <row r="133" spans="1:25" ht="12.75" customHeight="1">
      <c r="A133" s="737" t="s">
        <v>387</v>
      </c>
      <c r="B133" s="738">
        <f>IFERROR(INDEX(Assumptions!$D$4:$E$16,MATCH('3-F Financial'!B$34,Assumptions!$D$4:$D$16,0),2),0)</f>
        <v>195</v>
      </c>
      <c r="C133" s="739">
        <f>B133*D34</f>
        <v>198005242.5</v>
      </c>
      <c r="F133" s="12"/>
      <c r="G133" s="737" t="s">
        <v>387</v>
      </c>
      <c r="H133" s="738">
        <f>IFERROR(INDEX(Assumptions!$D$4:$E$16,MATCH('3-F Financial'!H$34,Assumptions!$D$4:$D$16,0),2),0)</f>
        <v>0</v>
      </c>
      <c r="I133" s="739">
        <f>H133*J34</f>
        <v>0</v>
      </c>
      <c r="L133" s="12"/>
      <c r="M133" s="737" t="s">
        <v>387</v>
      </c>
      <c r="N133" s="738">
        <f>IFERROR(INDEX(Assumptions!$D$4:$E$16,MATCH('3-F Financial'!N$34,Assumptions!$D$4:$D$16,0),2),0)</f>
        <v>0</v>
      </c>
      <c r="O133" s="739">
        <f>N133*P34</f>
        <v>0</v>
      </c>
      <c r="R133" s="12"/>
      <c r="S133" s="177"/>
      <c r="T133" s="336"/>
      <c r="U133" s="286"/>
    </row>
    <row r="134" spans="1:25" ht="12.75" customHeight="1">
      <c r="A134" s="737" t="s">
        <v>77</v>
      </c>
      <c r="B134" s="562">
        <f>Assumptions!$E$19</f>
        <v>0.05</v>
      </c>
      <c r="C134" s="740">
        <f>B134*C133</f>
        <v>9900262.125</v>
      </c>
      <c r="F134" s="12"/>
      <c r="G134" s="737" t="s">
        <v>77</v>
      </c>
      <c r="H134" s="562">
        <f>Assumptions!$E$19</f>
        <v>0.05</v>
      </c>
      <c r="I134" s="740">
        <f>H134*I133</f>
        <v>0</v>
      </c>
      <c r="L134" s="12"/>
      <c r="M134" s="737" t="s">
        <v>77</v>
      </c>
      <c r="N134" s="562">
        <f>Assumptions!$E$19</f>
        <v>0.05</v>
      </c>
      <c r="O134" s="740">
        <f>N134*O133</f>
        <v>0</v>
      </c>
      <c r="R134" s="12"/>
      <c r="S134" s="177"/>
      <c r="T134" s="337"/>
      <c r="U134" s="290"/>
      <c r="Y134" s="12"/>
    </row>
    <row r="135" spans="1:25" ht="12.75" customHeight="1">
      <c r="A135" s="737" t="s">
        <v>389</v>
      </c>
      <c r="B135" s="407" t="s">
        <v>101</v>
      </c>
      <c r="C135" s="741">
        <v>0</v>
      </c>
      <c r="F135" s="12"/>
      <c r="G135" s="737" t="s">
        <v>389</v>
      </c>
      <c r="H135" s="407" t="s">
        <v>101</v>
      </c>
      <c r="I135" s="741">
        <v>0</v>
      </c>
      <c r="L135" s="12"/>
      <c r="M135" s="737" t="s">
        <v>389</v>
      </c>
      <c r="N135" s="407" t="s">
        <v>101</v>
      </c>
      <c r="O135" s="741">
        <v>0</v>
      </c>
      <c r="R135" s="12"/>
      <c r="S135" s="177"/>
      <c r="T135" s="338"/>
      <c r="U135" s="339"/>
      <c r="Y135" s="12"/>
    </row>
    <row r="136" spans="1:25" ht="12.75" customHeight="1">
      <c r="A136" s="737" t="s">
        <v>391</v>
      </c>
      <c r="B136" s="748" t="s">
        <v>468</v>
      </c>
      <c r="C136" s="739">
        <f>IF(C133=0,0,INDEX('Development Program'!$C$58:$L$62,5,MATCH($D$2,'Development Program'!$C$58:$L$58,0))/INDEX('Development Program'!$L$9:$M$18,MATCH($D$2,'Development Program'!$L$9:$L$18,0),2))</f>
        <v>808909.2</v>
      </c>
      <c r="F136" s="12"/>
      <c r="G136" s="737" t="s">
        <v>391</v>
      </c>
      <c r="H136" s="748" t="s">
        <v>468</v>
      </c>
      <c r="I136" s="739">
        <f>IF(I133=0,0,INDEX('Development Program'!$C$58:$L$62,5,MATCH($D$2,'Development Program'!$C$58:$L$58,0))/INDEX('Development Program'!$L$9:$M$18,MATCH($D$2,'Development Program'!$L$9:$L$18,0),2))</f>
        <v>0</v>
      </c>
      <c r="L136" s="12"/>
      <c r="M136" s="737" t="s">
        <v>391</v>
      </c>
      <c r="N136" s="748" t="s">
        <v>468</v>
      </c>
      <c r="O136" s="739">
        <f>IF(O133=0,0,INDEX('Development Program'!$C$58:$L$62,5,MATCH($D$2,'Development Program'!$C$58:$L$58,0))/INDEX('Development Program'!$L$9:$M$18,MATCH($D$2,'Development Program'!$L$9:$L$18,0),2))</f>
        <v>0</v>
      </c>
      <c r="R136" s="12"/>
      <c r="S136" s="177"/>
      <c r="T136" s="340"/>
      <c r="U136" s="179"/>
    </row>
    <row r="137" spans="1:25" ht="12.75" customHeight="1">
      <c r="A137" s="426" t="s">
        <v>16</v>
      </c>
      <c r="B137" s="748" t="s">
        <v>468</v>
      </c>
      <c r="C137" s="739">
        <f>IF(C133=0,0,INDEX('Development Program'!$D$40:$M$55,16,MATCH($D$2,'Development Program'!$D$40:$M$40,0))/INDEX('Development Program'!$L$9:$M$18,MATCH($D$2,'Development Program'!$L$9:$L$18,0),2))</f>
        <v>2480000</v>
      </c>
      <c r="F137" s="12"/>
      <c r="G137" s="426" t="s">
        <v>16</v>
      </c>
      <c r="H137" s="748" t="s">
        <v>468</v>
      </c>
      <c r="I137" s="739">
        <f>IF(I133=0,0,INDEX('Development Program'!$D$40:$M$55,16,MATCH($D$2,'Development Program'!$D$40:$M$40,0))/INDEX('Development Program'!$L$9:$M$18,MATCH($D$2,'Development Program'!$L$9:$L$18,0),2))</f>
        <v>0</v>
      </c>
      <c r="L137" s="12"/>
      <c r="M137" s="426" t="s">
        <v>16</v>
      </c>
      <c r="N137" s="748" t="s">
        <v>468</v>
      </c>
      <c r="O137" s="739">
        <f>IF(O133=0,0,INDEX('Development Program'!$D$40:$M$55,16,MATCH($D$2,'Development Program'!$D$40:$M$40,0))/INDEX('Development Program'!$L$9:$M$18,MATCH($D$2,'Development Program'!$L$9:$L$18,0),2))</f>
        <v>0</v>
      </c>
      <c r="R137" s="12"/>
    </row>
    <row r="138" spans="1:25" ht="12.75" customHeight="1">
      <c r="A138" s="737" t="s">
        <v>79</v>
      </c>
      <c r="B138" s="409">
        <f>Assumptions!$E$20</f>
        <v>0.02</v>
      </c>
      <c r="C138" s="739">
        <f>B138*(C$133)</f>
        <v>3960104.85</v>
      </c>
      <c r="F138" s="12"/>
      <c r="G138" s="737" t="s">
        <v>79</v>
      </c>
      <c r="H138" s="409">
        <f>Assumptions!$E$20</f>
        <v>0.02</v>
      </c>
      <c r="I138" s="739">
        <f>H138*(I$133)</f>
        <v>0</v>
      </c>
      <c r="L138" s="12"/>
      <c r="M138" s="737" t="s">
        <v>79</v>
      </c>
      <c r="N138" s="409">
        <f>Assumptions!$E$20</f>
        <v>0.02</v>
      </c>
      <c r="O138" s="739">
        <f>N138*(O$133)</f>
        <v>0</v>
      </c>
      <c r="R138" s="12"/>
      <c r="S138" s="177"/>
      <c r="T138" s="341"/>
      <c r="U138" s="286"/>
    </row>
    <row r="139" spans="1:25" ht="12.75" customHeight="1">
      <c r="A139" s="730" t="s">
        <v>83</v>
      </c>
      <c r="B139" s="409">
        <f>Assumptions!$E$22</f>
        <v>1.4999999999999999E-2</v>
      </c>
      <c r="C139" s="739">
        <f>B139*(C$133)</f>
        <v>2970078.6374999997</v>
      </c>
      <c r="F139" s="12"/>
      <c r="G139" s="730" t="s">
        <v>83</v>
      </c>
      <c r="H139" s="409">
        <f>Assumptions!$E$22</f>
        <v>1.4999999999999999E-2</v>
      </c>
      <c r="I139" s="739">
        <f>H139*(I$133)</f>
        <v>0</v>
      </c>
      <c r="L139" s="12"/>
      <c r="M139" s="730" t="s">
        <v>83</v>
      </c>
      <c r="N139" s="409">
        <f>Assumptions!$E$22</f>
        <v>1.4999999999999999E-2</v>
      </c>
      <c r="O139" s="739">
        <f>N139*(O$133)</f>
        <v>0</v>
      </c>
      <c r="R139" s="12"/>
      <c r="S139" s="12"/>
      <c r="T139" s="341"/>
      <c r="U139" s="286"/>
    </row>
    <row r="140" spans="1:25" ht="12.75" customHeight="1">
      <c r="A140" s="730" t="s">
        <v>84</v>
      </c>
      <c r="B140" s="564">
        <f>Assumptions!$E$23</f>
        <v>2.5000000000000001E-2</v>
      </c>
      <c r="C140" s="739">
        <f>IF(D34=0,0,B140*$B$10)</f>
        <v>20222.73</v>
      </c>
      <c r="F140" s="12"/>
      <c r="G140" s="730" t="s">
        <v>84</v>
      </c>
      <c r="H140" s="564">
        <f>Assumptions!$E$23</f>
        <v>2.5000000000000001E-2</v>
      </c>
      <c r="I140" s="739">
        <f>IF(J34=0,0,H140*$B$10)</f>
        <v>0</v>
      </c>
      <c r="L140" s="12"/>
      <c r="M140" s="730" t="s">
        <v>84</v>
      </c>
      <c r="N140" s="564">
        <f>Assumptions!$E$23</f>
        <v>2.5000000000000001E-2</v>
      </c>
      <c r="O140" s="739">
        <f>IF(P34=0,0,N140*$B$10)</f>
        <v>0</v>
      </c>
      <c r="R140" s="12"/>
      <c r="S140" s="12"/>
      <c r="T140" s="26"/>
      <c r="U140" s="339"/>
    </row>
    <row r="141" spans="1:25" ht="12.75" customHeight="1">
      <c r="A141" s="730" t="s">
        <v>85</v>
      </c>
      <c r="B141" s="409">
        <f>Assumptions!$E$24</f>
        <v>0.02</v>
      </c>
      <c r="C141" s="739">
        <f>B141*(C133)</f>
        <v>3960104.85</v>
      </c>
      <c r="F141" s="12"/>
      <c r="G141" s="730" t="s">
        <v>85</v>
      </c>
      <c r="H141" s="409">
        <f>Assumptions!$E$24</f>
        <v>0.02</v>
      </c>
      <c r="I141" s="739">
        <f>H141*(I133)</f>
        <v>0</v>
      </c>
      <c r="L141" s="12"/>
      <c r="M141" s="730" t="s">
        <v>85</v>
      </c>
      <c r="N141" s="409">
        <f>Assumptions!$E$24</f>
        <v>0.02</v>
      </c>
      <c r="O141" s="739">
        <f>N141*(O133)</f>
        <v>0</v>
      </c>
      <c r="R141" s="12"/>
      <c r="S141" s="12"/>
      <c r="T141" s="341"/>
      <c r="U141" s="286"/>
    </row>
    <row r="142" spans="1:25" ht="12.75" customHeight="1">
      <c r="A142" s="730" t="s">
        <v>86</v>
      </c>
      <c r="B142" s="409">
        <f>Assumptions!$E$25</f>
        <v>3.5000000000000003E-2</v>
      </c>
      <c r="C142" s="739">
        <f>B142*(C133)</f>
        <v>6930183.4875000007</v>
      </c>
      <c r="F142" s="12"/>
      <c r="G142" s="730" t="s">
        <v>86</v>
      </c>
      <c r="H142" s="409">
        <f>Assumptions!$E$25</f>
        <v>3.5000000000000003E-2</v>
      </c>
      <c r="I142" s="739">
        <f>H142*(I133)</f>
        <v>0</v>
      </c>
      <c r="L142" s="12"/>
      <c r="M142" s="730" t="s">
        <v>86</v>
      </c>
      <c r="N142" s="409">
        <f>Assumptions!$E$25</f>
        <v>3.5000000000000003E-2</v>
      </c>
      <c r="O142" s="739">
        <f>N142*(O133)</f>
        <v>0</v>
      </c>
      <c r="R142" s="12"/>
      <c r="S142" s="12"/>
      <c r="T142" s="341"/>
      <c r="U142" s="286"/>
    </row>
    <row r="143" spans="1:25" ht="12.75" customHeight="1">
      <c r="A143" s="730" t="s">
        <v>88</v>
      </c>
      <c r="B143" s="409">
        <f>Assumptions!$E$26</f>
        <v>0.02</v>
      </c>
      <c r="C143" s="739">
        <f>B143*(C133)</f>
        <v>3960104.85</v>
      </c>
      <c r="D143" s="276"/>
      <c r="E143" s="275"/>
      <c r="F143" s="12"/>
      <c r="G143" s="730" t="s">
        <v>88</v>
      </c>
      <c r="H143" s="409">
        <f>Assumptions!$E$26</f>
        <v>0.02</v>
      </c>
      <c r="I143" s="739">
        <f>H143*(I133)</f>
        <v>0</v>
      </c>
      <c r="J143" s="276"/>
      <c r="K143" s="275"/>
      <c r="L143" s="12"/>
      <c r="M143" s="730" t="s">
        <v>88</v>
      </c>
      <c r="N143" s="409">
        <f>Assumptions!$E$26</f>
        <v>0.02</v>
      </c>
      <c r="O143" s="739">
        <f>N143*(O133)</f>
        <v>0</v>
      </c>
      <c r="P143" s="276"/>
      <c r="Q143" s="275"/>
      <c r="R143" s="12"/>
      <c r="S143" s="12"/>
      <c r="T143" s="341"/>
      <c r="U143" s="286"/>
      <c r="V143" s="276"/>
      <c r="W143" s="275"/>
    </row>
    <row r="144" spans="1:25" ht="12.75" customHeight="1">
      <c r="A144" s="730" t="s">
        <v>93</v>
      </c>
      <c r="B144" s="409">
        <f>Assumptions!$E$27</f>
        <v>0.05</v>
      </c>
      <c r="C144" s="739">
        <f>B144*C133</f>
        <v>9900262.125</v>
      </c>
      <c r="D144" s="276"/>
      <c r="E144" s="275"/>
      <c r="F144" s="12"/>
      <c r="G144" s="730" t="s">
        <v>93</v>
      </c>
      <c r="H144" s="409">
        <f>Assumptions!$E$27</f>
        <v>0.05</v>
      </c>
      <c r="I144" s="739">
        <f>H144*I133</f>
        <v>0</v>
      </c>
      <c r="J144" s="276"/>
      <c r="K144" s="275"/>
      <c r="L144" s="12"/>
      <c r="M144" s="730" t="s">
        <v>93</v>
      </c>
      <c r="N144" s="409">
        <f>Assumptions!$E$27</f>
        <v>0.05</v>
      </c>
      <c r="O144" s="739">
        <f>N144*O133</f>
        <v>0</v>
      </c>
      <c r="P144" s="276"/>
      <c r="Q144" s="275"/>
      <c r="R144" s="12"/>
      <c r="S144" s="12"/>
      <c r="T144" s="342"/>
      <c r="U144" s="286"/>
      <c r="V144" s="276"/>
      <c r="W144" s="275"/>
    </row>
    <row r="145" spans="1:23" ht="12.75" customHeight="1">
      <c r="A145" s="730" t="s">
        <v>97</v>
      </c>
      <c r="B145" s="409">
        <f>Assumptions!$E$28</f>
        <v>1.4999999999999999E-2</v>
      </c>
      <c r="C145" s="739">
        <f>B145*C133</f>
        <v>2970078.6374999997</v>
      </c>
      <c r="D145" s="276"/>
      <c r="E145" s="275"/>
      <c r="F145" s="12"/>
      <c r="G145" s="730" t="s">
        <v>97</v>
      </c>
      <c r="H145" s="409">
        <f>Assumptions!$E$28</f>
        <v>1.4999999999999999E-2</v>
      </c>
      <c r="I145" s="739">
        <f>H145*I133</f>
        <v>0</v>
      </c>
      <c r="J145" s="276"/>
      <c r="K145" s="275"/>
      <c r="L145" s="12"/>
      <c r="M145" s="730" t="s">
        <v>97</v>
      </c>
      <c r="N145" s="409">
        <f>Assumptions!$E$28</f>
        <v>1.4999999999999999E-2</v>
      </c>
      <c r="O145" s="739">
        <f>N145*O133</f>
        <v>0</v>
      </c>
      <c r="P145" s="276"/>
      <c r="Q145" s="275"/>
      <c r="R145" s="12"/>
      <c r="S145" s="12"/>
      <c r="T145" s="341"/>
      <c r="U145" s="286"/>
      <c r="V145" s="276"/>
      <c r="W145" s="275"/>
    </row>
    <row r="146" spans="1:23" ht="12.75" customHeight="1">
      <c r="A146" s="730" t="s">
        <v>100</v>
      </c>
      <c r="B146" s="410" t="s">
        <v>101</v>
      </c>
      <c r="C146" s="741">
        <v>400000</v>
      </c>
      <c r="F146" s="12"/>
      <c r="G146" s="730" t="s">
        <v>100</v>
      </c>
      <c r="H146" s="410" t="s">
        <v>101</v>
      </c>
      <c r="I146" s="741">
        <v>0</v>
      </c>
      <c r="L146" s="12"/>
      <c r="M146" s="730" t="s">
        <v>100</v>
      </c>
      <c r="N146" s="410" t="s">
        <v>101</v>
      </c>
      <c r="O146" s="741">
        <v>0</v>
      </c>
      <c r="R146" s="12"/>
      <c r="S146" s="12"/>
      <c r="T146" s="26"/>
      <c r="U146" s="339"/>
    </row>
    <row r="147" spans="1:23" ht="12.75" customHeight="1">
      <c r="A147" s="730" t="s">
        <v>103</v>
      </c>
      <c r="B147" s="411">
        <f>Assumptions!$E$30</f>
        <v>6</v>
      </c>
      <c r="C147" s="739">
        <f>-B147*(E128/6)</f>
        <v>5706702.9359999998</v>
      </c>
      <c r="F147" s="12"/>
      <c r="G147" s="730" t="s">
        <v>103</v>
      </c>
      <c r="H147" s="411">
        <f>Assumptions!$E$30</f>
        <v>6</v>
      </c>
      <c r="I147" s="739">
        <f>-H147*(K128/6)</f>
        <v>0</v>
      </c>
      <c r="L147" s="12"/>
      <c r="M147" s="730" t="s">
        <v>103</v>
      </c>
      <c r="N147" s="411">
        <f>Assumptions!$E$30</f>
        <v>6</v>
      </c>
      <c r="O147" s="739">
        <f>-N147*(Q128/6)</f>
        <v>0</v>
      </c>
      <c r="R147" s="12"/>
      <c r="S147" s="12"/>
      <c r="T147" s="343"/>
      <c r="U147" s="286"/>
    </row>
    <row r="148" spans="1:23" ht="12.75" customHeight="1">
      <c r="A148" s="730" t="s">
        <v>106</v>
      </c>
      <c r="B148" s="742">
        <f>Assumptions!$E$31</f>
        <v>30</v>
      </c>
      <c r="C148" s="739">
        <f>B148*SUM(C93,C97)</f>
        <v>766315.79999999993</v>
      </c>
      <c r="G148" s="730" t="s">
        <v>106</v>
      </c>
      <c r="H148" s="742">
        <f>Assumptions!$E$31</f>
        <v>30</v>
      </c>
      <c r="I148" s="739">
        <f>H148*SUM(I93,I97)</f>
        <v>0</v>
      </c>
      <c r="L148" s="12"/>
      <c r="M148" s="730" t="s">
        <v>106</v>
      </c>
      <c r="N148" s="742">
        <f>Assumptions!$E$31</f>
        <v>30</v>
      </c>
      <c r="O148" s="739">
        <f>N148*SUM(O93,O97)</f>
        <v>0</v>
      </c>
      <c r="R148" s="12"/>
      <c r="S148" s="12"/>
      <c r="T148" s="303"/>
      <c r="U148" s="286"/>
    </row>
    <row r="149" spans="1:23" ht="12.75" customHeight="1">
      <c r="A149" s="730" t="s">
        <v>403</v>
      </c>
      <c r="B149" s="563">
        <f>Assumptions!$E$32</f>
        <v>0.03</v>
      </c>
      <c r="C149" s="731">
        <f>B149*SUM(E93,E97)</f>
        <v>24522.105599999995</v>
      </c>
      <c r="G149" s="730" t="s">
        <v>403</v>
      </c>
      <c r="H149" s="563">
        <f>Assumptions!$E$32</f>
        <v>0.03</v>
      </c>
      <c r="I149" s="731">
        <f>H149*SUM(K93,K97)</f>
        <v>0</v>
      </c>
      <c r="M149" s="730" t="s">
        <v>403</v>
      </c>
      <c r="N149" s="563">
        <f>Assumptions!$E$32</f>
        <v>0.03</v>
      </c>
      <c r="O149" s="731">
        <f>N149*SUM(Q93,Q97)</f>
        <v>0</v>
      </c>
      <c r="S149" s="12"/>
      <c r="T149" s="344"/>
      <c r="U149" s="345"/>
    </row>
    <row r="150" spans="1:23" ht="12.75" customHeight="1">
      <c r="A150" s="730" t="s">
        <v>112</v>
      </c>
      <c r="B150" s="732">
        <f>Assumptions!$E$33</f>
        <v>1.4999999999999999E-2</v>
      </c>
      <c r="C150" s="733">
        <f>B150*SUM(C138:C149,C135,C152,C153)</f>
        <v>831880.21513649996</v>
      </c>
      <c r="D150" s="18"/>
      <c r="E150" s="18"/>
      <c r="G150" s="730" t="s">
        <v>112</v>
      </c>
      <c r="H150" s="732">
        <f>Assumptions!$E$33</f>
        <v>1.4999999999999999E-2</v>
      </c>
      <c r="I150" s="733">
        <f>H150*SUM(I138:I149,I135,I152,I153)</f>
        <v>0</v>
      </c>
      <c r="J150" s="18"/>
      <c r="K150" s="18"/>
      <c r="M150" s="730" t="s">
        <v>112</v>
      </c>
      <c r="N150" s="732">
        <f>Assumptions!$E$33</f>
        <v>1.4999999999999999E-2</v>
      </c>
      <c r="O150" s="733">
        <f>N150*SUM(O138:O149,O135,O152,O153)</f>
        <v>0</v>
      </c>
      <c r="P150" s="18"/>
      <c r="Q150" s="18"/>
      <c r="S150" s="12"/>
      <c r="T150" s="346"/>
      <c r="U150" s="339"/>
      <c r="V150" s="347"/>
      <c r="W150" s="347"/>
    </row>
    <row r="151" spans="1:23" ht="12.75" customHeight="1">
      <c r="A151" s="730" t="s">
        <v>165</v>
      </c>
      <c r="B151" s="732" t="s">
        <v>468</v>
      </c>
      <c r="C151" s="733">
        <f>IF(C133=0,0,-INDEX('Development Program'!$C$30:$L$37,8,MATCH($D$2,'Development Program'!$C$30:$L$30,0))/INDEX('Development Program'!$L$9:$M$18,MATCH($D$2,'Development Program'!$L$9:$L$18,0),2))</f>
        <v>-8166666.666666667</v>
      </c>
      <c r="D151" s="18"/>
      <c r="E151" s="18"/>
      <c r="G151" s="730" t="s">
        <v>165</v>
      </c>
      <c r="H151" s="732" t="s">
        <v>468</v>
      </c>
      <c r="I151" s="733">
        <f>IF(I133=0,0,-INDEX('Development Program'!$C$30:$L$37,8,MATCH($D$2,'Development Program'!$C$30:$L$30,0))/INDEX('Development Program'!$L$9:$M$18,MATCH($D$2,'Development Program'!$L$9:$L$18,0),2))</f>
        <v>0</v>
      </c>
      <c r="J151" s="18"/>
      <c r="K151" s="18"/>
      <c r="M151" s="730" t="s">
        <v>165</v>
      </c>
      <c r="N151" s="732" t="s">
        <v>468</v>
      </c>
      <c r="O151" s="733">
        <f>IF(O133=0,0,-INDEX('Development Program'!$C$30:$L$37,8,MATCH($D$2,'Development Program'!$C$30:$L$30,0))/INDEX('Development Program'!$L$9:$M$18,MATCH($D$2,'Development Program'!$L$9:$L$18,0),2))</f>
        <v>0</v>
      </c>
      <c r="P151" s="18"/>
      <c r="Q151" s="18"/>
      <c r="S151" s="12"/>
      <c r="T151" s="346"/>
      <c r="U151" s="339"/>
      <c r="V151" s="347"/>
      <c r="W151" s="347"/>
    </row>
    <row r="152" spans="1:23" ht="12.75" customHeight="1">
      <c r="A152" s="426" t="s">
        <v>38</v>
      </c>
      <c r="B152" s="732">
        <f>Assumptions!$L$5</f>
        <v>5.0000000000000001E-3</v>
      </c>
      <c r="C152" s="741">
        <v>820000</v>
      </c>
      <c r="D152" s="18">
        <f>C152/B$157</f>
        <v>5.019264970937117E-3</v>
      </c>
      <c r="E152" s="18"/>
      <c r="G152" s="426" t="s">
        <v>38</v>
      </c>
      <c r="H152" s="732">
        <f>Assumptions!$L$5</f>
        <v>5.0000000000000001E-3</v>
      </c>
      <c r="I152" s="741">
        <v>0</v>
      </c>
      <c r="J152" s="18" t="e">
        <f>I152/H$157</f>
        <v>#DIV/0!</v>
      </c>
      <c r="K152" s="18"/>
      <c r="M152" s="426" t="s">
        <v>38</v>
      </c>
      <c r="N152" s="732">
        <f>Assumptions!$L$5</f>
        <v>5.0000000000000001E-3</v>
      </c>
      <c r="O152" s="741">
        <v>0</v>
      </c>
      <c r="P152" s="18" t="e">
        <f>O152/N$157</f>
        <v>#DIV/0!</v>
      </c>
      <c r="Q152" s="18"/>
      <c r="S152" s="12"/>
      <c r="T152" s="346"/>
      <c r="U152" s="339"/>
      <c r="V152" s="347"/>
      <c r="W152" s="347"/>
    </row>
    <row r="153" spans="1:23" ht="12.75" customHeight="1">
      <c r="A153" s="426" t="s">
        <v>407</v>
      </c>
      <c r="B153" s="732">
        <f>Assumptions!$L$4</f>
        <v>0.08</v>
      </c>
      <c r="C153" s="741">
        <v>13070000</v>
      </c>
      <c r="D153" s="18">
        <f>C153/B$157</f>
        <v>8.0002186792863569E-2</v>
      </c>
      <c r="E153" s="18"/>
      <c r="G153" s="426" t="s">
        <v>407</v>
      </c>
      <c r="H153" s="732">
        <f>Assumptions!$L$4</f>
        <v>0.08</v>
      </c>
      <c r="I153" s="741">
        <v>0</v>
      </c>
      <c r="J153" s="18" t="e">
        <f>I153/H$157</f>
        <v>#DIV/0!</v>
      </c>
      <c r="K153" s="18"/>
      <c r="M153" s="426" t="s">
        <v>407</v>
      </c>
      <c r="N153" s="732">
        <f>Assumptions!$L$4</f>
        <v>0.08</v>
      </c>
      <c r="O153" s="741">
        <v>0</v>
      </c>
      <c r="P153" s="18" t="e">
        <f>O153/N$157</f>
        <v>#DIV/0!</v>
      </c>
      <c r="Q153" s="18"/>
      <c r="S153" s="12"/>
      <c r="T153" s="346"/>
      <c r="U153" s="339"/>
      <c r="V153" s="347"/>
      <c r="W153" s="347"/>
    </row>
    <row r="154" spans="1:23" ht="12.75" customHeight="1">
      <c r="A154" s="743" t="s">
        <v>408</v>
      </c>
      <c r="B154" s="744"/>
      <c r="C154" s="745">
        <f>SUM(C133:C153)</f>
        <v>259318308.38256979</v>
      </c>
      <c r="D154" s="18"/>
      <c r="E154" s="18"/>
      <c r="G154" s="743" t="s">
        <v>408</v>
      </c>
      <c r="H154" s="744"/>
      <c r="I154" s="745">
        <f>SUM(I133:I153)</f>
        <v>0</v>
      </c>
      <c r="J154" s="18"/>
      <c r="K154" s="18"/>
      <c r="M154" s="743" t="s">
        <v>408</v>
      </c>
      <c r="N154" s="744"/>
      <c r="O154" s="745">
        <f>SUM(O133:O153)</f>
        <v>0</v>
      </c>
      <c r="P154" s="18"/>
      <c r="Q154" s="18"/>
    </row>
    <row r="155" spans="1:23" ht="12.75" customHeight="1" thickBot="1">
      <c r="A155" s="328"/>
      <c r="C155" s="167"/>
      <c r="D155" s="746"/>
      <c r="E155" s="18"/>
      <c r="G155" s="328"/>
      <c r="I155" s="167"/>
      <c r="J155" s="746"/>
      <c r="K155" s="18"/>
      <c r="M155" s="328"/>
      <c r="O155" s="167"/>
      <c r="P155" s="746"/>
      <c r="Q155" s="18"/>
    </row>
    <row r="156" spans="1:23" ht="12.75" customHeight="1">
      <c r="A156" s="1021" t="s">
        <v>23</v>
      </c>
      <c r="B156" s="1022"/>
      <c r="C156" s="167"/>
      <c r="D156" s="18"/>
      <c r="E156" s="18"/>
      <c r="G156" s="1021" t="s">
        <v>23</v>
      </c>
      <c r="H156" s="1022"/>
      <c r="I156" s="167"/>
      <c r="J156" s="18"/>
      <c r="K156" s="18"/>
      <c r="M156" s="1021" t="s">
        <v>23</v>
      </c>
      <c r="N156" s="1022"/>
      <c r="O156" s="167"/>
      <c r="P156" s="18"/>
      <c r="Q156" s="18"/>
    </row>
    <row r="157" spans="1:23" ht="12.75" customHeight="1">
      <c r="A157" s="840">
        <f>IFERROR(INDEX(Assumptions!$J$11:$L$23,MATCH('3-F Financial'!B$34,Assumptions!$J$11:$J$23,0),3),0)</f>
        <v>0.63</v>
      </c>
      <c r="B157" s="747">
        <f>C154*A157</f>
        <v>163370534.28101897</v>
      </c>
      <c r="C157" s="167"/>
      <c r="D157" s="18"/>
      <c r="E157" s="18"/>
      <c r="G157" s="840">
        <f>IFERROR(INDEX(Assumptions!$J$11:$L$23,MATCH('3-F Financial'!H$34,Assumptions!$J$11:$J$23,0),3),0)</f>
        <v>0</v>
      </c>
      <c r="H157" s="747">
        <f>I154*G157</f>
        <v>0</v>
      </c>
      <c r="I157" s="167"/>
      <c r="J157" s="18"/>
      <c r="K157" s="18"/>
      <c r="M157" s="840">
        <f>IFERROR(INDEX(Assumptions!$J$11:$L$23,MATCH('3-F Financial'!N$34,Assumptions!$J$11:$J$23,0),3),0)</f>
        <v>0</v>
      </c>
      <c r="N157" s="747">
        <f>O154*M157</f>
        <v>0</v>
      </c>
      <c r="O157" s="167"/>
      <c r="P157" s="18"/>
      <c r="Q157" s="18"/>
    </row>
    <row r="158" spans="1:23" ht="12.75" customHeight="1">
      <c r="A158" s="841">
        <f>1-A157</f>
        <v>0.37</v>
      </c>
      <c r="B158" s="747">
        <f>C154*A158</f>
        <v>95947774.101550817</v>
      </c>
      <c r="C158" s="167"/>
      <c r="D158" s="18"/>
      <c r="E158" s="18"/>
      <c r="G158" s="841">
        <f>1-G157</f>
        <v>1</v>
      </c>
      <c r="H158" s="747">
        <f>I154*G158</f>
        <v>0</v>
      </c>
      <c r="I158" s="167"/>
      <c r="J158" s="18"/>
      <c r="K158" s="18"/>
      <c r="M158" s="841">
        <f>1-M157</f>
        <v>1</v>
      </c>
      <c r="N158" s="747">
        <f>O154*M158</f>
        <v>0</v>
      </c>
      <c r="O158" s="167"/>
      <c r="P158" s="18"/>
      <c r="Q158" s="18"/>
    </row>
    <row r="159" spans="1:23" ht="12.75" customHeight="1" thickBot="1">
      <c r="S159" s="12"/>
      <c r="T159" s="349"/>
      <c r="U159" s="339"/>
      <c r="V159" s="347"/>
      <c r="W159" s="347"/>
    </row>
    <row r="160" spans="1:23" ht="13.5" thickBot="1">
      <c r="A160" s="1021" t="s">
        <v>469</v>
      </c>
      <c r="B160" s="1022"/>
      <c r="D160" s="18"/>
      <c r="G160" s="1021" t="s">
        <v>469</v>
      </c>
      <c r="H160" s="1022"/>
      <c r="J160" s="18"/>
      <c r="M160" s="1021" t="s">
        <v>469</v>
      </c>
      <c r="N160" s="1022"/>
      <c r="P160" s="18"/>
      <c r="S160" s="328"/>
      <c r="U160" s="167"/>
    </row>
    <row r="161" spans="1:22" ht="13.5" thickBot="1">
      <c r="A161" s="565" t="s">
        <v>470</v>
      </c>
      <c r="B161" s="566"/>
      <c r="C161" s="12"/>
      <c r="D161" s="346"/>
      <c r="E161" s="339"/>
      <c r="G161" s="565" t="s">
        <v>470</v>
      </c>
      <c r="H161" s="566"/>
      <c r="I161" s="12"/>
      <c r="J161" s="12"/>
      <c r="K161" s="346"/>
      <c r="L161" s="339"/>
      <c r="M161" s="565" t="s">
        <v>470</v>
      </c>
      <c r="N161" s="566"/>
      <c r="O161" s="12"/>
      <c r="P161" s="12"/>
      <c r="Q161" s="346"/>
      <c r="R161" s="339"/>
      <c r="S161" s="274"/>
      <c r="T161" s="274"/>
      <c r="V161" s="347"/>
    </row>
    <row r="162" spans="1:22" ht="12.95">
      <c r="A162" s="358" t="s">
        <v>471</v>
      </c>
      <c r="B162" s="359">
        <f>E63+E80+E101</f>
        <v>0</v>
      </c>
      <c r="D162" s="281"/>
      <c r="G162" s="358" t="s">
        <v>471</v>
      </c>
      <c r="H162" s="359">
        <f>K63+K80+K101</f>
        <v>0</v>
      </c>
      <c r="J162" s="281"/>
      <c r="M162" s="358" t="s">
        <v>471</v>
      </c>
      <c r="N162" s="359">
        <f>Q63+Q80+Q101</f>
        <v>0</v>
      </c>
      <c r="P162" s="281"/>
      <c r="S162" s="137"/>
      <c r="T162" s="281"/>
      <c r="V162" s="129"/>
    </row>
    <row r="163" spans="1:22" ht="12.95">
      <c r="A163" s="479">
        <v>0.03</v>
      </c>
      <c r="B163" s="480">
        <f>-B162*A163</f>
        <v>0</v>
      </c>
      <c r="D163" s="167"/>
      <c r="G163" s="479">
        <v>0.03</v>
      </c>
      <c r="H163" s="480">
        <f>-H162*G163</f>
        <v>0</v>
      </c>
      <c r="J163" s="167"/>
      <c r="M163" s="479">
        <v>0.03</v>
      </c>
      <c r="N163" s="480">
        <f>-N162*M163</f>
        <v>0</v>
      </c>
      <c r="P163" s="167"/>
      <c r="S163" s="277"/>
      <c r="T163" s="288"/>
      <c r="V163" s="281"/>
    </row>
    <row r="164" spans="1:22" ht="13.5" thickBot="1">
      <c r="A164" s="414" t="s">
        <v>472</v>
      </c>
      <c r="B164" s="481">
        <f>SUM(B162:B163)</f>
        <v>0</v>
      </c>
      <c r="G164" s="414" t="s">
        <v>472</v>
      </c>
      <c r="H164" s="481">
        <f>SUM(H162:H163)</f>
        <v>0</v>
      </c>
      <c r="M164" s="414" t="s">
        <v>472</v>
      </c>
      <c r="N164" s="481">
        <f>SUM(N162:N163)</f>
        <v>0</v>
      </c>
      <c r="S164" s="280"/>
      <c r="T164" s="350"/>
      <c r="V164" s="167"/>
    </row>
    <row r="165" spans="1:22" ht="13.5" thickBot="1">
      <c r="A165" s="1023" t="s">
        <v>473</v>
      </c>
      <c r="B165" s="1024"/>
      <c r="G165" s="1023" t="s">
        <v>473</v>
      </c>
      <c r="H165" s="1024"/>
      <c r="M165" s="1023" t="s">
        <v>473</v>
      </c>
      <c r="N165" s="1024"/>
      <c r="S165" s="277"/>
      <c r="T165" s="351"/>
    </row>
    <row r="166" spans="1:22" ht="12.95">
      <c r="A166" s="360" t="s">
        <v>474</v>
      </c>
      <c r="B166" s="567">
        <f>IFERROR(INDEX(Assumptions!$J$64:$L$76,MATCH('3-F Financial'!B$34,Assumptions!$J$64:$J$76,0),3),0)</f>
        <v>5.5E-2</v>
      </c>
      <c r="G166" s="360" t="s">
        <v>474</v>
      </c>
      <c r="H166" s="567">
        <f>IFERROR(INDEX(Assumptions!$J$64:$L$76,MATCH('3-F Financial'!H$34,Assumptions!$J$64:$J$76,0),3),0)</f>
        <v>0</v>
      </c>
      <c r="M166" s="360" t="s">
        <v>474</v>
      </c>
      <c r="N166" s="567">
        <f>IFERROR(INDEX(Assumptions!$J$64:$L$76,MATCH('3-F Financial'!N$34,Assumptions!$J$64:$J$76,0),3),0)</f>
        <v>0</v>
      </c>
      <c r="S166" s="277"/>
      <c r="T166" s="351"/>
    </row>
    <row r="167" spans="1:22" ht="12.95">
      <c r="A167" s="482" t="s">
        <v>475</v>
      </c>
      <c r="B167" s="483">
        <f>IFERROR(E$129/B$166,0)</f>
        <v>265425617.48363641</v>
      </c>
      <c r="C167" s="279"/>
      <c r="G167" s="482" t="s">
        <v>475</v>
      </c>
      <c r="H167" s="483">
        <f>IFERROR(K$129/H$166,0)</f>
        <v>0</v>
      </c>
      <c r="I167" s="279"/>
      <c r="M167" s="482" t="s">
        <v>475</v>
      </c>
      <c r="N167" s="483">
        <f>IFERROR(Q$129/N$166,0)</f>
        <v>0</v>
      </c>
      <c r="O167" s="279"/>
      <c r="S167" s="277"/>
      <c r="T167" s="351"/>
    </row>
    <row r="168" spans="1:22" ht="12.95">
      <c r="A168" s="408" t="s">
        <v>476</v>
      </c>
      <c r="B168" s="484">
        <f>IFERROR(B166-1%,0)</f>
        <v>4.4999999999999998E-2</v>
      </c>
      <c r="C168" s="288"/>
      <c r="F168" s="18"/>
      <c r="G168" s="408" t="s">
        <v>476</v>
      </c>
      <c r="H168" s="484">
        <f>IFERROR(H166-1%,0)</f>
        <v>-0.01</v>
      </c>
      <c r="I168" s="288"/>
      <c r="L168" s="18"/>
      <c r="M168" s="408" t="s">
        <v>476</v>
      </c>
      <c r="N168" s="484">
        <f>IFERROR(N166-1%,0)</f>
        <v>-0.01</v>
      </c>
      <c r="O168" s="288"/>
      <c r="R168" s="18"/>
      <c r="S168" s="352"/>
      <c r="T168" s="281"/>
    </row>
    <row r="169" spans="1:22" ht="12.95">
      <c r="A169" s="408" t="s">
        <v>127</v>
      </c>
      <c r="B169" s="872">
        <f>IFERROR(INDEX(Assumptions!$J$48:$L$60,MATCH('3-F Financial'!B$34,Assumptions!$J$48:$J$60,0),3),0)</f>
        <v>3.5000000000000003E-2</v>
      </c>
      <c r="F169" s="18"/>
      <c r="G169" s="408" t="s">
        <v>127</v>
      </c>
      <c r="H169" s="872">
        <f>IFERROR(INDEX(Assumptions!$J$48:$L$60,MATCH('3-F Financial'!H$34,Assumptions!$J$48:$J$60,0),3),0)</f>
        <v>0</v>
      </c>
      <c r="L169" s="18"/>
      <c r="M169" s="408" t="s">
        <v>127</v>
      </c>
      <c r="N169" s="872">
        <f>IFERROR(INDEX(Assumptions!$J$48:$L$60,MATCH('3-F Financial'!N$34,Assumptions!$J$48:$J$60,0),3),0)</f>
        <v>0</v>
      </c>
      <c r="R169" s="18"/>
      <c r="S169" s="352"/>
      <c r="T169" s="281"/>
    </row>
    <row r="170" spans="1:22" ht="12.95">
      <c r="A170" s="408" t="s">
        <v>125</v>
      </c>
      <c r="B170" s="485">
        <f>Assumptions!$L$41</f>
        <v>5</v>
      </c>
      <c r="D170" s="279"/>
      <c r="F170" s="18"/>
      <c r="G170" s="408" t="s">
        <v>125</v>
      </c>
      <c r="H170" s="485">
        <f>Assumptions!$L$41</f>
        <v>5</v>
      </c>
      <c r="J170" s="279"/>
      <c r="L170" s="18"/>
      <c r="M170" s="408" t="s">
        <v>125</v>
      </c>
      <c r="N170" s="485">
        <f>Assumptions!$L$41</f>
        <v>5</v>
      </c>
      <c r="P170" s="279"/>
      <c r="R170" s="18"/>
      <c r="S170" s="352"/>
      <c r="T170" s="281"/>
    </row>
    <row r="171" spans="1:22" ht="12.95">
      <c r="A171" s="408" t="s">
        <v>386</v>
      </c>
      <c r="B171" s="419">
        <f>(E$129*(1+B$169)^(B$170+1))</f>
        <v>17945171.972202305</v>
      </c>
      <c r="D171" s="279"/>
      <c r="F171" s="18"/>
      <c r="G171" s="408" t="s">
        <v>386</v>
      </c>
      <c r="H171" s="419">
        <f>(K$129*(1+H$169)^(H$170+1))</f>
        <v>0</v>
      </c>
      <c r="J171" s="279"/>
      <c r="L171" s="18"/>
      <c r="M171" s="408" t="s">
        <v>386</v>
      </c>
      <c r="N171" s="419">
        <f>(Q$129*(1+N$169)^(N$170+1))</f>
        <v>0</v>
      </c>
      <c r="P171" s="279"/>
      <c r="R171" s="18"/>
      <c r="S171" s="352"/>
      <c r="T171" s="281"/>
    </row>
    <row r="172" spans="1:22" ht="12.95">
      <c r="A172" s="418" t="s">
        <v>477</v>
      </c>
      <c r="B172" s="483">
        <f>IFERROR(B171/B$168,0)</f>
        <v>398781599.38227344</v>
      </c>
      <c r="C172" s="357"/>
      <c r="D172" s="279"/>
      <c r="F172" s="18"/>
      <c r="G172" s="418" t="s">
        <v>477</v>
      </c>
      <c r="H172" s="483">
        <f>IFERROR(H171/H$168,0)</f>
        <v>0</v>
      </c>
      <c r="I172" s="357"/>
      <c r="J172" s="279"/>
      <c r="L172" s="18"/>
      <c r="M172" s="418" t="s">
        <v>477</v>
      </c>
      <c r="N172" s="483">
        <f>IFERROR(N171/N$168,0)</f>
        <v>0</v>
      </c>
      <c r="O172" s="357"/>
      <c r="P172" s="279"/>
      <c r="R172" s="18"/>
      <c r="S172" s="352"/>
      <c r="T172" s="281"/>
    </row>
    <row r="173" spans="1:22" ht="12.95">
      <c r="A173" s="412" t="s">
        <v>471</v>
      </c>
      <c r="B173" s="486">
        <f>B172</f>
        <v>398781599.38227344</v>
      </c>
      <c r="F173" s="18"/>
      <c r="G173" s="412" t="s">
        <v>471</v>
      </c>
      <c r="H173" s="486">
        <f>H172</f>
        <v>0</v>
      </c>
      <c r="L173" s="18"/>
      <c r="M173" s="412" t="s">
        <v>471</v>
      </c>
      <c r="N173" s="486">
        <f>N172</f>
        <v>0</v>
      </c>
      <c r="R173" s="18"/>
      <c r="S173" s="352"/>
      <c r="T173" s="281"/>
    </row>
    <row r="174" spans="1:22" ht="12.95">
      <c r="A174" s="479">
        <v>0.03</v>
      </c>
      <c r="B174" s="413">
        <f>-A$174*B$167</f>
        <v>-7962768.5245090919</v>
      </c>
      <c r="D174" s="167"/>
      <c r="G174" s="479">
        <v>0.03</v>
      </c>
      <c r="H174" s="413">
        <f>-G$174*H$167</f>
        <v>0</v>
      </c>
      <c r="J174" s="167"/>
      <c r="M174" s="479">
        <v>0.03</v>
      </c>
      <c r="N174" s="413">
        <f>-M$174*N$167</f>
        <v>0</v>
      </c>
      <c r="P174" s="167"/>
      <c r="S174" s="353"/>
      <c r="T174" s="283"/>
    </row>
    <row r="175" spans="1:22" ht="13.5" thickBot="1">
      <c r="A175" s="414" t="s">
        <v>472</v>
      </c>
      <c r="B175" s="415">
        <f>SUM(B173:B174)</f>
        <v>390818830.85776436</v>
      </c>
      <c r="D175" s="283"/>
      <c r="E175" s="274"/>
      <c r="G175" s="414" t="s">
        <v>472</v>
      </c>
      <c r="H175" s="415">
        <f>SUM(H173:H174)</f>
        <v>0</v>
      </c>
      <c r="J175" s="283"/>
      <c r="K175" s="274"/>
      <c r="M175" s="414" t="s">
        <v>472</v>
      </c>
      <c r="N175" s="415">
        <f>SUM(N173:N174)</f>
        <v>0</v>
      </c>
      <c r="P175" s="283"/>
      <c r="Q175" s="274"/>
      <c r="S175" s="277"/>
      <c r="T175" s="288"/>
      <c r="V175" s="167"/>
    </row>
    <row r="176" spans="1:22" ht="13.5" thickBot="1">
      <c r="A176" s="1023" t="s">
        <v>478</v>
      </c>
      <c r="B176" s="566"/>
      <c r="D176" s="276"/>
      <c r="G176" s="1023" t="s">
        <v>478</v>
      </c>
      <c r="H176" s="566"/>
      <c r="J176" s="276"/>
      <c r="M176" s="1023" t="s">
        <v>478</v>
      </c>
      <c r="N176" s="566"/>
      <c r="P176" s="276"/>
      <c r="S176" s="280"/>
      <c r="T176" s="278"/>
    </row>
    <row r="177" spans="1:22" ht="12.95">
      <c r="A177" s="291" t="s">
        <v>479</v>
      </c>
      <c r="B177" s="292">
        <f>B162+B173</f>
        <v>398781599.38227344</v>
      </c>
      <c r="G177" s="291" t="s">
        <v>479</v>
      </c>
      <c r="H177" s="292">
        <f>H162+H173</f>
        <v>0</v>
      </c>
      <c r="M177" s="291" t="s">
        <v>479</v>
      </c>
      <c r="N177" s="292">
        <f>N162+N173</f>
        <v>0</v>
      </c>
      <c r="S177" s="277"/>
      <c r="T177" s="302"/>
      <c r="V177" s="276"/>
    </row>
    <row r="178" spans="1:22" ht="12.95">
      <c r="A178" s="418" t="s">
        <v>480</v>
      </c>
      <c r="B178" s="486">
        <f>SUM(B164,B175)</f>
        <v>390818830.85776436</v>
      </c>
      <c r="G178" s="418" t="s">
        <v>480</v>
      </c>
      <c r="H178" s="486">
        <f>SUM(H164,H175)</f>
        <v>0</v>
      </c>
      <c r="M178" s="418" t="s">
        <v>480</v>
      </c>
      <c r="N178" s="486">
        <f>SUM(N164,N175)</f>
        <v>0</v>
      </c>
      <c r="S178" s="277"/>
      <c r="T178" s="302"/>
      <c r="V178" s="276"/>
    </row>
    <row r="179" spans="1:22" ht="13.5" thickBot="1">
      <c r="A179" s="416" t="s">
        <v>481</v>
      </c>
      <c r="B179" s="417">
        <f>SUM(B178:B178)</f>
        <v>390818830.85776436</v>
      </c>
      <c r="G179" s="416" t="s">
        <v>481</v>
      </c>
      <c r="H179" s="417">
        <f>SUM(H178:H178)</f>
        <v>0</v>
      </c>
      <c r="M179" s="416" t="s">
        <v>481</v>
      </c>
      <c r="N179" s="417">
        <f>SUM(N178:N178)</f>
        <v>0</v>
      </c>
      <c r="S179" s="277"/>
      <c r="T179" s="302"/>
      <c r="V179" s="276"/>
    </row>
  </sheetData>
  <mergeCells count="9">
    <mergeCell ref="A118:E118"/>
    <mergeCell ref="G118:K118"/>
    <mergeCell ref="M118:Q118"/>
    <mergeCell ref="S118:W118"/>
    <mergeCell ref="D2:E2"/>
    <mergeCell ref="B116:C116"/>
    <mergeCell ref="H116:I116"/>
    <mergeCell ref="N116:O116"/>
    <mergeCell ref="T116:U116"/>
  </mergeCells>
  <conditionalFormatting sqref="C49 C66">
    <cfRule type="expression" dxfId="69" priority="8">
      <formula>C55&gt;D48</formula>
    </cfRule>
  </conditionalFormatting>
  <conditionalFormatting sqref="C58 C75 C83">
    <cfRule type="expression" dxfId="68" priority="7">
      <formula>C63&gt;D57</formula>
    </cfRule>
  </conditionalFormatting>
  <conditionalFormatting sqref="I49 I66">
    <cfRule type="expression" dxfId="67" priority="4">
      <formula>I55&gt;J48</formula>
    </cfRule>
  </conditionalFormatting>
  <conditionalFormatting sqref="I58 I75 I83">
    <cfRule type="expression" dxfId="66" priority="3">
      <formula>I63&gt;J57</formula>
    </cfRule>
  </conditionalFormatting>
  <conditionalFormatting sqref="O49 O66">
    <cfRule type="expression" dxfId="65" priority="2">
      <formula>O55&gt;P48</formula>
    </cfRule>
  </conditionalFormatting>
  <conditionalFormatting sqref="O58 O75 O83">
    <cfRule type="expression" dxfId="64" priority="1">
      <formula>O63&gt;P57</formula>
    </cfRule>
  </conditionalFormatting>
  <conditionalFormatting sqref="U49 U66">
    <cfRule type="expression" dxfId="63" priority="6">
      <formula>U55&gt;V48</formula>
    </cfRule>
  </conditionalFormatting>
  <conditionalFormatting sqref="U58 U75 U83">
    <cfRule type="expression" dxfId="62" priority="5">
      <formula>U63&gt;V57</formula>
    </cfRule>
  </conditionalFormatting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1" manualBreakCount="1">
    <brk id="111" max="4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968A8-31F5-4976-A1BE-81AC8F1768A2}">
  <sheetPr>
    <tabColor theme="2" tint="-9.9978637043366805E-2"/>
  </sheetPr>
  <dimension ref="A1:CI185"/>
  <sheetViews>
    <sheetView zoomScale="85" zoomScaleNormal="85" zoomScalePageLayoutView="125" workbookViewId="0">
      <pane xSplit="1" ySplit="9" topLeftCell="V40" activePane="bottomRight" state="frozen"/>
      <selection pane="bottomRight" activeCell="X9" sqref="X9"/>
      <selection pane="bottomLeft" activeCell="Y9" sqref="Y9"/>
      <selection pane="topRight" activeCell="Y9" sqref="Y9"/>
    </sheetView>
  </sheetViews>
  <sheetFormatPr defaultColWidth="8.85546875" defaultRowHeight="14.1"/>
  <cols>
    <col min="1" max="1" width="44" style="207" bestFit="1" customWidth="1"/>
    <col min="2" max="2" width="42.5703125" style="208" customWidth="1"/>
    <col min="3" max="4" width="17.85546875" style="207" hidden="1" customWidth="1"/>
    <col min="5" max="43" width="17.85546875" style="207" customWidth="1"/>
    <col min="44" max="44" width="17.85546875" style="208" customWidth="1"/>
    <col min="45" max="58" width="17.5703125" style="207" customWidth="1"/>
    <col min="59" max="59" width="20.42578125" style="207" customWidth="1"/>
    <col min="60" max="84" width="17" style="207" customWidth="1"/>
    <col min="85" max="85" width="16.42578125" style="207" customWidth="1"/>
    <col min="86" max="86" width="15" style="209" customWidth="1"/>
    <col min="87" max="87" width="17.85546875" style="209" bestFit="1" customWidth="1"/>
    <col min="88" max="88" width="9.42578125" style="207" bestFit="1" customWidth="1"/>
    <col min="89" max="89" width="11.85546875" style="207" bestFit="1" customWidth="1"/>
    <col min="90" max="91" width="9.42578125" style="207" bestFit="1" customWidth="1"/>
    <col min="92" max="16384" width="8.85546875" style="207"/>
  </cols>
  <sheetData>
    <row r="1" spans="1:87" ht="20.25" customHeight="1"/>
    <row r="2" spans="1:87" s="488" customFormat="1" ht="20.25" customHeight="1">
      <c r="A2" s="1081" t="str">
        <f>'3-F Financial'!D2</f>
        <v>3-F</v>
      </c>
      <c r="B2" s="775"/>
      <c r="C2" s="1092"/>
      <c r="D2" s="1092"/>
      <c r="E2" s="1082" t="str">
        <f>'Development Program'!C65</f>
        <v>Pre-Development</v>
      </c>
      <c r="F2" s="1083"/>
      <c r="G2" s="1083"/>
      <c r="H2" s="1082" t="str">
        <f>'Development Program'!F65</f>
        <v>Construction</v>
      </c>
      <c r="I2" s="1083"/>
      <c r="J2" s="1083"/>
      <c r="K2" s="1082" t="str">
        <f>'Development Program'!I65</f>
        <v>Close-Out</v>
      </c>
      <c r="L2" s="1083"/>
      <c r="M2" s="1084"/>
      <c r="N2" s="420" t="s">
        <v>202</v>
      </c>
      <c r="O2" s="1092"/>
      <c r="P2" s="1092"/>
      <c r="Q2" s="1092"/>
      <c r="R2" s="1092"/>
      <c r="S2" s="1092"/>
      <c r="T2" s="1092"/>
      <c r="U2" s="1092"/>
      <c r="V2" s="1092"/>
      <c r="W2" s="1092"/>
      <c r="X2" s="1092"/>
      <c r="Y2" s="1092"/>
      <c r="Z2" s="1092"/>
      <c r="AA2" s="1092"/>
      <c r="AB2" s="1092"/>
      <c r="AC2" s="1092"/>
      <c r="AD2" s="1092"/>
      <c r="AE2" s="1092"/>
      <c r="AF2" s="1092"/>
      <c r="AG2" s="1092"/>
      <c r="AH2" s="1092"/>
      <c r="AI2" s="1092"/>
      <c r="AJ2" s="1092"/>
      <c r="AK2" s="1092"/>
      <c r="AL2" s="1092"/>
      <c r="AM2" s="1092"/>
      <c r="AN2" s="1092"/>
      <c r="AO2" s="1092"/>
      <c r="AP2" s="1092"/>
      <c r="AQ2" s="1092"/>
      <c r="AR2" s="775"/>
      <c r="AS2" s="1092"/>
      <c r="AT2" s="1092"/>
      <c r="AU2" s="1092"/>
      <c r="AV2" s="1092"/>
      <c r="AW2" s="1092"/>
      <c r="AX2" s="1092"/>
      <c r="AY2" s="1092"/>
      <c r="AZ2" s="1092"/>
      <c r="BA2" s="1092"/>
      <c r="BB2" s="1092"/>
      <c r="BC2" s="1092"/>
      <c r="BD2" s="1092"/>
      <c r="BE2" s="1092"/>
      <c r="BF2" s="1092"/>
      <c r="BG2" s="1092"/>
      <c r="BH2" s="1092"/>
      <c r="BI2" s="1092"/>
      <c r="BJ2" s="1092"/>
      <c r="BK2" s="1092"/>
      <c r="BL2" s="1092"/>
      <c r="BM2" s="1092"/>
      <c r="BN2" s="1092"/>
      <c r="BO2" s="1092"/>
      <c r="BP2" s="1092"/>
      <c r="BQ2" s="1092"/>
      <c r="BR2" s="1092"/>
      <c r="BS2" s="1092"/>
      <c r="BT2" s="1092"/>
      <c r="BU2" s="1092"/>
      <c r="BV2" s="1092"/>
      <c r="BW2" s="1092"/>
      <c r="BX2" s="1092"/>
      <c r="BY2" s="1092"/>
      <c r="BZ2" s="1092"/>
      <c r="CA2" s="1092"/>
      <c r="CB2" s="1092"/>
      <c r="CC2" s="1092"/>
      <c r="CD2" s="1092"/>
      <c r="CE2" s="1092"/>
      <c r="CF2" s="1092"/>
      <c r="CG2" s="1092"/>
      <c r="CH2" s="1093"/>
      <c r="CI2" s="1093"/>
    </row>
    <row r="3" spans="1:87" ht="20.25" customHeight="1">
      <c r="A3" s="1081"/>
      <c r="B3" s="248" t="s">
        <v>482</v>
      </c>
      <c r="E3" s="765" t="str">
        <f>'Development Program'!C66</f>
        <v>PD Start</v>
      </c>
      <c r="F3" s="1094" t="str">
        <f>'Development Program'!D66</f>
        <v>PD End</v>
      </c>
      <c r="G3" s="766" t="str">
        <f>'Development Program'!E66</f>
        <v>PD Duration</v>
      </c>
      <c r="H3" s="765" t="str">
        <f>'Development Program'!F66</f>
        <v>CS Start</v>
      </c>
      <c r="I3" s="1094" t="str">
        <f>'Development Program'!G66</f>
        <v>CS End</v>
      </c>
      <c r="J3" s="766" t="str">
        <f>'Development Program'!H66</f>
        <v>CS Duration</v>
      </c>
      <c r="K3" s="1025" t="str">
        <f>'Development Program'!I66</f>
        <v>CO Start</v>
      </c>
      <c r="L3" s="767" t="str">
        <f>'Development Program'!J66</f>
        <v>CO End</v>
      </c>
      <c r="M3" s="266" t="str">
        <f>'Development Program'!K66</f>
        <v>CO Duration</v>
      </c>
      <c r="N3" s="262"/>
    </row>
    <row r="4" spans="1:87" s="768" customFormat="1" ht="20.25" customHeight="1">
      <c r="A4" s="1081"/>
      <c r="B4" s="776" t="s">
        <v>483</v>
      </c>
      <c r="E4" s="263">
        <f>INDEX('Development Program'!$B$66:$K$76,MATCH($A$2,'Development Program'!$B$66:$B$76,0),MATCH(E3,'Development Program'!$B$66:$K$66,0))</f>
        <v>47484</v>
      </c>
      <c r="F4" s="264">
        <f>INDEX('Development Program'!$B$66:$K$76,MATCH($A$2,'Development Program'!$B$66:$B$76,0),MATCH(F3,'Development Program'!$B$66:$K$66,0))</f>
        <v>47938</v>
      </c>
      <c r="G4" s="265">
        <f>INDEX('Development Program'!$B$66:$K$76,MATCH($A$2,'Development Program'!$B$66:$B$76,0),MATCH(G3,'Development Program'!$B$66:$K$66,0))</f>
        <v>15</v>
      </c>
      <c r="H4" s="263">
        <f>INDEX('Development Program'!$B$66:$K$76,MATCH($A$2,'Development Program'!$B$66:$B$76,0),MATCH(H3,'Development Program'!$B$66:$K$66,0))</f>
        <v>47939</v>
      </c>
      <c r="I4" s="264">
        <f>INDEX('Development Program'!$B$66:$K$76,MATCH($A$2,'Development Program'!$B$66:$B$76,0),MATCH(I3,'Development Program'!$B$66:$K$66,0))</f>
        <v>49034</v>
      </c>
      <c r="J4" s="265">
        <f>INDEX('Development Program'!$B$66:$K$76,MATCH($A$2,'Development Program'!$B$66:$B$76,0),MATCH(J3,'Development Program'!$B$66:$K$66,0))</f>
        <v>36</v>
      </c>
      <c r="K4" s="263">
        <f>INDEX('Development Program'!$B$66:$K$76,MATCH($A$2,'Development Program'!$B$66:$B$76,0),MATCH(K3,'Development Program'!$B$66:$K$66,0))</f>
        <v>49035</v>
      </c>
      <c r="L4" s="264">
        <f>INDEX('Development Program'!$B$66:$K$76,MATCH($A$2,'Development Program'!$B$66:$B$76,0),MATCH(L3,'Development Program'!$B$66:$K$66,0))</f>
        <v>49217</v>
      </c>
      <c r="M4" s="265">
        <f>INDEX('Development Program'!$B$66:$K$76,MATCH($A$2,'Development Program'!$B$66:$B$76,0),MATCH(M3,'Development Program'!$B$66:$K$66,0))</f>
        <v>6</v>
      </c>
      <c r="N4" s="265">
        <f>INDEX('Development Program'!$B$66:$L$76,MATCH($A$2,'Development Program'!$B$66:$B$76,0),MATCH(N2,'Development Program'!$B$65:$L$65,0))</f>
        <v>57</v>
      </c>
      <c r="O4" s="769"/>
      <c r="U4" s="770"/>
      <c r="AR4" s="771"/>
      <c r="AS4" s="772"/>
      <c r="AT4" s="772"/>
      <c r="AU4" s="772"/>
      <c r="BA4" s="1085" t="s">
        <v>484</v>
      </c>
      <c r="BB4" s="1085"/>
      <c r="BC4" s="1085"/>
      <c r="BD4" s="1085"/>
      <c r="BE4" s="1085"/>
      <c r="BF4" s="773"/>
      <c r="BG4" s="1080" t="s">
        <v>485</v>
      </c>
      <c r="BH4" s="1080"/>
      <c r="BI4" s="1080"/>
      <c r="CH4" s="774"/>
      <c r="CI4" s="774"/>
    </row>
    <row r="5" spans="1:87" s="210" customFormat="1" ht="20.25" customHeight="1">
      <c r="A5" s="261"/>
      <c r="B5" s="249"/>
      <c r="C5" s="258" t="str">
        <f>IFERROR(INDEX($E$2:$N$4,2,MATCH(#REF!+1,$E$4:$N$4,0)),"")</f>
        <v/>
      </c>
      <c r="D5" s="258" t="str">
        <f>IFERROR(INDEX($E$2:$N$4,2,MATCH(C9+1,$E$4:$N$4,0)),"")</f>
        <v/>
      </c>
      <c r="E5" s="258"/>
      <c r="F5" s="258" t="str">
        <f t="shared" ref="F5:X5" si="0">IFERROR(INDEX($E$2:$N$4,2,MATCH(E9+1,$E$4:$N$4,0)),"")</f>
        <v>PD Start</v>
      </c>
      <c r="G5" s="258" t="str">
        <f t="shared" si="0"/>
        <v/>
      </c>
      <c r="H5" s="258" t="str">
        <f t="shared" si="0"/>
        <v/>
      </c>
      <c r="I5" s="258" t="str">
        <f t="shared" si="0"/>
        <v/>
      </c>
      <c r="J5" s="258" t="str">
        <f t="shared" si="0"/>
        <v/>
      </c>
      <c r="K5" s="258" t="str">
        <f t="shared" si="0"/>
        <v>CS Start</v>
      </c>
      <c r="L5" s="258" t="str">
        <f t="shared" si="0"/>
        <v/>
      </c>
      <c r="M5" s="258" t="str">
        <f t="shared" si="0"/>
        <v/>
      </c>
      <c r="N5" s="258" t="str">
        <f t="shared" si="0"/>
        <v/>
      </c>
      <c r="O5" s="258" t="str">
        <f t="shared" si="0"/>
        <v/>
      </c>
      <c r="P5" s="258" t="str">
        <f t="shared" si="0"/>
        <v/>
      </c>
      <c r="Q5" s="258" t="str">
        <f t="shared" si="0"/>
        <v/>
      </c>
      <c r="R5" s="258" t="str">
        <f t="shared" si="0"/>
        <v/>
      </c>
      <c r="S5" s="258" t="str">
        <f t="shared" si="0"/>
        <v/>
      </c>
      <c r="T5" s="258" t="str">
        <f t="shared" si="0"/>
        <v/>
      </c>
      <c r="U5" s="258" t="str">
        <f t="shared" si="0"/>
        <v/>
      </c>
      <c r="V5" s="258" t="str">
        <f t="shared" si="0"/>
        <v/>
      </c>
      <c r="W5" s="258" t="str">
        <f t="shared" si="0"/>
        <v>CO Start</v>
      </c>
      <c r="X5" s="258" t="str">
        <f t="shared" si="0"/>
        <v/>
      </c>
      <c r="Y5" s="246">
        <v>1</v>
      </c>
      <c r="Z5" s="246">
        <v>1</v>
      </c>
      <c r="AA5" s="246">
        <v>1</v>
      </c>
      <c r="AB5" s="246">
        <v>1</v>
      </c>
      <c r="AC5" s="246">
        <v>2</v>
      </c>
      <c r="AD5" s="246">
        <v>2</v>
      </c>
      <c r="AE5" s="246">
        <v>2</v>
      </c>
      <c r="AF5" s="246">
        <v>2</v>
      </c>
      <c r="AG5" s="246">
        <v>3</v>
      </c>
      <c r="AH5" s="246">
        <v>3</v>
      </c>
      <c r="AI5" s="246">
        <v>3</v>
      </c>
      <c r="AJ5" s="246">
        <v>3</v>
      </c>
      <c r="AK5" s="246">
        <v>4</v>
      </c>
      <c r="AL5" s="246">
        <v>4</v>
      </c>
      <c r="AM5" s="246">
        <v>4</v>
      </c>
      <c r="AN5" s="246">
        <v>4</v>
      </c>
      <c r="AO5" s="246">
        <v>5</v>
      </c>
      <c r="AP5" s="246">
        <v>5</v>
      </c>
      <c r="AQ5" s="246">
        <v>5</v>
      </c>
      <c r="AR5" s="247">
        <v>5</v>
      </c>
      <c r="AS5" s="211"/>
      <c r="AT5" s="211"/>
      <c r="AU5" s="211"/>
      <c r="BA5" s="212"/>
      <c r="BB5" s="212"/>
      <c r="BC5" s="212"/>
      <c r="BD5" s="212"/>
      <c r="BE5" s="212"/>
      <c r="BF5" s="212"/>
      <c r="BG5" s="213"/>
      <c r="BH5" s="213"/>
      <c r="BI5" s="213"/>
      <c r="CH5" s="214"/>
      <c r="CI5" s="214"/>
    </row>
    <row r="6" spans="1:87" s="210" customFormat="1" ht="20.25" customHeight="1">
      <c r="A6" s="261"/>
      <c r="B6" s="249"/>
      <c r="C6" s="258"/>
      <c r="D6" s="258"/>
      <c r="E6" s="258" t="str">
        <f t="shared" ref="E6:X6" si="1">IFERROR(INDEX($E$2:$N$4,2,MATCH(E9,$E$4:$N$4,0)),"")</f>
        <v/>
      </c>
      <c r="F6" s="258" t="str">
        <f t="shared" si="1"/>
        <v/>
      </c>
      <c r="G6" s="258" t="str">
        <f t="shared" si="1"/>
        <v/>
      </c>
      <c r="H6" s="258" t="str">
        <f t="shared" si="1"/>
        <v/>
      </c>
      <c r="I6" s="258" t="str">
        <f t="shared" si="1"/>
        <v/>
      </c>
      <c r="J6" s="258" t="str">
        <f t="shared" si="1"/>
        <v>PD End</v>
      </c>
      <c r="K6" s="258" t="str">
        <f t="shared" si="1"/>
        <v/>
      </c>
      <c r="L6" s="258" t="str">
        <f t="shared" si="1"/>
        <v/>
      </c>
      <c r="M6" s="258" t="str">
        <f t="shared" si="1"/>
        <v/>
      </c>
      <c r="N6" s="258" t="str">
        <f t="shared" si="1"/>
        <v/>
      </c>
      <c r="O6" s="258" t="str">
        <f t="shared" si="1"/>
        <v/>
      </c>
      <c r="P6" s="258" t="str">
        <f t="shared" si="1"/>
        <v/>
      </c>
      <c r="Q6" s="258" t="str">
        <f t="shared" si="1"/>
        <v/>
      </c>
      <c r="R6" s="258" t="str">
        <f t="shared" si="1"/>
        <v/>
      </c>
      <c r="S6" s="258" t="str">
        <f t="shared" si="1"/>
        <v/>
      </c>
      <c r="T6" s="258" t="str">
        <f t="shared" si="1"/>
        <v/>
      </c>
      <c r="U6" s="258" t="str">
        <f t="shared" si="1"/>
        <v/>
      </c>
      <c r="V6" s="258" t="str">
        <f t="shared" si="1"/>
        <v>CS End</v>
      </c>
      <c r="W6" s="258" t="str">
        <f t="shared" si="1"/>
        <v/>
      </c>
      <c r="X6" s="258" t="str">
        <f t="shared" si="1"/>
        <v>CO End</v>
      </c>
      <c r="Y6" s="828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247"/>
      <c r="AS6" s="211"/>
      <c r="AT6" s="211"/>
      <c r="AU6" s="211"/>
      <c r="BA6" s="212"/>
      <c r="BB6" s="212"/>
      <c r="BC6" s="212"/>
      <c r="BD6" s="212"/>
      <c r="BE6" s="212"/>
      <c r="BF6" s="212"/>
      <c r="BG6" s="213"/>
      <c r="BH6" s="213"/>
      <c r="BI6" s="213"/>
      <c r="CH6" s="214"/>
      <c r="CI6" s="214"/>
    </row>
    <row r="7" spans="1:87" s="210" customFormat="1" ht="20.25" customHeight="1">
      <c r="A7" s="261"/>
      <c r="B7" s="249" t="s">
        <v>486</v>
      </c>
      <c r="C7" s="258"/>
      <c r="D7" s="258"/>
      <c r="E7" s="258">
        <v>0</v>
      </c>
      <c r="F7" s="258">
        <f t="shared" ref="F7:X7" si="2">IF(OR($H$4&gt;F9,$K$4&lt;F9),0,E7+1)</f>
        <v>0</v>
      </c>
      <c r="G7" s="258">
        <f t="shared" si="2"/>
        <v>0</v>
      </c>
      <c r="H7" s="258">
        <f t="shared" si="2"/>
        <v>0</v>
      </c>
      <c r="I7" s="258">
        <f t="shared" si="2"/>
        <v>0</v>
      </c>
      <c r="J7" s="258">
        <f t="shared" si="2"/>
        <v>0</v>
      </c>
      <c r="K7" s="258">
        <f t="shared" si="2"/>
        <v>1</v>
      </c>
      <c r="L7" s="258">
        <f t="shared" si="2"/>
        <v>2</v>
      </c>
      <c r="M7" s="258">
        <f t="shared" si="2"/>
        <v>3</v>
      </c>
      <c r="N7" s="258">
        <f t="shared" si="2"/>
        <v>4</v>
      </c>
      <c r="O7" s="258">
        <f t="shared" si="2"/>
        <v>5</v>
      </c>
      <c r="P7" s="258">
        <f t="shared" si="2"/>
        <v>6</v>
      </c>
      <c r="Q7" s="258">
        <f t="shared" si="2"/>
        <v>7</v>
      </c>
      <c r="R7" s="258">
        <f t="shared" si="2"/>
        <v>8</v>
      </c>
      <c r="S7" s="258">
        <f t="shared" si="2"/>
        <v>9</v>
      </c>
      <c r="T7" s="258">
        <f t="shared" si="2"/>
        <v>10</v>
      </c>
      <c r="U7" s="258">
        <f t="shared" si="2"/>
        <v>11</v>
      </c>
      <c r="V7" s="258">
        <f t="shared" si="2"/>
        <v>12</v>
      </c>
      <c r="W7" s="258">
        <f t="shared" si="2"/>
        <v>0</v>
      </c>
      <c r="X7" s="258">
        <f t="shared" si="2"/>
        <v>0</v>
      </c>
      <c r="Y7" s="829">
        <v>1</v>
      </c>
      <c r="Z7" s="829">
        <v>2</v>
      </c>
      <c r="AA7" s="829">
        <v>3</v>
      </c>
      <c r="AB7" s="829">
        <v>4</v>
      </c>
      <c r="AC7" s="829">
        <v>1</v>
      </c>
      <c r="AD7" s="829">
        <v>2</v>
      </c>
      <c r="AE7" s="829">
        <v>3</v>
      </c>
      <c r="AF7" s="829">
        <v>4</v>
      </c>
      <c r="AG7" s="829">
        <v>1</v>
      </c>
      <c r="AH7" s="829">
        <v>2</v>
      </c>
      <c r="AI7" s="829">
        <v>3</v>
      </c>
      <c r="AJ7" s="829">
        <v>4</v>
      </c>
      <c r="AK7" s="829">
        <v>1</v>
      </c>
      <c r="AL7" s="829">
        <v>2</v>
      </c>
      <c r="AM7" s="829">
        <v>3</v>
      </c>
      <c r="AN7" s="829">
        <v>4</v>
      </c>
      <c r="AO7" s="829">
        <v>1</v>
      </c>
      <c r="AP7" s="829">
        <v>2</v>
      </c>
      <c r="AQ7" s="829">
        <v>3</v>
      </c>
      <c r="AR7" s="830">
        <v>4</v>
      </c>
      <c r="AS7" s="211"/>
      <c r="AT7" s="211"/>
      <c r="AU7" s="211"/>
      <c r="BA7" s="212"/>
      <c r="BB7" s="212"/>
      <c r="BC7" s="212"/>
      <c r="BD7" s="212"/>
      <c r="BE7" s="212"/>
      <c r="BF7" s="212"/>
      <c r="BG7" s="213"/>
      <c r="BH7" s="213"/>
      <c r="BI7" s="213"/>
      <c r="CH7" s="214"/>
      <c r="CI7" s="214"/>
    </row>
    <row r="8" spans="1:87" s="210" customFormat="1" ht="20.25" customHeight="1">
      <c r="A8" s="261"/>
      <c r="B8" s="249" t="s">
        <v>487</v>
      </c>
      <c r="C8" s="258"/>
      <c r="D8" s="258"/>
      <c r="E8" s="258">
        <v>0</v>
      </c>
      <c r="F8" s="258">
        <f>IF(OR(G6=$I$3,F6=$I$3,F5=$K$3),1,0)</f>
        <v>0</v>
      </c>
      <c r="G8" s="258">
        <f t="shared" ref="G8:W8" si="3">IF(OR(H6=$I$3,G6=$I$3,G5=$K$3),1,0)</f>
        <v>0</v>
      </c>
      <c r="H8" s="258">
        <f t="shared" si="3"/>
        <v>0</v>
      </c>
      <c r="I8" s="258">
        <f t="shared" si="3"/>
        <v>0</v>
      </c>
      <c r="J8" s="258">
        <f t="shared" si="3"/>
        <v>0</v>
      </c>
      <c r="K8" s="258">
        <f t="shared" si="3"/>
        <v>0</v>
      </c>
      <c r="L8" s="258">
        <f t="shared" si="3"/>
        <v>0</v>
      </c>
      <c r="M8" s="258">
        <f t="shared" si="3"/>
        <v>0</v>
      </c>
      <c r="N8" s="258">
        <f t="shared" si="3"/>
        <v>0</v>
      </c>
      <c r="O8" s="258">
        <f t="shared" si="3"/>
        <v>0</v>
      </c>
      <c r="P8" s="258">
        <f t="shared" si="3"/>
        <v>0</v>
      </c>
      <c r="Q8" s="258">
        <f t="shared" si="3"/>
        <v>0</v>
      </c>
      <c r="R8" s="258">
        <f t="shared" si="3"/>
        <v>0</v>
      </c>
      <c r="S8" s="258">
        <f t="shared" si="3"/>
        <v>0</v>
      </c>
      <c r="T8" s="258">
        <f t="shared" si="3"/>
        <v>0</v>
      </c>
      <c r="U8" s="258">
        <f t="shared" si="3"/>
        <v>1</v>
      </c>
      <c r="V8" s="258">
        <f t="shared" si="3"/>
        <v>1</v>
      </c>
      <c r="W8" s="258">
        <f t="shared" si="3"/>
        <v>1</v>
      </c>
      <c r="X8" s="258">
        <f>IF(OR(Y6=$I$3,X6=$I$3,X5=$K$3),1,0)</f>
        <v>0</v>
      </c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7"/>
      <c r="AS8" s="211"/>
      <c r="AT8" s="211"/>
      <c r="AU8" s="211"/>
      <c r="BA8" s="212"/>
      <c r="BB8" s="212"/>
      <c r="BC8" s="212"/>
      <c r="BD8" s="212"/>
      <c r="BE8" s="212"/>
      <c r="BF8" s="212"/>
      <c r="BG8" s="213"/>
      <c r="BH8" s="213"/>
      <c r="BI8" s="213"/>
      <c r="CH8" s="214"/>
      <c r="CI8" s="214"/>
    </row>
    <row r="9" spans="1:87" s="215" customFormat="1" ht="20.25" customHeight="1">
      <c r="A9" s="261"/>
      <c r="B9" s="250" t="s">
        <v>373</v>
      </c>
      <c r="C9" s="218" t="s">
        <v>488</v>
      </c>
      <c r="D9" s="218" t="s">
        <v>489</v>
      </c>
      <c r="E9" s="216">
        <f>E4-1</f>
        <v>47483</v>
      </c>
      <c r="F9" s="216">
        <f>EOMONTH(E9,3)</f>
        <v>47573</v>
      </c>
      <c r="G9" s="216">
        <f t="shared" ref="G9:V9" si="4">EOMONTH(F9,3)</f>
        <v>47664</v>
      </c>
      <c r="H9" s="216">
        <f t="shared" si="4"/>
        <v>47756</v>
      </c>
      <c r="I9" s="216">
        <f t="shared" si="4"/>
        <v>47848</v>
      </c>
      <c r="J9" s="216">
        <f t="shared" si="4"/>
        <v>47938</v>
      </c>
      <c r="K9" s="216">
        <f t="shared" si="4"/>
        <v>48029</v>
      </c>
      <c r="L9" s="216">
        <f t="shared" si="4"/>
        <v>48121</v>
      </c>
      <c r="M9" s="216">
        <f t="shared" si="4"/>
        <v>48213</v>
      </c>
      <c r="N9" s="216">
        <f t="shared" si="4"/>
        <v>48304</v>
      </c>
      <c r="O9" s="216">
        <f t="shared" si="4"/>
        <v>48395</v>
      </c>
      <c r="P9" s="216">
        <f t="shared" si="4"/>
        <v>48487</v>
      </c>
      <c r="Q9" s="216">
        <f t="shared" si="4"/>
        <v>48579</v>
      </c>
      <c r="R9" s="216">
        <f t="shared" si="4"/>
        <v>48669</v>
      </c>
      <c r="S9" s="216">
        <f t="shared" si="4"/>
        <v>48760</v>
      </c>
      <c r="T9" s="216">
        <f t="shared" si="4"/>
        <v>48852</v>
      </c>
      <c r="U9" s="216">
        <f t="shared" si="4"/>
        <v>48944</v>
      </c>
      <c r="V9" s="216">
        <f t="shared" si="4"/>
        <v>49034</v>
      </c>
      <c r="W9" s="216">
        <f>EOMONTH(V9,3)</f>
        <v>49125</v>
      </c>
      <c r="X9" s="216">
        <f>EOMONTH(W9,3)</f>
        <v>49217</v>
      </c>
      <c r="Y9" s="216">
        <f>EOMONTH(X9,3)</f>
        <v>49309</v>
      </c>
      <c r="Z9" s="216">
        <f t="shared" ref="Z9:AR9" si="5">EOMONTH(Y9,3)</f>
        <v>49399</v>
      </c>
      <c r="AA9" s="216">
        <f t="shared" si="5"/>
        <v>49490</v>
      </c>
      <c r="AB9" s="216">
        <f t="shared" si="5"/>
        <v>49582</v>
      </c>
      <c r="AC9" s="216">
        <f t="shared" si="5"/>
        <v>49674</v>
      </c>
      <c r="AD9" s="216">
        <f t="shared" si="5"/>
        <v>49765</v>
      </c>
      <c r="AE9" s="216">
        <f t="shared" si="5"/>
        <v>49856</v>
      </c>
      <c r="AF9" s="216">
        <f t="shared" si="5"/>
        <v>49948</v>
      </c>
      <c r="AG9" s="216">
        <f t="shared" si="5"/>
        <v>50040</v>
      </c>
      <c r="AH9" s="216">
        <f t="shared" si="5"/>
        <v>50130</v>
      </c>
      <c r="AI9" s="216">
        <f t="shared" si="5"/>
        <v>50221</v>
      </c>
      <c r="AJ9" s="216">
        <f t="shared" si="5"/>
        <v>50313</v>
      </c>
      <c r="AK9" s="216">
        <f t="shared" si="5"/>
        <v>50405</v>
      </c>
      <c r="AL9" s="216">
        <f t="shared" si="5"/>
        <v>50495</v>
      </c>
      <c r="AM9" s="216">
        <f t="shared" si="5"/>
        <v>50586</v>
      </c>
      <c r="AN9" s="216">
        <f t="shared" si="5"/>
        <v>50678</v>
      </c>
      <c r="AO9" s="216">
        <f t="shared" si="5"/>
        <v>50770</v>
      </c>
      <c r="AP9" s="216">
        <f t="shared" si="5"/>
        <v>50860</v>
      </c>
      <c r="AQ9" s="216">
        <f t="shared" si="5"/>
        <v>50951</v>
      </c>
      <c r="AR9" s="217">
        <f t="shared" si="5"/>
        <v>51043</v>
      </c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</row>
    <row r="10" spans="1:87" ht="20.25" customHeight="1">
      <c r="A10" s="207" t="s">
        <v>490</v>
      </c>
      <c r="B10" s="251"/>
      <c r="C10" s="220"/>
      <c r="D10" s="222"/>
      <c r="E10" s="271">
        <f>IF(E7&gt;0,NORMSDIST((E7-(($J$4)/6))/1.8),0)</f>
        <v>0</v>
      </c>
      <c r="F10" s="220">
        <f t="shared" ref="F10:X10" si="6">IF(F7&gt;0,NORMSDIST((F7-(($J$4)/6))/1.8),0)</f>
        <v>0</v>
      </c>
      <c r="G10" s="220">
        <f t="shared" si="6"/>
        <v>0</v>
      </c>
      <c r="H10" s="220">
        <f t="shared" si="6"/>
        <v>0</v>
      </c>
      <c r="I10" s="220">
        <f t="shared" si="6"/>
        <v>0</v>
      </c>
      <c r="J10" s="220">
        <f t="shared" si="6"/>
        <v>0</v>
      </c>
      <c r="K10" s="220">
        <f t="shared" si="6"/>
        <v>2.7366017862441431E-3</v>
      </c>
      <c r="L10" s="220">
        <f t="shared" si="6"/>
        <v>1.3134145691021117E-2</v>
      </c>
      <c r="M10" s="220">
        <f t="shared" si="6"/>
        <v>4.7790352272814703E-2</v>
      </c>
      <c r="N10" s="220">
        <f t="shared" si="6"/>
        <v>0.13326026290250542</v>
      </c>
      <c r="O10" s="220">
        <f t="shared" si="6"/>
        <v>0.28925736075397196</v>
      </c>
      <c r="P10" s="220">
        <f t="shared" si="6"/>
        <v>0.5</v>
      </c>
      <c r="Q10" s="220">
        <f t="shared" si="6"/>
        <v>0.7107426392460281</v>
      </c>
      <c r="R10" s="220">
        <f t="shared" si="6"/>
        <v>0.86673973709749452</v>
      </c>
      <c r="S10" s="220">
        <f t="shared" si="6"/>
        <v>0.9522096477271853</v>
      </c>
      <c r="T10" s="220">
        <f t="shared" si="6"/>
        <v>0.98686585430897888</v>
      </c>
      <c r="U10" s="220">
        <f t="shared" si="6"/>
        <v>0.99726339821375587</v>
      </c>
      <c r="V10" s="220">
        <f t="shared" si="6"/>
        <v>0.99957093966680322</v>
      </c>
      <c r="W10" s="220">
        <f t="shared" si="6"/>
        <v>0</v>
      </c>
      <c r="X10" s="220">
        <f t="shared" si="6"/>
        <v>0</v>
      </c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1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CH10" s="207"/>
      <c r="CI10" s="207"/>
    </row>
    <row r="11" spans="1:87" ht="20.25" customHeight="1">
      <c r="A11" s="207" t="s">
        <v>491</v>
      </c>
      <c r="B11" s="268">
        <f>SUM(E11:W11)</f>
        <v>0.99957093966680322</v>
      </c>
      <c r="C11" s="220">
        <f>SUM(E11:X11)</f>
        <v>0.99957093966680322</v>
      </c>
      <c r="D11" s="222"/>
      <c r="E11" s="271">
        <f>IF(E10-B10&lt;0,0,E10-B10)</f>
        <v>0</v>
      </c>
      <c r="F11" s="220">
        <f t="shared" ref="F11:X11" si="7">IF(F10-E10&lt;0,0,F10-E10)</f>
        <v>0</v>
      </c>
      <c r="G11" s="220">
        <f t="shared" si="7"/>
        <v>0</v>
      </c>
      <c r="H11" s="220">
        <f t="shared" si="7"/>
        <v>0</v>
      </c>
      <c r="I11" s="220">
        <f t="shared" si="7"/>
        <v>0</v>
      </c>
      <c r="J11" s="220">
        <f t="shared" si="7"/>
        <v>0</v>
      </c>
      <c r="K11" s="220">
        <f t="shared" si="7"/>
        <v>2.7366017862441431E-3</v>
      </c>
      <c r="L11" s="220">
        <f t="shared" si="7"/>
        <v>1.0397543904776974E-2</v>
      </c>
      <c r="M11" s="220">
        <f t="shared" si="7"/>
        <v>3.4656206581793587E-2</v>
      </c>
      <c r="N11" s="220">
        <f t="shared" si="7"/>
        <v>8.5469910629690726E-2</v>
      </c>
      <c r="O11" s="220">
        <f t="shared" si="7"/>
        <v>0.15599709785146654</v>
      </c>
      <c r="P11" s="220">
        <f t="shared" si="7"/>
        <v>0.21074263924602804</v>
      </c>
      <c r="Q11" s="220">
        <f t="shared" si="7"/>
        <v>0.2107426392460281</v>
      </c>
      <c r="R11" s="220">
        <f t="shared" si="7"/>
        <v>0.15599709785146643</v>
      </c>
      <c r="S11" s="220">
        <f t="shared" si="7"/>
        <v>8.5469910629690782E-2</v>
      </c>
      <c r="T11" s="220">
        <f t="shared" si="7"/>
        <v>3.465620658179358E-2</v>
      </c>
      <c r="U11" s="220">
        <f t="shared" si="7"/>
        <v>1.0397543904776985E-2</v>
      </c>
      <c r="V11" s="220">
        <f t="shared" si="7"/>
        <v>2.3075414530473459E-3</v>
      </c>
      <c r="W11" s="220">
        <f t="shared" si="7"/>
        <v>0</v>
      </c>
      <c r="X11" s="220">
        <f t="shared" si="7"/>
        <v>0</v>
      </c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1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CH11" s="207"/>
      <c r="CI11" s="207"/>
    </row>
    <row r="12" spans="1:87" ht="20.25" customHeight="1">
      <c r="A12" s="207" t="s">
        <v>492</v>
      </c>
      <c r="B12" s="268">
        <f>SUM(E12:W12)</f>
        <v>4.290603331967846E-4</v>
      </c>
      <c r="C12" s="220">
        <f>SUM(E12:X12)</f>
        <v>4.290603331967846E-4</v>
      </c>
      <c r="D12" s="487">
        <f>B12-C12</f>
        <v>0</v>
      </c>
      <c r="E12" s="269">
        <f t="shared" ref="E12:X12" si="8">IF(E6=$I$3,100%-E10,0)</f>
        <v>0</v>
      </c>
      <c r="F12" s="267">
        <f t="shared" si="8"/>
        <v>0</v>
      </c>
      <c r="G12" s="267">
        <f t="shared" si="8"/>
        <v>0</v>
      </c>
      <c r="H12" s="267">
        <f t="shared" si="8"/>
        <v>0</v>
      </c>
      <c r="I12" s="267">
        <f t="shared" si="8"/>
        <v>0</v>
      </c>
      <c r="J12" s="267">
        <f t="shared" si="8"/>
        <v>0</v>
      </c>
      <c r="K12" s="267">
        <f t="shared" si="8"/>
        <v>0</v>
      </c>
      <c r="L12" s="267">
        <f t="shared" si="8"/>
        <v>0</v>
      </c>
      <c r="M12" s="267">
        <f t="shared" si="8"/>
        <v>0</v>
      </c>
      <c r="N12" s="267">
        <f t="shared" si="8"/>
        <v>0</v>
      </c>
      <c r="O12" s="267">
        <f t="shared" si="8"/>
        <v>0</v>
      </c>
      <c r="P12" s="267">
        <f t="shared" si="8"/>
        <v>0</v>
      </c>
      <c r="Q12" s="267">
        <f t="shared" si="8"/>
        <v>0</v>
      </c>
      <c r="R12" s="267">
        <f t="shared" si="8"/>
        <v>0</v>
      </c>
      <c r="S12" s="267">
        <f t="shared" si="8"/>
        <v>0</v>
      </c>
      <c r="T12" s="267">
        <f t="shared" si="8"/>
        <v>0</v>
      </c>
      <c r="U12" s="267">
        <f t="shared" si="8"/>
        <v>0</v>
      </c>
      <c r="V12" s="267">
        <f t="shared" si="8"/>
        <v>4.290603331967846E-4</v>
      </c>
      <c r="W12" s="267">
        <f t="shared" si="8"/>
        <v>0</v>
      </c>
      <c r="X12" s="267">
        <f t="shared" si="8"/>
        <v>0</v>
      </c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1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CH12" s="207"/>
      <c r="CI12" s="207"/>
    </row>
    <row r="13" spans="1:87" ht="20.25" customHeight="1">
      <c r="A13" s="207" t="s">
        <v>491</v>
      </c>
      <c r="B13" s="251">
        <f>SUM(E13:W13)</f>
        <v>1</v>
      </c>
      <c r="C13" s="220">
        <f>SUM(E13:X13)</f>
        <v>1</v>
      </c>
      <c r="D13" s="222"/>
      <c r="E13" s="269">
        <f t="shared" ref="E13:X13" si="9">SUM(E11:E12)</f>
        <v>0</v>
      </c>
      <c r="F13" s="267">
        <f t="shared" si="9"/>
        <v>0</v>
      </c>
      <c r="G13" s="267">
        <f t="shared" si="9"/>
        <v>0</v>
      </c>
      <c r="H13" s="267">
        <f t="shared" si="9"/>
        <v>0</v>
      </c>
      <c r="I13" s="267">
        <f t="shared" si="9"/>
        <v>0</v>
      </c>
      <c r="J13" s="267">
        <f t="shared" si="9"/>
        <v>0</v>
      </c>
      <c r="K13" s="267">
        <f t="shared" si="9"/>
        <v>2.7366017862441431E-3</v>
      </c>
      <c r="L13" s="267">
        <f t="shared" si="9"/>
        <v>1.0397543904776974E-2</v>
      </c>
      <c r="M13" s="267">
        <f t="shared" si="9"/>
        <v>3.4656206581793587E-2</v>
      </c>
      <c r="N13" s="267">
        <f t="shared" si="9"/>
        <v>8.5469910629690726E-2</v>
      </c>
      <c r="O13" s="267">
        <f t="shared" si="9"/>
        <v>0.15599709785146654</v>
      </c>
      <c r="P13" s="267">
        <f t="shared" si="9"/>
        <v>0.21074263924602804</v>
      </c>
      <c r="Q13" s="267">
        <f t="shared" si="9"/>
        <v>0.2107426392460281</v>
      </c>
      <c r="R13" s="267">
        <f t="shared" si="9"/>
        <v>0.15599709785146643</v>
      </c>
      <c r="S13" s="267">
        <f t="shared" si="9"/>
        <v>8.5469910629690782E-2</v>
      </c>
      <c r="T13" s="267">
        <f t="shared" si="9"/>
        <v>3.465620658179358E-2</v>
      </c>
      <c r="U13" s="267">
        <f t="shared" si="9"/>
        <v>1.0397543904776985E-2</v>
      </c>
      <c r="V13" s="267">
        <f t="shared" si="9"/>
        <v>2.7366017862441305E-3</v>
      </c>
      <c r="W13" s="267">
        <f t="shared" si="9"/>
        <v>0</v>
      </c>
      <c r="X13" s="267">
        <f t="shared" si="9"/>
        <v>0</v>
      </c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1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CH13" s="207"/>
      <c r="CI13" s="207"/>
    </row>
    <row r="14" spans="1:87" s="488" customFormat="1" ht="20.25" customHeight="1">
      <c r="A14" s="1092" t="s">
        <v>387</v>
      </c>
      <c r="B14" s="764">
        <f t="shared" ref="B14:B31" si="10">SUM(E14:X14)</f>
        <v>198005242.5</v>
      </c>
      <c r="C14" s="1095">
        <f>'3-F Financial'!$B7</f>
        <v>198005242.5</v>
      </c>
      <c r="D14" s="1095">
        <f t="shared" ref="D14:D31" si="11">B14-C14</f>
        <v>0</v>
      </c>
      <c r="E14" s="1096">
        <v>0</v>
      </c>
      <c r="F14" s="1095">
        <f>$C$14*F13</f>
        <v>0</v>
      </c>
      <c r="G14" s="1095">
        <f t="shared" ref="G14:X14" si="12">$C$14*G13</f>
        <v>0</v>
      </c>
      <c r="H14" s="1095">
        <f t="shared" si="12"/>
        <v>0</v>
      </c>
      <c r="I14" s="1095">
        <f t="shared" si="12"/>
        <v>0</v>
      </c>
      <c r="J14" s="1095">
        <f t="shared" si="12"/>
        <v>0</v>
      </c>
      <c r="K14" s="1095">
        <f t="shared" si="12"/>
        <v>541861.5003112047</v>
      </c>
      <c r="L14" s="1095">
        <f t="shared" si="12"/>
        <v>2058768.2022697616</v>
      </c>
      <c r="M14" s="1095">
        <f t="shared" si="12"/>
        <v>6862110.588358135</v>
      </c>
      <c r="N14" s="1095">
        <f t="shared" si="12"/>
        <v>16923490.38068524</v>
      </c>
      <c r="O14" s="1095">
        <f t="shared" si="12"/>
        <v>30888243.189375862</v>
      </c>
      <c r="P14" s="1095">
        <f t="shared" si="12"/>
        <v>41728147.388999797</v>
      </c>
      <c r="Q14" s="1095">
        <f t="shared" si="12"/>
        <v>41728147.388999812</v>
      </c>
      <c r="R14" s="1095">
        <f t="shared" si="12"/>
        <v>30888243.18937584</v>
      </c>
      <c r="S14" s="1095">
        <f t="shared" si="12"/>
        <v>16923490.380685251</v>
      </c>
      <c r="T14" s="1095">
        <f t="shared" si="12"/>
        <v>6862110.588358134</v>
      </c>
      <c r="U14" s="1095">
        <f t="shared" si="12"/>
        <v>2058768.2022697637</v>
      </c>
      <c r="V14" s="1095">
        <f t="shared" si="12"/>
        <v>541861.50031120225</v>
      </c>
      <c r="W14" s="1095">
        <f t="shared" si="12"/>
        <v>0</v>
      </c>
      <c r="X14" s="1095">
        <f t="shared" si="12"/>
        <v>0</v>
      </c>
      <c r="Y14" s="1095"/>
      <c r="Z14" s="1095"/>
      <c r="AA14" s="1095"/>
      <c r="AB14" s="1095"/>
      <c r="AC14" s="1095"/>
      <c r="AD14" s="1095"/>
      <c r="AE14" s="1095"/>
      <c r="AF14" s="1095"/>
      <c r="AG14" s="1095"/>
      <c r="AH14" s="1095"/>
      <c r="AI14" s="1095"/>
      <c r="AJ14" s="1095"/>
      <c r="AK14" s="1095"/>
      <c r="AL14" s="1095"/>
      <c r="AM14" s="1095"/>
      <c r="AN14" s="1095"/>
      <c r="AO14" s="1095"/>
      <c r="AP14" s="1095"/>
      <c r="AQ14" s="1095"/>
      <c r="AR14" s="764"/>
      <c r="AS14" s="1092"/>
      <c r="AT14" s="1092"/>
      <c r="AU14" s="1092"/>
      <c r="AV14" s="1093"/>
      <c r="AW14" s="1093"/>
      <c r="AX14" s="1093"/>
      <c r="AY14" s="1093"/>
      <c r="AZ14" s="1093"/>
      <c r="BA14" s="1093"/>
      <c r="BB14" s="1093"/>
      <c r="BC14" s="1093"/>
      <c r="BD14" s="1093"/>
      <c r="BE14" s="1093"/>
      <c r="BF14" s="1093"/>
      <c r="BG14" s="1093"/>
      <c r="BH14" s="1093"/>
      <c r="BI14" s="1093"/>
      <c r="BJ14" s="1093"/>
      <c r="BK14" s="1093"/>
      <c r="BL14" s="1093"/>
      <c r="BM14" s="1093"/>
      <c r="BN14" s="1093"/>
      <c r="BO14" s="1093"/>
      <c r="BP14" s="1093"/>
      <c r="BQ14" s="1093"/>
      <c r="BR14" s="1093"/>
      <c r="BS14" s="1093"/>
      <c r="BT14" s="1093"/>
      <c r="BU14" s="1093"/>
      <c r="BV14" s="1092"/>
      <c r="BW14" s="1092"/>
      <c r="BX14" s="1092"/>
      <c r="BY14" s="1092"/>
      <c r="BZ14" s="1092"/>
      <c r="CA14" s="1092"/>
      <c r="CB14" s="1092"/>
      <c r="CC14" s="1092"/>
      <c r="CD14" s="1092"/>
      <c r="CE14" s="1092"/>
      <c r="CF14" s="1092"/>
      <c r="CG14" s="1092"/>
      <c r="CH14" s="1092"/>
      <c r="CI14" s="1092"/>
    </row>
    <row r="15" spans="1:87" ht="20.25" customHeight="1">
      <c r="A15" s="207" t="s">
        <v>77</v>
      </c>
      <c r="B15" s="224">
        <f t="shared" si="10"/>
        <v>9900262.1249999981</v>
      </c>
      <c r="C15" s="223">
        <f>'3-F Financial'!$B8</f>
        <v>9900262.125</v>
      </c>
      <c r="D15" s="223">
        <f t="shared" si="11"/>
        <v>0</v>
      </c>
      <c r="E15" s="270">
        <v>0</v>
      </c>
      <c r="F15" s="223">
        <f>$C15*F$13</f>
        <v>0</v>
      </c>
      <c r="G15" s="223">
        <f t="shared" ref="G15:X15" si="13">$C15*G$13</f>
        <v>0</v>
      </c>
      <c r="H15" s="223">
        <f t="shared" si="13"/>
        <v>0</v>
      </c>
      <c r="I15" s="223">
        <f t="shared" si="13"/>
        <v>0</v>
      </c>
      <c r="J15" s="223">
        <f t="shared" si="13"/>
        <v>0</v>
      </c>
      <c r="K15" s="223">
        <f t="shared" si="13"/>
        <v>27093.075015560236</v>
      </c>
      <c r="L15" s="223">
        <f t="shared" si="13"/>
        <v>102938.41011348809</v>
      </c>
      <c r="M15" s="223">
        <f t="shared" si="13"/>
        <v>343105.52941790677</v>
      </c>
      <c r="N15" s="223">
        <f t="shared" si="13"/>
        <v>846174.51903426205</v>
      </c>
      <c r="O15" s="223">
        <f t="shared" si="13"/>
        <v>1544412.1594687931</v>
      </c>
      <c r="P15" s="223">
        <f t="shared" si="13"/>
        <v>2086407.3694499899</v>
      </c>
      <c r="Q15" s="223">
        <f t="shared" si="13"/>
        <v>2086407.3694499906</v>
      </c>
      <c r="R15" s="223">
        <f t="shared" si="13"/>
        <v>1544412.1594687919</v>
      </c>
      <c r="S15" s="223">
        <f t="shared" si="13"/>
        <v>846174.51903426251</v>
      </c>
      <c r="T15" s="223">
        <f t="shared" si="13"/>
        <v>343105.52941790671</v>
      </c>
      <c r="U15" s="223">
        <f t="shared" si="13"/>
        <v>102938.41011348819</v>
      </c>
      <c r="V15" s="223">
        <f t="shared" si="13"/>
        <v>27093.075015560113</v>
      </c>
      <c r="W15" s="223">
        <f t="shared" si="13"/>
        <v>0</v>
      </c>
      <c r="X15" s="223">
        <f t="shared" si="13"/>
        <v>0</v>
      </c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4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CH15" s="207"/>
      <c r="CI15" s="207"/>
    </row>
    <row r="16" spans="1:87" ht="20.25" customHeight="1">
      <c r="A16" s="207" t="s">
        <v>389</v>
      </c>
      <c r="B16" s="224">
        <f t="shared" si="10"/>
        <v>0</v>
      </c>
      <c r="C16" s="223">
        <f>'3-F Financial'!$B9</f>
        <v>0</v>
      </c>
      <c r="D16" s="223">
        <f t="shared" si="11"/>
        <v>0</v>
      </c>
      <c r="E16" s="270">
        <v>0</v>
      </c>
      <c r="F16" s="223">
        <f>IF(AND(F$9&gt;$E$4,F$9&lt;$H$4),$C16/(($G$4)/3),0)</f>
        <v>0</v>
      </c>
      <c r="G16" s="223">
        <f t="shared" ref="G16:X16" si="14">IF(AND(G$9&gt;$E$4,G$9&lt;$H$4),$C16/(($G$4)/3),0)</f>
        <v>0</v>
      </c>
      <c r="H16" s="223">
        <f t="shared" si="14"/>
        <v>0</v>
      </c>
      <c r="I16" s="223">
        <f t="shared" si="14"/>
        <v>0</v>
      </c>
      <c r="J16" s="223">
        <f t="shared" si="14"/>
        <v>0</v>
      </c>
      <c r="K16" s="223">
        <f t="shared" si="14"/>
        <v>0</v>
      </c>
      <c r="L16" s="223">
        <f t="shared" si="14"/>
        <v>0</v>
      </c>
      <c r="M16" s="223">
        <f t="shared" si="14"/>
        <v>0</v>
      </c>
      <c r="N16" s="223">
        <f t="shared" si="14"/>
        <v>0</v>
      </c>
      <c r="O16" s="223">
        <f t="shared" si="14"/>
        <v>0</v>
      </c>
      <c r="P16" s="223">
        <f t="shared" si="14"/>
        <v>0</v>
      </c>
      <c r="Q16" s="223">
        <f t="shared" si="14"/>
        <v>0</v>
      </c>
      <c r="R16" s="223">
        <f t="shared" si="14"/>
        <v>0</v>
      </c>
      <c r="S16" s="223">
        <f t="shared" si="14"/>
        <v>0</v>
      </c>
      <c r="T16" s="223">
        <f t="shared" si="14"/>
        <v>0</v>
      </c>
      <c r="U16" s="223">
        <f t="shared" si="14"/>
        <v>0</v>
      </c>
      <c r="V16" s="223">
        <f t="shared" si="14"/>
        <v>0</v>
      </c>
      <c r="W16" s="223">
        <f t="shared" si="14"/>
        <v>0</v>
      </c>
      <c r="X16" s="223">
        <f t="shared" si="14"/>
        <v>0</v>
      </c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4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CH16" s="207"/>
      <c r="CI16" s="207"/>
    </row>
    <row r="17" spans="1:87" ht="20.25" customHeight="1">
      <c r="A17" s="207" t="s">
        <v>391</v>
      </c>
      <c r="B17" s="224">
        <f t="shared" si="10"/>
        <v>808909.2</v>
      </c>
      <c r="C17" s="223">
        <f>'3-F Financial'!$B10</f>
        <v>808909.2</v>
      </c>
      <c r="D17" s="223">
        <f t="shared" si="11"/>
        <v>0</v>
      </c>
      <c r="E17" s="270">
        <v>0</v>
      </c>
      <c r="F17" s="223">
        <f>IF(F6=$F$3,$C$17,0)</f>
        <v>0</v>
      </c>
      <c r="G17" s="223">
        <f t="shared" ref="G17:X17" si="15">IF(G6=$F$3,$C$17,0)</f>
        <v>0</v>
      </c>
      <c r="H17" s="223">
        <f t="shared" si="15"/>
        <v>0</v>
      </c>
      <c r="I17" s="223">
        <f t="shared" si="15"/>
        <v>0</v>
      </c>
      <c r="J17" s="223">
        <f t="shared" si="15"/>
        <v>808909.2</v>
      </c>
      <c r="K17" s="223">
        <f t="shared" si="15"/>
        <v>0</v>
      </c>
      <c r="L17" s="223">
        <f t="shared" si="15"/>
        <v>0</v>
      </c>
      <c r="M17" s="223">
        <f t="shared" si="15"/>
        <v>0</v>
      </c>
      <c r="N17" s="223">
        <f t="shared" si="15"/>
        <v>0</v>
      </c>
      <c r="O17" s="223">
        <f t="shared" si="15"/>
        <v>0</v>
      </c>
      <c r="P17" s="223">
        <f t="shared" si="15"/>
        <v>0</v>
      </c>
      <c r="Q17" s="223">
        <f t="shared" si="15"/>
        <v>0</v>
      </c>
      <c r="R17" s="223">
        <f t="shared" si="15"/>
        <v>0</v>
      </c>
      <c r="S17" s="223">
        <f t="shared" si="15"/>
        <v>0</v>
      </c>
      <c r="T17" s="223">
        <f t="shared" si="15"/>
        <v>0</v>
      </c>
      <c r="U17" s="223">
        <f t="shared" si="15"/>
        <v>0</v>
      </c>
      <c r="V17" s="223">
        <f t="shared" si="15"/>
        <v>0</v>
      </c>
      <c r="W17" s="223">
        <f t="shared" si="15"/>
        <v>0</v>
      </c>
      <c r="X17" s="223">
        <f t="shared" si="15"/>
        <v>0</v>
      </c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4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CH17" s="207"/>
      <c r="CI17" s="207"/>
    </row>
    <row r="18" spans="1:87" ht="20.25" customHeight="1">
      <c r="A18" s="207" t="s">
        <v>393</v>
      </c>
      <c r="B18" s="224">
        <f t="shared" si="10"/>
        <v>2480000</v>
      </c>
      <c r="C18" s="223">
        <f>'3-F Financial'!$B11</f>
        <v>2480000</v>
      </c>
      <c r="D18" s="223">
        <f t="shared" si="11"/>
        <v>0</v>
      </c>
      <c r="E18" s="270">
        <v>0</v>
      </c>
      <c r="F18" s="223">
        <f>$C18*F$13</f>
        <v>0</v>
      </c>
      <c r="G18" s="223">
        <f t="shared" ref="G18:X19" si="16">$C18*G$13</f>
        <v>0</v>
      </c>
      <c r="H18" s="223">
        <f t="shared" si="16"/>
        <v>0</v>
      </c>
      <c r="I18" s="223">
        <f t="shared" si="16"/>
        <v>0</v>
      </c>
      <c r="J18" s="223">
        <f t="shared" si="16"/>
        <v>0</v>
      </c>
      <c r="K18" s="223">
        <f t="shared" si="16"/>
        <v>6786.7724298854746</v>
      </c>
      <c r="L18" s="223">
        <f t="shared" si="16"/>
        <v>25785.908883846896</v>
      </c>
      <c r="M18" s="223">
        <f t="shared" si="16"/>
        <v>85947.3923228481</v>
      </c>
      <c r="N18" s="223">
        <f t="shared" si="16"/>
        <v>211965.37836163299</v>
      </c>
      <c r="O18" s="223">
        <f t="shared" si="16"/>
        <v>386872.80267163704</v>
      </c>
      <c r="P18" s="223">
        <f t="shared" si="16"/>
        <v>522641.74533014954</v>
      </c>
      <c r="Q18" s="223">
        <f t="shared" si="16"/>
        <v>522641.74533014966</v>
      </c>
      <c r="R18" s="223">
        <f t="shared" si="16"/>
        <v>386872.80267163675</v>
      </c>
      <c r="S18" s="223">
        <f t="shared" si="16"/>
        <v>211965.37836163313</v>
      </c>
      <c r="T18" s="223">
        <f t="shared" si="16"/>
        <v>85947.392322848085</v>
      </c>
      <c r="U18" s="223">
        <f t="shared" si="16"/>
        <v>25785.908883846922</v>
      </c>
      <c r="V18" s="223">
        <f t="shared" si="16"/>
        <v>6786.7724298854437</v>
      </c>
      <c r="W18" s="223">
        <f t="shared" si="16"/>
        <v>0</v>
      </c>
      <c r="X18" s="223">
        <f t="shared" si="16"/>
        <v>0</v>
      </c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4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CH18" s="207"/>
      <c r="CI18" s="207"/>
    </row>
    <row r="19" spans="1:87" ht="20.25" customHeight="1">
      <c r="A19" s="207" t="s">
        <v>79</v>
      </c>
      <c r="B19" s="224">
        <f t="shared" si="10"/>
        <v>3960104.85</v>
      </c>
      <c r="C19" s="223">
        <f>'3-F Financial'!$B12</f>
        <v>3960104.85</v>
      </c>
      <c r="D19" s="223">
        <f t="shared" si="11"/>
        <v>0</v>
      </c>
      <c r="E19" s="270">
        <v>0</v>
      </c>
      <c r="F19" s="223">
        <f>$C19*F$13</f>
        <v>0</v>
      </c>
      <c r="G19" s="223">
        <f t="shared" si="16"/>
        <v>0</v>
      </c>
      <c r="H19" s="223">
        <f t="shared" si="16"/>
        <v>0</v>
      </c>
      <c r="I19" s="223">
        <f t="shared" si="16"/>
        <v>0</v>
      </c>
      <c r="J19" s="223">
        <f t="shared" si="16"/>
        <v>0</v>
      </c>
      <c r="K19" s="223">
        <f t="shared" si="16"/>
        <v>10837.230006224094</v>
      </c>
      <c r="L19" s="223">
        <f t="shared" si="16"/>
        <v>41175.364045395232</v>
      </c>
      <c r="M19" s="223">
        <f t="shared" si="16"/>
        <v>137242.21176716272</v>
      </c>
      <c r="N19" s="223">
        <f t="shared" si="16"/>
        <v>338469.80761370482</v>
      </c>
      <c r="O19" s="223">
        <f t="shared" si="16"/>
        <v>617764.86378751718</v>
      </c>
      <c r="P19" s="223">
        <f t="shared" si="16"/>
        <v>834562.94777999597</v>
      </c>
      <c r="Q19" s="223">
        <f t="shared" si="16"/>
        <v>834562.9477799962</v>
      </c>
      <c r="R19" s="223">
        <f t="shared" si="16"/>
        <v>617764.86378751684</v>
      </c>
      <c r="S19" s="223">
        <f t="shared" si="16"/>
        <v>338469.80761370505</v>
      </c>
      <c r="T19" s="223">
        <f t="shared" si="16"/>
        <v>137242.21176716269</v>
      </c>
      <c r="U19" s="223">
        <f t="shared" si="16"/>
        <v>41175.364045395276</v>
      </c>
      <c r="V19" s="223">
        <f t="shared" si="16"/>
        <v>10837.230006224045</v>
      </c>
      <c r="W19" s="223">
        <f t="shared" si="16"/>
        <v>0</v>
      </c>
      <c r="X19" s="223">
        <f t="shared" si="16"/>
        <v>0</v>
      </c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4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CH19" s="207"/>
      <c r="CI19" s="207"/>
    </row>
    <row r="20" spans="1:87" ht="20.25" customHeight="1">
      <c r="A20" s="207" t="s">
        <v>83</v>
      </c>
      <c r="B20" s="224">
        <f t="shared" si="10"/>
        <v>2970078.6375000002</v>
      </c>
      <c r="C20" s="223">
        <f>'3-F Financial'!$B13</f>
        <v>2970078.6374999997</v>
      </c>
      <c r="D20" s="223">
        <f t="shared" si="11"/>
        <v>0</v>
      </c>
      <c r="E20" s="270">
        <v>0</v>
      </c>
      <c r="F20" s="223">
        <f>IF(AND(F9&gt;$E$4,F9&lt;$H$4), (($C20)*60%/(($G$4)/3)),IF(OR(F7=1,F7=2,F7=3,F7=4,F7=5,F7=6),(($C20)*40%/6),0))</f>
        <v>356409.43649999995</v>
      </c>
      <c r="G20" s="223">
        <f t="shared" ref="G20:X20" si="17">IF(AND(G9&gt;$E$4,G9&lt;$H$4), (($C20)*60%/(($G$4)/3)),IF(OR(G7=1,G7=2,G7=3,G7=4,G7=5,G7=6),(($C20)*40%/6),0))</f>
        <v>356409.43649999995</v>
      </c>
      <c r="H20" s="223">
        <f t="shared" si="17"/>
        <v>356409.43649999995</v>
      </c>
      <c r="I20" s="223">
        <f t="shared" si="17"/>
        <v>356409.43649999995</v>
      </c>
      <c r="J20" s="223">
        <f t="shared" si="17"/>
        <v>356409.43649999995</v>
      </c>
      <c r="K20" s="223">
        <f t="shared" si="17"/>
        <v>198005.24249999996</v>
      </c>
      <c r="L20" s="223">
        <f t="shared" si="17"/>
        <v>198005.24249999996</v>
      </c>
      <c r="M20" s="223">
        <f t="shared" si="17"/>
        <v>198005.24249999996</v>
      </c>
      <c r="N20" s="223">
        <f t="shared" si="17"/>
        <v>198005.24249999996</v>
      </c>
      <c r="O20" s="223">
        <f t="shared" si="17"/>
        <v>198005.24249999996</v>
      </c>
      <c r="P20" s="223">
        <f t="shared" si="17"/>
        <v>198005.24249999996</v>
      </c>
      <c r="Q20" s="223">
        <f t="shared" si="17"/>
        <v>0</v>
      </c>
      <c r="R20" s="223">
        <f t="shared" si="17"/>
        <v>0</v>
      </c>
      <c r="S20" s="223">
        <f t="shared" si="17"/>
        <v>0</v>
      </c>
      <c r="T20" s="223">
        <f t="shared" si="17"/>
        <v>0</v>
      </c>
      <c r="U20" s="223">
        <f t="shared" si="17"/>
        <v>0</v>
      </c>
      <c r="V20" s="223">
        <f t="shared" si="17"/>
        <v>0</v>
      </c>
      <c r="W20" s="223">
        <f t="shared" si="17"/>
        <v>0</v>
      </c>
      <c r="X20" s="223">
        <f t="shared" si="17"/>
        <v>0</v>
      </c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4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CH20" s="207"/>
      <c r="CI20" s="207"/>
    </row>
    <row r="21" spans="1:87" ht="20.25" customHeight="1">
      <c r="A21" s="207" t="s">
        <v>84</v>
      </c>
      <c r="B21" s="224">
        <f t="shared" si="10"/>
        <v>20222.73</v>
      </c>
      <c r="C21" s="223">
        <f>'3-F Financial'!$B14</f>
        <v>20222.73</v>
      </c>
      <c r="D21" s="223">
        <f t="shared" si="11"/>
        <v>0</v>
      </c>
      <c r="E21" s="270">
        <v>0</v>
      </c>
      <c r="F21" s="223">
        <f>IF(F17=0,0,$C$21)</f>
        <v>0</v>
      </c>
      <c r="G21" s="223">
        <f t="shared" ref="G21:X21" si="18">IF(G17=0,0,$C$21)</f>
        <v>0</v>
      </c>
      <c r="H21" s="223">
        <f t="shared" si="18"/>
        <v>0</v>
      </c>
      <c r="I21" s="223">
        <f t="shared" si="18"/>
        <v>0</v>
      </c>
      <c r="J21" s="223">
        <f t="shared" si="18"/>
        <v>20222.73</v>
      </c>
      <c r="K21" s="223">
        <f t="shared" si="18"/>
        <v>0</v>
      </c>
      <c r="L21" s="223">
        <f t="shared" si="18"/>
        <v>0</v>
      </c>
      <c r="M21" s="223">
        <f t="shared" si="18"/>
        <v>0</v>
      </c>
      <c r="N21" s="223">
        <f t="shared" si="18"/>
        <v>0</v>
      </c>
      <c r="O21" s="223">
        <f t="shared" si="18"/>
        <v>0</v>
      </c>
      <c r="P21" s="223">
        <f t="shared" si="18"/>
        <v>0</v>
      </c>
      <c r="Q21" s="223">
        <f t="shared" si="18"/>
        <v>0</v>
      </c>
      <c r="R21" s="223">
        <f t="shared" si="18"/>
        <v>0</v>
      </c>
      <c r="S21" s="223">
        <f t="shared" si="18"/>
        <v>0</v>
      </c>
      <c r="T21" s="223">
        <f t="shared" si="18"/>
        <v>0</v>
      </c>
      <c r="U21" s="223">
        <f t="shared" si="18"/>
        <v>0</v>
      </c>
      <c r="V21" s="223">
        <f t="shared" si="18"/>
        <v>0</v>
      </c>
      <c r="W21" s="223">
        <f t="shared" si="18"/>
        <v>0</v>
      </c>
      <c r="X21" s="223">
        <f t="shared" si="18"/>
        <v>0</v>
      </c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4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CH21" s="207"/>
      <c r="CI21" s="207"/>
    </row>
    <row r="22" spans="1:87" ht="20.25" customHeight="1">
      <c r="A22" s="207" t="s">
        <v>85</v>
      </c>
      <c r="B22" s="224">
        <f t="shared" si="10"/>
        <v>3960104.8500000015</v>
      </c>
      <c r="C22" s="223">
        <f>'3-F Financial'!$B15</f>
        <v>3960104.85</v>
      </c>
      <c r="D22" s="223">
        <f t="shared" si="11"/>
        <v>0</v>
      </c>
      <c r="E22" s="270">
        <v>0</v>
      </c>
      <c r="F22" s="223">
        <f>IF(AND(F9&gt;$E$4,F9&lt;$H$4), (($C22)*60%/(($G$4)/3)),IF(OR(F7=1,F7=2,F7=3,F7=4,F7=5,F7=6),(($C22)*40%/6),0))</f>
        <v>475212.58200000005</v>
      </c>
      <c r="G22" s="223">
        <f t="shared" ref="G22:X22" si="19">IF(AND(G9&gt;$E$4,G9&lt;$H$4), (($C22)*60%/(($G$4)/3)),IF(OR(G7=1,G7=2,G7=3,G7=4,G7=5,G7=6),(($C22)*40%/6),0))</f>
        <v>475212.58200000005</v>
      </c>
      <c r="H22" s="223">
        <f t="shared" si="19"/>
        <v>475212.58200000005</v>
      </c>
      <c r="I22" s="223">
        <f t="shared" si="19"/>
        <v>475212.58200000005</v>
      </c>
      <c r="J22" s="223">
        <f t="shared" si="19"/>
        <v>475212.58200000005</v>
      </c>
      <c r="K22" s="223">
        <f t="shared" si="19"/>
        <v>264006.99000000005</v>
      </c>
      <c r="L22" s="223">
        <f t="shared" si="19"/>
        <v>264006.99000000005</v>
      </c>
      <c r="M22" s="223">
        <f t="shared" si="19"/>
        <v>264006.99000000005</v>
      </c>
      <c r="N22" s="223">
        <f t="shared" si="19"/>
        <v>264006.99000000005</v>
      </c>
      <c r="O22" s="223">
        <f t="shared" si="19"/>
        <v>264006.99000000005</v>
      </c>
      <c r="P22" s="223">
        <f t="shared" si="19"/>
        <v>264006.99000000005</v>
      </c>
      <c r="Q22" s="223">
        <f t="shared" si="19"/>
        <v>0</v>
      </c>
      <c r="R22" s="223">
        <f t="shared" si="19"/>
        <v>0</v>
      </c>
      <c r="S22" s="223">
        <f t="shared" si="19"/>
        <v>0</v>
      </c>
      <c r="T22" s="223">
        <f t="shared" si="19"/>
        <v>0</v>
      </c>
      <c r="U22" s="223">
        <f t="shared" si="19"/>
        <v>0</v>
      </c>
      <c r="V22" s="223">
        <f t="shared" si="19"/>
        <v>0</v>
      </c>
      <c r="W22" s="223">
        <f t="shared" si="19"/>
        <v>0</v>
      </c>
      <c r="X22" s="223">
        <f t="shared" si="19"/>
        <v>0</v>
      </c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4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CH22" s="207"/>
      <c r="CI22" s="207"/>
    </row>
    <row r="23" spans="1:87" ht="20.25" customHeight="1">
      <c r="A23" s="207" t="s">
        <v>86</v>
      </c>
      <c r="B23" s="224">
        <f t="shared" si="10"/>
        <v>6930183.4875000017</v>
      </c>
      <c r="C23" s="223">
        <f>'3-F Financial'!$B16</f>
        <v>6930183.4875000007</v>
      </c>
      <c r="D23" s="223">
        <f t="shared" si="11"/>
        <v>0</v>
      </c>
      <c r="E23" s="270">
        <v>0</v>
      </c>
      <c r="F23" s="223">
        <f>IF(AND(F$9&gt;$F$4,F9&lt;$K$4),$C23/(($J$4)/3),0)</f>
        <v>0</v>
      </c>
      <c r="G23" s="223">
        <f t="shared" ref="G23:X23" si="20">IF(AND(G$9&gt;$F$4,G9&lt;$K$4),$C23/(($J$4)/3),0)</f>
        <v>0</v>
      </c>
      <c r="H23" s="223">
        <f t="shared" si="20"/>
        <v>0</v>
      </c>
      <c r="I23" s="223">
        <f t="shared" si="20"/>
        <v>0</v>
      </c>
      <c r="J23" s="223">
        <f t="shared" si="20"/>
        <v>0</v>
      </c>
      <c r="K23" s="223">
        <f t="shared" si="20"/>
        <v>577515.29062500002</v>
      </c>
      <c r="L23" s="223">
        <f t="shared" si="20"/>
        <v>577515.29062500002</v>
      </c>
      <c r="M23" s="223">
        <f t="shared" si="20"/>
        <v>577515.29062500002</v>
      </c>
      <c r="N23" s="223">
        <f t="shared" si="20"/>
        <v>577515.29062500002</v>
      </c>
      <c r="O23" s="223">
        <f t="shared" si="20"/>
        <v>577515.29062500002</v>
      </c>
      <c r="P23" s="223">
        <f t="shared" si="20"/>
        <v>577515.29062500002</v>
      </c>
      <c r="Q23" s="223">
        <f t="shared" si="20"/>
        <v>577515.29062500002</v>
      </c>
      <c r="R23" s="223">
        <f t="shared" si="20"/>
        <v>577515.29062500002</v>
      </c>
      <c r="S23" s="223">
        <f t="shared" si="20"/>
        <v>577515.29062500002</v>
      </c>
      <c r="T23" s="223">
        <f t="shared" si="20"/>
        <v>577515.29062500002</v>
      </c>
      <c r="U23" s="223">
        <f t="shared" si="20"/>
        <v>577515.29062500002</v>
      </c>
      <c r="V23" s="223">
        <f t="shared" si="20"/>
        <v>577515.29062500002</v>
      </c>
      <c r="W23" s="223">
        <f t="shared" si="20"/>
        <v>0</v>
      </c>
      <c r="X23" s="223">
        <f t="shared" si="20"/>
        <v>0</v>
      </c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4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CH23" s="207"/>
      <c r="CI23" s="207"/>
    </row>
    <row r="24" spans="1:87" ht="20.25" customHeight="1">
      <c r="A24" s="207" t="s">
        <v>88</v>
      </c>
      <c r="B24" s="224">
        <f t="shared" si="10"/>
        <v>3960104.8499999992</v>
      </c>
      <c r="C24" s="223">
        <f>'3-F Financial'!$B17</f>
        <v>3960104.85</v>
      </c>
      <c r="D24" s="223">
        <f t="shared" si="11"/>
        <v>0</v>
      </c>
      <c r="E24" s="270">
        <v>0</v>
      </c>
      <c r="F24" s="223">
        <f>IF(AND(F$9&gt;$F$4,F$9&lt;$K$4),$C24/(($J$4)/3),0)</f>
        <v>0</v>
      </c>
      <c r="G24" s="223">
        <f t="shared" ref="G24:X24" si="21">IF(AND(G$9&gt;$F$4,G$9&lt;$K$4),$C24/(($J$4)/3),0)</f>
        <v>0</v>
      </c>
      <c r="H24" s="223">
        <f t="shared" si="21"/>
        <v>0</v>
      </c>
      <c r="I24" s="223">
        <f t="shared" si="21"/>
        <v>0</v>
      </c>
      <c r="J24" s="223">
        <f t="shared" si="21"/>
        <v>0</v>
      </c>
      <c r="K24" s="223">
        <f t="shared" si="21"/>
        <v>330008.73749999999</v>
      </c>
      <c r="L24" s="223">
        <f t="shared" si="21"/>
        <v>330008.73749999999</v>
      </c>
      <c r="M24" s="223">
        <f t="shared" si="21"/>
        <v>330008.73749999999</v>
      </c>
      <c r="N24" s="223">
        <f t="shared" si="21"/>
        <v>330008.73749999999</v>
      </c>
      <c r="O24" s="223">
        <f t="shared" si="21"/>
        <v>330008.73749999999</v>
      </c>
      <c r="P24" s="223">
        <f t="shared" si="21"/>
        <v>330008.73749999999</v>
      </c>
      <c r="Q24" s="223">
        <f t="shared" si="21"/>
        <v>330008.73749999999</v>
      </c>
      <c r="R24" s="223">
        <f t="shared" si="21"/>
        <v>330008.73749999999</v>
      </c>
      <c r="S24" s="223">
        <f t="shared" si="21"/>
        <v>330008.73749999999</v>
      </c>
      <c r="T24" s="223">
        <f t="shared" si="21"/>
        <v>330008.73749999999</v>
      </c>
      <c r="U24" s="223">
        <f t="shared" si="21"/>
        <v>330008.73749999999</v>
      </c>
      <c r="V24" s="223">
        <f t="shared" si="21"/>
        <v>330008.73749999999</v>
      </c>
      <c r="W24" s="223">
        <f t="shared" si="21"/>
        <v>0</v>
      </c>
      <c r="X24" s="223">
        <f t="shared" si="21"/>
        <v>0</v>
      </c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4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CH24" s="207"/>
      <c r="CI24" s="207"/>
    </row>
    <row r="25" spans="1:87" ht="20.25" customHeight="1">
      <c r="A25" s="207" t="s">
        <v>93</v>
      </c>
      <c r="B25" s="224">
        <f t="shared" si="10"/>
        <v>9900262.1249999981</v>
      </c>
      <c r="C25" s="223">
        <f>'3-F Financial'!$B18</f>
        <v>9900262.125</v>
      </c>
      <c r="D25" s="223">
        <f t="shared" si="11"/>
        <v>0</v>
      </c>
      <c r="E25" s="270">
        <v>0</v>
      </c>
      <c r="F25" s="223">
        <f>$C25*F$13</f>
        <v>0</v>
      </c>
      <c r="G25" s="223">
        <f t="shared" ref="G25:X25" si="22">$C25*G$13</f>
        <v>0</v>
      </c>
      <c r="H25" s="223">
        <f t="shared" si="22"/>
        <v>0</v>
      </c>
      <c r="I25" s="223">
        <f t="shared" si="22"/>
        <v>0</v>
      </c>
      <c r="J25" s="223">
        <f t="shared" si="22"/>
        <v>0</v>
      </c>
      <c r="K25" s="223">
        <f t="shared" si="22"/>
        <v>27093.075015560236</v>
      </c>
      <c r="L25" s="223">
        <f t="shared" si="22"/>
        <v>102938.41011348809</v>
      </c>
      <c r="M25" s="223">
        <f t="shared" si="22"/>
        <v>343105.52941790677</v>
      </c>
      <c r="N25" s="223">
        <f t="shared" si="22"/>
        <v>846174.51903426205</v>
      </c>
      <c r="O25" s="223">
        <f t="shared" si="22"/>
        <v>1544412.1594687931</v>
      </c>
      <c r="P25" s="223">
        <f t="shared" si="22"/>
        <v>2086407.3694499899</v>
      </c>
      <c r="Q25" s="223">
        <f t="shared" si="22"/>
        <v>2086407.3694499906</v>
      </c>
      <c r="R25" s="223">
        <f t="shared" si="22"/>
        <v>1544412.1594687919</v>
      </c>
      <c r="S25" s="223">
        <f t="shared" si="22"/>
        <v>846174.51903426251</v>
      </c>
      <c r="T25" s="223">
        <f t="shared" si="22"/>
        <v>343105.52941790671</v>
      </c>
      <c r="U25" s="223">
        <f t="shared" si="22"/>
        <v>102938.41011348819</v>
      </c>
      <c r="V25" s="223">
        <f t="shared" si="22"/>
        <v>27093.075015560113</v>
      </c>
      <c r="W25" s="223">
        <f t="shared" si="22"/>
        <v>0</v>
      </c>
      <c r="X25" s="223">
        <f t="shared" si="22"/>
        <v>0</v>
      </c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4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CH25" s="207"/>
      <c r="CI25" s="207"/>
    </row>
    <row r="26" spans="1:87" ht="20.25" customHeight="1">
      <c r="A26" s="207" t="s">
        <v>97</v>
      </c>
      <c r="B26" s="224">
        <f t="shared" si="10"/>
        <v>2970078.6374999997</v>
      </c>
      <c r="C26" s="223">
        <f>'3-F Financial'!$B19</f>
        <v>2970078.6374999997</v>
      </c>
      <c r="D26" s="223">
        <f t="shared" si="11"/>
        <v>0</v>
      </c>
      <c r="E26" s="270">
        <v>0</v>
      </c>
      <c r="F26" s="273">
        <f>IF(AND(F9&gt;$E$4,F9&lt;$H$4),(($C26)*20%/(($G$4)/3)),IF((F7=1),(($C26)*80%),0))</f>
        <v>118803.14549999998</v>
      </c>
      <c r="G26" s="273">
        <f t="shared" ref="G26:X26" si="23">IF(AND(G9&gt;$E$4,G9&lt;$H$4),(($C26)*20%/(($G$4)/3)),IF((G7=1),(($C26)*80%),0))</f>
        <v>118803.14549999998</v>
      </c>
      <c r="H26" s="273">
        <f t="shared" si="23"/>
        <v>118803.14549999998</v>
      </c>
      <c r="I26" s="273">
        <f t="shared" si="23"/>
        <v>118803.14549999998</v>
      </c>
      <c r="J26" s="273">
        <f t="shared" si="23"/>
        <v>118803.14549999998</v>
      </c>
      <c r="K26" s="273">
        <f t="shared" si="23"/>
        <v>2376062.9099999997</v>
      </c>
      <c r="L26" s="273">
        <f t="shared" si="23"/>
        <v>0</v>
      </c>
      <c r="M26" s="273">
        <f t="shared" si="23"/>
        <v>0</v>
      </c>
      <c r="N26" s="273">
        <f t="shared" si="23"/>
        <v>0</v>
      </c>
      <c r="O26" s="273">
        <f t="shared" si="23"/>
        <v>0</v>
      </c>
      <c r="P26" s="273">
        <f t="shared" si="23"/>
        <v>0</v>
      </c>
      <c r="Q26" s="273">
        <f t="shared" si="23"/>
        <v>0</v>
      </c>
      <c r="R26" s="273">
        <f t="shared" si="23"/>
        <v>0</v>
      </c>
      <c r="S26" s="273">
        <f t="shared" si="23"/>
        <v>0</v>
      </c>
      <c r="T26" s="273">
        <f t="shared" si="23"/>
        <v>0</v>
      </c>
      <c r="U26" s="273">
        <f t="shared" si="23"/>
        <v>0</v>
      </c>
      <c r="V26" s="273">
        <f t="shared" si="23"/>
        <v>0</v>
      </c>
      <c r="W26" s="273">
        <f t="shared" si="23"/>
        <v>0</v>
      </c>
      <c r="X26" s="273">
        <f t="shared" si="23"/>
        <v>0</v>
      </c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4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CH26" s="207"/>
      <c r="CI26" s="207"/>
    </row>
    <row r="27" spans="1:87" ht="20.25" customHeight="1">
      <c r="A27" s="207" t="s">
        <v>100</v>
      </c>
      <c r="B27" s="224">
        <f t="shared" si="10"/>
        <v>400000</v>
      </c>
      <c r="C27" s="223">
        <f>'3-F Financial'!$B20</f>
        <v>400000</v>
      </c>
      <c r="D27" s="223">
        <f t="shared" si="11"/>
        <v>0</v>
      </c>
      <c r="E27" s="270">
        <v>0</v>
      </c>
      <c r="F27" s="223">
        <f>IF(F$8=1,$C27/COUNTIF($E$8:$X$8,"1"),0)</f>
        <v>0</v>
      </c>
      <c r="G27" s="223">
        <f t="shared" ref="G27:X27" si="24">IF(G$8=1,$C27/COUNTIF($E$8:$X$8,"1"),0)</f>
        <v>0</v>
      </c>
      <c r="H27" s="223">
        <f>IF(H$8=1,$C27/COUNTIF($E$8:$X$8,"1"),0)</f>
        <v>0</v>
      </c>
      <c r="I27" s="223">
        <f t="shared" si="24"/>
        <v>0</v>
      </c>
      <c r="J27" s="223">
        <f t="shared" si="24"/>
        <v>0</v>
      </c>
      <c r="K27" s="223">
        <f t="shared" si="24"/>
        <v>0</v>
      </c>
      <c r="L27" s="223">
        <f t="shared" si="24"/>
        <v>0</v>
      </c>
      <c r="M27" s="223">
        <f t="shared" si="24"/>
        <v>0</v>
      </c>
      <c r="N27" s="223">
        <f t="shared" si="24"/>
        <v>0</v>
      </c>
      <c r="O27" s="223">
        <f t="shared" si="24"/>
        <v>0</v>
      </c>
      <c r="P27" s="223">
        <f t="shared" si="24"/>
        <v>0</v>
      </c>
      <c r="Q27" s="223">
        <f t="shared" si="24"/>
        <v>0</v>
      </c>
      <c r="R27" s="223">
        <f t="shared" si="24"/>
        <v>0</v>
      </c>
      <c r="S27" s="223">
        <f t="shared" si="24"/>
        <v>0</v>
      </c>
      <c r="T27" s="223">
        <f t="shared" si="24"/>
        <v>0</v>
      </c>
      <c r="U27" s="223">
        <f t="shared" si="24"/>
        <v>133333.33333333334</v>
      </c>
      <c r="V27" s="223">
        <f t="shared" si="24"/>
        <v>133333.33333333334</v>
      </c>
      <c r="W27" s="223">
        <f t="shared" si="24"/>
        <v>133333.33333333334</v>
      </c>
      <c r="X27" s="223">
        <f t="shared" si="24"/>
        <v>0</v>
      </c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4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CH27" s="207"/>
      <c r="CI27" s="207"/>
    </row>
    <row r="28" spans="1:87" ht="20.25" customHeight="1">
      <c r="A28" s="207" t="s">
        <v>103</v>
      </c>
      <c r="B28" s="224">
        <f t="shared" si="10"/>
        <v>5706702.9359999998</v>
      </c>
      <c r="C28" s="223">
        <f>'3-F Financial'!$B21</f>
        <v>5706702.9359999998</v>
      </c>
      <c r="D28" s="223">
        <f t="shared" si="11"/>
        <v>0</v>
      </c>
      <c r="E28" s="270">
        <v>0</v>
      </c>
      <c r="F28" s="223">
        <f>IF(AND(F9&gt;$I$4,F9&lt;=$L$4),$C28/(($M$4)/3),0)</f>
        <v>0</v>
      </c>
      <c r="G28" s="223">
        <f t="shared" ref="G28:X28" si="25">IF(AND(G9&gt;$I$4,G9&lt;=$L$4),$C28/(($M$4)/3),0)</f>
        <v>0</v>
      </c>
      <c r="H28" s="223">
        <f t="shared" si="25"/>
        <v>0</v>
      </c>
      <c r="I28" s="223">
        <f t="shared" si="25"/>
        <v>0</v>
      </c>
      <c r="J28" s="223">
        <f t="shared" si="25"/>
        <v>0</v>
      </c>
      <c r="K28" s="223">
        <f t="shared" si="25"/>
        <v>0</v>
      </c>
      <c r="L28" s="223">
        <f t="shared" si="25"/>
        <v>0</v>
      </c>
      <c r="M28" s="223">
        <f t="shared" si="25"/>
        <v>0</v>
      </c>
      <c r="N28" s="223">
        <f t="shared" si="25"/>
        <v>0</v>
      </c>
      <c r="O28" s="223">
        <f t="shared" si="25"/>
        <v>0</v>
      </c>
      <c r="P28" s="223">
        <f t="shared" si="25"/>
        <v>0</v>
      </c>
      <c r="Q28" s="223">
        <f t="shared" si="25"/>
        <v>0</v>
      </c>
      <c r="R28" s="223">
        <f t="shared" si="25"/>
        <v>0</v>
      </c>
      <c r="S28" s="223">
        <f t="shared" si="25"/>
        <v>0</v>
      </c>
      <c r="T28" s="223">
        <f t="shared" si="25"/>
        <v>0</v>
      </c>
      <c r="U28" s="223">
        <f t="shared" si="25"/>
        <v>0</v>
      </c>
      <c r="V28" s="223">
        <f t="shared" si="25"/>
        <v>0</v>
      </c>
      <c r="W28" s="223">
        <f t="shared" si="25"/>
        <v>2853351.4679999999</v>
      </c>
      <c r="X28" s="223">
        <f t="shared" si="25"/>
        <v>2853351.4679999999</v>
      </c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4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CH28" s="207"/>
      <c r="CI28" s="207"/>
    </row>
    <row r="29" spans="1:87" ht="20.25" customHeight="1">
      <c r="A29" s="207" t="s">
        <v>106</v>
      </c>
      <c r="B29" s="224">
        <f t="shared" si="10"/>
        <v>766315.79999999993</v>
      </c>
      <c r="C29" s="223">
        <f>'3-F Financial'!$B22</f>
        <v>766315.79999999993</v>
      </c>
      <c r="D29" s="223">
        <f t="shared" si="11"/>
        <v>0</v>
      </c>
      <c r="E29" s="270">
        <v>0</v>
      </c>
      <c r="F29" s="223">
        <f>IF(F$8=1,$C29/COUNTIF($E$8:$X$8,"1"),0)</f>
        <v>0</v>
      </c>
      <c r="G29" s="223">
        <f t="shared" ref="G29:X29" si="26">IF(G$8=1,$C29/COUNTIF($E$8:$X$8,"1"),0)</f>
        <v>0</v>
      </c>
      <c r="H29" s="223">
        <f t="shared" si="26"/>
        <v>0</v>
      </c>
      <c r="I29" s="223">
        <f t="shared" si="26"/>
        <v>0</v>
      </c>
      <c r="J29" s="223">
        <f t="shared" si="26"/>
        <v>0</v>
      </c>
      <c r="K29" s="223">
        <f t="shared" si="26"/>
        <v>0</v>
      </c>
      <c r="L29" s="223">
        <f t="shared" si="26"/>
        <v>0</v>
      </c>
      <c r="M29" s="223">
        <f t="shared" si="26"/>
        <v>0</v>
      </c>
      <c r="N29" s="223">
        <f t="shared" si="26"/>
        <v>0</v>
      </c>
      <c r="O29" s="223">
        <f t="shared" si="26"/>
        <v>0</v>
      </c>
      <c r="P29" s="223">
        <f t="shared" si="26"/>
        <v>0</v>
      </c>
      <c r="Q29" s="223">
        <f t="shared" si="26"/>
        <v>0</v>
      </c>
      <c r="R29" s="223">
        <f t="shared" si="26"/>
        <v>0</v>
      </c>
      <c r="S29" s="223">
        <f t="shared" si="26"/>
        <v>0</v>
      </c>
      <c r="T29" s="223">
        <f t="shared" si="26"/>
        <v>0</v>
      </c>
      <c r="U29" s="223">
        <f t="shared" si="26"/>
        <v>255438.59999999998</v>
      </c>
      <c r="V29" s="223">
        <f t="shared" si="26"/>
        <v>255438.59999999998</v>
      </c>
      <c r="W29" s="223">
        <f t="shared" si="26"/>
        <v>255438.59999999998</v>
      </c>
      <c r="X29" s="223">
        <f t="shared" si="26"/>
        <v>0</v>
      </c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4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CH29" s="207"/>
      <c r="CI29" s="207"/>
    </row>
    <row r="30" spans="1:87" ht="20.25" customHeight="1">
      <c r="A30" s="207" t="s">
        <v>403</v>
      </c>
      <c r="B30" s="224">
        <f t="shared" si="10"/>
        <v>24522.105599999995</v>
      </c>
      <c r="C30" s="223">
        <f>'3-F Financial'!$B23</f>
        <v>24522.105599999995</v>
      </c>
      <c r="D30" s="223">
        <f t="shared" si="11"/>
        <v>0</v>
      </c>
      <c r="E30" s="270">
        <v>0</v>
      </c>
      <c r="F30" s="223">
        <f>IF(AND(F$9&gt;$I$4,F$9&lt;$L$4),$C30,0)</f>
        <v>0</v>
      </c>
      <c r="G30" s="223">
        <f t="shared" ref="G30:X30" si="27">IF(AND(G$9&gt;$I$4,G$9&lt;$L$4),$C30,0)</f>
        <v>0</v>
      </c>
      <c r="H30" s="223">
        <f t="shared" si="27"/>
        <v>0</v>
      </c>
      <c r="I30" s="223">
        <f t="shared" si="27"/>
        <v>0</v>
      </c>
      <c r="J30" s="223">
        <f t="shared" si="27"/>
        <v>0</v>
      </c>
      <c r="K30" s="223">
        <f t="shared" si="27"/>
        <v>0</v>
      </c>
      <c r="L30" s="223">
        <f t="shared" si="27"/>
        <v>0</v>
      </c>
      <c r="M30" s="223">
        <f t="shared" si="27"/>
        <v>0</v>
      </c>
      <c r="N30" s="223">
        <f t="shared" si="27"/>
        <v>0</v>
      </c>
      <c r="O30" s="223">
        <f t="shared" si="27"/>
        <v>0</v>
      </c>
      <c r="P30" s="223">
        <f t="shared" si="27"/>
        <v>0</v>
      </c>
      <c r="Q30" s="223">
        <f t="shared" si="27"/>
        <v>0</v>
      </c>
      <c r="R30" s="223">
        <f t="shared" si="27"/>
        <v>0</v>
      </c>
      <c r="S30" s="223">
        <f t="shared" si="27"/>
        <v>0</v>
      </c>
      <c r="T30" s="223">
        <f t="shared" si="27"/>
        <v>0</v>
      </c>
      <c r="U30" s="223">
        <f t="shared" si="27"/>
        <v>0</v>
      </c>
      <c r="V30" s="223">
        <f t="shared" si="27"/>
        <v>0</v>
      </c>
      <c r="W30" s="223">
        <f t="shared" si="27"/>
        <v>24522.105599999995</v>
      </c>
      <c r="X30" s="223">
        <f t="shared" si="27"/>
        <v>0</v>
      </c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4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CH30" s="207"/>
      <c r="CI30" s="207"/>
    </row>
    <row r="31" spans="1:87" ht="20.25" customHeight="1">
      <c r="A31" s="207" t="s">
        <v>112</v>
      </c>
      <c r="B31" s="224">
        <f t="shared" si="10"/>
        <v>831880.21513649996</v>
      </c>
      <c r="C31" s="223">
        <f>'3-F Financial'!$B24</f>
        <v>831880.21513649996</v>
      </c>
      <c r="D31" s="223">
        <f t="shared" si="11"/>
        <v>0</v>
      </c>
      <c r="E31" s="270">
        <v>0</v>
      </c>
      <c r="F31" s="223">
        <f t="shared" ref="F31:X31" si="28">IF(F$13&gt;0,$C31/(($J$4)/3),0)</f>
        <v>0</v>
      </c>
      <c r="G31" s="223">
        <f t="shared" si="28"/>
        <v>0</v>
      </c>
      <c r="H31" s="223">
        <f t="shared" si="28"/>
        <v>0</v>
      </c>
      <c r="I31" s="223">
        <f t="shared" si="28"/>
        <v>0</v>
      </c>
      <c r="J31" s="223">
        <f t="shared" si="28"/>
        <v>0</v>
      </c>
      <c r="K31" s="223">
        <f t="shared" si="28"/>
        <v>69323.351261374992</v>
      </c>
      <c r="L31" s="223">
        <f t="shared" si="28"/>
        <v>69323.351261374992</v>
      </c>
      <c r="M31" s="223">
        <f t="shared" si="28"/>
        <v>69323.351261374992</v>
      </c>
      <c r="N31" s="223">
        <f t="shared" si="28"/>
        <v>69323.351261374992</v>
      </c>
      <c r="O31" s="223">
        <f t="shared" si="28"/>
        <v>69323.351261374992</v>
      </c>
      <c r="P31" s="223">
        <f t="shared" si="28"/>
        <v>69323.351261374992</v>
      </c>
      <c r="Q31" s="223">
        <f t="shared" si="28"/>
        <v>69323.351261374992</v>
      </c>
      <c r="R31" s="223">
        <f t="shared" si="28"/>
        <v>69323.351261374992</v>
      </c>
      <c r="S31" s="223">
        <f t="shared" si="28"/>
        <v>69323.351261374992</v>
      </c>
      <c r="T31" s="223">
        <f t="shared" si="28"/>
        <v>69323.351261374992</v>
      </c>
      <c r="U31" s="223">
        <f t="shared" si="28"/>
        <v>69323.351261374992</v>
      </c>
      <c r="V31" s="223">
        <f t="shared" si="28"/>
        <v>69323.351261374992</v>
      </c>
      <c r="W31" s="223">
        <f t="shared" si="28"/>
        <v>0</v>
      </c>
      <c r="X31" s="223">
        <f t="shared" si="28"/>
        <v>0</v>
      </c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CH31" s="207"/>
      <c r="CI31" s="207"/>
    </row>
    <row r="32" spans="1:87" ht="20.25" customHeight="1">
      <c r="A32" s="207" t="s">
        <v>165</v>
      </c>
      <c r="B32" s="224">
        <f>SUM(E32:X32)</f>
        <v>-8166666.666666667</v>
      </c>
      <c r="C32" s="223">
        <f>'3-F Financial'!$B25</f>
        <v>-8166666.666666667</v>
      </c>
      <c r="D32" s="223">
        <f>B32-C32</f>
        <v>0</v>
      </c>
      <c r="E32" s="270">
        <v>0</v>
      </c>
      <c r="F32" s="223">
        <f>$C32*F$13</f>
        <v>0</v>
      </c>
      <c r="G32" s="223">
        <f t="shared" ref="G32:X32" si="29">$C32*G$13</f>
        <v>0</v>
      </c>
      <c r="H32" s="223">
        <f t="shared" si="29"/>
        <v>0</v>
      </c>
      <c r="I32" s="223">
        <f t="shared" si="29"/>
        <v>0</v>
      </c>
      <c r="J32" s="223">
        <f t="shared" si="29"/>
        <v>0</v>
      </c>
      <c r="K32" s="223">
        <f t="shared" si="29"/>
        <v>-22348.914587660503</v>
      </c>
      <c r="L32" s="223">
        <f t="shared" si="29"/>
        <v>-84913.275222345299</v>
      </c>
      <c r="M32" s="223">
        <f t="shared" si="29"/>
        <v>-283025.68708464765</v>
      </c>
      <c r="N32" s="223">
        <f t="shared" si="29"/>
        <v>-698004.27014247433</v>
      </c>
      <c r="O32" s="223">
        <f t="shared" si="29"/>
        <v>-1273976.29912031</v>
      </c>
      <c r="P32" s="223">
        <f t="shared" si="29"/>
        <v>-1721064.8871758957</v>
      </c>
      <c r="Q32" s="223">
        <f t="shared" si="29"/>
        <v>-1721064.8871758962</v>
      </c>
      <c r="R32" s="223">
        <f t="shared" si="29"/>
        <v>-1273976.2991203093</v>
      </c>
      <c r="S32" s="223">
        <f t="shared" si="29"/>
        <v>-698004.27014247479</v>
      </c>
      <c r="T32" s="223">
        <f t="shared" si="29"/>
        <v>-283025.68708464759</v>
      </c>
      <c r="U32" s="223">
        <f t="shared" si="29"/>
        <v>-84913.275222345372</v>
      </c>
      <c r="V32" s="223">
        <f t="shared" si="29"/>
        <v>-22348.914587660402</v>
      </c>
      <c r="W32" s="223">
        <f t="shared" si="29"/>
        <v>0</v>
      </c>
      <c r="X32" s="223">
        <f t="shared" si="29"/>
        <v>0</v>
      </c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4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CH32" s="207"/>
      <c r="CI32" s="207"/>
    </row>
    <row r="33" spans="1:87" ht="20.25" customHeight="1">
      <c r="A33" s="207" t="s">
        <v>38</v>
      </c>
      <c r="B33" s="224">
        <f ca="1">SUM(E33:X33)</f>
        <v>820000</v>
      </c>
      <c r="C33" s="223">
        <f>'3-F Financial'!$B26</f>
        <v>820000</v>
      </c>
      <c r="D33" s="223">
        <f ca="1">B33-C33</f>
        <v>0</v>
      </c>
      <c r="E33" s="270">
        <v>0</v>
      </c>
      <c r="F33" s="223">
        <f t="shared" ref="F33:X33" ca="1" si="30">IF(AND(G39&gt;0,F39=0),$C$33,0)</f>
        <v>0</v>
      </c>
      <c r="G33" s="223">
        <f t="shared" ca="1" si="30"/>
        <v>0</v>
      </c>
      <c r="H33" s="223">
        <f t="shared" ca="1" si="30"/>
        <v>0</v>
      </c>
      <c r="I33" s="223">
        <f t="shared" ca="1" si="30"/>
        <v>0</v>
      </c>
      <c r="J33" s="223">
        <f t="shared" ca="1" si="30"/>
        <v>0</v>
      </c>
      <c r="K33" s="223">
        <f t="shared" ca="1" si="30"/>
        <v>0</v>
      </c>
      <c r="L33" s="223">
        <f t="shared" ca="1" si="30"/>
        <v>0</v>
      </c>
      <c r="M33" s="223">
        <f t="shared" ca="1" si="30"/>
        <v>0</v>
      </c>
      <c r="N33" s="223">
        <f t="shared" ca="1" si="30"/>
        <v>0</v>
      </c>
      <c r="O33" s="223">
        <f t="shared" ca="1" si="30"/>
        <v>820000</v>
      </c>
      <c r="P33" s="223">
        <f t="shared" ca="1" si="30"/>
        <v>0</v>
      </c>
      <c r="Q33" s="223">
        <f t="shared" ca="1" si="30"/>
        <v>0</v>
      </c>
      <c r="R33" s="223">
        <f t="shared" ca="1" si="30"/>
        <v>0</v>
      </c>
      <c r="S33" s="223">
        <f t="shared" ca="1" si="30"/>
        <v>0</v>
      </c>
      <c r="T33" s="223">
        <f t="shared" ca="1" si="30"/>
        <v>0</v>
      </c>
      <c r="U33" s="223">
        <f t="shared" ca="1" si="30"/>
        <v>0</v>
      </c>
      <c r="V33" s="223">
        <f t="shared" ca="1" si="30"/>
        <v>0</v>
      </c>
      <c r="W33" s="223">
        <f t="shared" ca="1" si="30"/>
        <v>0</v>
      </c>
      <c r="X33" s="223">
        <f t="shared" ca="1" si="30"/>
        <v>0</v>
      </c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4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CH33" s="207"/>
      <c r="CI33" s="207"/>
    </row>
    <row r="34" spans="1:87" ht="20.25" customHeight="1">
      <c r="A34" s="207" t="s">
        <v>407</v>
      </c>
      <c r="B34" s="224">
        <f>SUM(E34:X34)</f>
        <v>13069999.999999998</v>
      </c>
      <c r="C34" s="223">
        <f>'3-F Financial'!$B27</f>
        <v>13070000</v>
      </c>
      <c r="D34" s="223">
        <f>B34-C34</f>
        <v>0</v>
      </c>
      <c r="E34" s="270">
        <v>0</v>
      </c>
      <c r="F34" s="223">
        <f>IF(F7&lt;&gt;0,$C$34/($J$4/3),0)</f>
        <v>0</v>
      </c>
      <c r="G34" s="223">
        <f t="shared" ref="G34:X34" si="31">IF(G7&lt;&gt;0,$C$34/($J$4/3),0)</f>
        <v>0</v>
      </c>
      <c r="H34" s="223">
        <f t="shared" si="31"/>
        <v>0</v>
      </c>
      <c r="I34" s="223">
        <f t="shared" si="31"/>
        <v>0</v>
      </c>
      <c r="J34" s="223">
        <f t="shared" si="31"/>
        <v>0</v>
      </c>
      <c r="K34" s="223">
        <f t="shared" si="31"/>
        <v>1089166.6666666667</v>
      </c>
      <c r="L34" s="223">
        <f t="shared" si="31"/>
        <v>1089166.6666666667</v>
      </c>
      <c r="M34" s="223">
        <f t="shared" si="31"/>
        <v>1089166.6666666667</v>
      </c>
      <c r="N34" s="223">
        <f t="shared" si="31"/>
        <v>1089166.6666666667</v>
      </c>
      <c r="O34" s="223">
        <f t="shared" si="31"/>
        <v>1089166.6666666667</v>
      </c>
      <c r="P34" s="223">
        <f t="shared" si="31"/>
        <v>1089166.6666666667</v>
      </c>
      <c r="Q34" s="223">
        <f t="shared" si="31"/>
        <v>1089166.6666666667</v>
      </c>
      <c r="R34" s="223">
        <f t="shared" si="31"/>
        <v>1089166.6666666667</v>
      </c>
      <c r="S34" s="223">
        <f t="shared" si="31"/>
        <v>1089166.6666666667</v>
      </c>
      <c r="T34" s="223">
        <f t="shared" si="31"/>
        <v>1089166.6666666667</v>
      </c>
      <c r="U34" s="223">
        <f t="shared" si="31"/>
        <v>1089166.6666666667</v>
      </c>
      <c r="V34" s="223">
        <f t="shared" si="31"/>
        <v>1089166.6666666667</v>
      </c>
      <c r="W34" s="223">
        <f t="shared" si="31"/>
        <v>0</v>
      </c>
      <c r="X34" s="223">
        <f t="shared" si="31"/>
        <v>0</v>
      </c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4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CH34" s="207"/>
      <c r="CI34" s="207"/>
    </row>
    <row r="35" spans="1:87" ht="20.25" customHeight="1">
      <c r="B35" s="252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CH35" s="207"/>
      <c r="CI35" s="207"/>
    </row>
    <row r="36" spans="1:87" s="254" customFormat="1" ht="30" customHeight="1">
      <c r="A36" s="254" t="s">
        <v>408</v>
      </c>
      <c r="B36" s="256">
        <f ca="1">SUM(E36:X36)</f>
        <v>259318308.38256979</v>
      </c>
      <c r="C36" s="255">
        <f>SUM(C14:C34)</f>
        <v>259318308.38256979</v>
      </c>
      <c r="D36" s="255">
        <f ca="1">B36-C36</f>
        <v>0</v>
      </c>
      <c r="E36" s="255">
        <f>SUM(E14:E34)</f>
        <v>0</v>
      </c>
      <c r="F36" s="255">
        <f ca="1">SUM(F14:F34)</f>
        <v>950425.16399999999</v>
      </c>
      <c r="G36" s="255">
        <f t="shared" ref="G36:X36" ca="1" si="32">SUM(G14:G34)</f>
        <v>950425.16399999999</v>
      </c>
      <c r="H36" s="255">
        <f t="shared" ca="1" si="32"/>
        <v>950425.16399999999</v>
      </c>
      <c r="I36" s="255">
        <f t="shared" ca="1" si="32"/>
        <v>950425.16399999999</v>
      </c>
      <c r="J36" s="255">
        <f t="shared" ca="1" si="32"/>
        <v>1779557.094</v>
      </c>
      <c r="K36" s="255">
        <f t="shared" ca="1" si="32"/>
        <v>5495411.9267438157</v>
      </c>
      <c r="L36" s="255">
        <f t="shared" ca="1" si="32"/>
        <v>4774719.2987566758</v>
      </c>
      <c r="M36" s="255">
        <f t="shared" ca="1" si="32"/>
        <v>10016511.842752354</v>
      </c>
      <c r="N36" s="255">
        <f t="shared" ca="1" si="32"/>
        <v>20996296.613139667</v>
      </c>
      <c r="O36" s="255">
        <f t="shared" ca="1" si="32"/>
        <v>37055755.154205337</v>
      </c>
      <c r="P36" s="255">
        <f t="shared" ca="1" si="32"/>
        <v>48065128.212387063</v>
      </c>
      <c r="Q36" s="255">
        <f t="shared" ca="1" si="32"/>
        <v>47603115.979887076</v>
      </c>
      <c r="R36" s="255">
        <f t="shared" ca="1" si="32"/>
        <v>35773742.921705313</v>
      </c>
      <c r="S36" s="255">
        <f t="shared" ca="1" si="32"/>
        <v>20534284.380639683</v>
      </c>
      <c r="T36" s="255">
        <f t="shared" ca="1" si="32"/>
        <v>9554499.6102523543</v>
      </c>
      <c r="U36" s="255">
        <f t="shared" ca="1" si="32"/>
        <v>4701478.9995900122</v>
      </c>
      <c r="V36" s="255">
        <f t="shared" ca="1" si="32"/>
        <v>3046108.7175771464</v>
      </c>
      <c r="W36" s="255">
        <f t="shared" ca="1" si="32"/>
        <v>3266645.5069333334</v>
      </c>
      <c r="X36" s="255">
        <f t="shared" ca="1" si="32"/>
        <v>2853351.4679999999</v>
      </c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6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</row>
    <row r="37" spans="1:87" s="227" customFormat="1" ht="20.25" customHeight="1">
      <c r="A37" s="227" t="s">
        <v>493</v>
      </c>
      <c r="B37" s="369">
        <f ca="1">SUM(E37:X37)</f>
        <v>95947774.101550817</v>
      </c>
      <c r="C37" s="228"/>
      <c r="D37" s="230"/>
      <c r="E37" s="228">
        <f>E36</f>
        <v>0</v>
      </c>
      <c r="F37" s="228">
        <f t="shared" ref="F37:X37" ca="1" si="33">IF(((E38+F36)&lt;=$B$38),F36,($B$38-E38))</f>
        <v>950425.16399999999</v>
      </c>
      <c r="G37" s="228">
        <f t="shared" ca="1" si="33"/>
        <v>950425.16399999999</v>
      </c>
      <c r="H37" s="228">
        <f t="shared" ca="1" si="33"/>
        <v>950425.16399999999</v>
      </c>
      <c r="I37" s="228">
        <f t="shared" ca="1" si="33"/>
        <v>950425.16399999999</v>
      </c>
      <c r="J37" s="228">
        <f t="shared" ca="1" si="33"/>
        <v>1779557.094</v>
      </c>
      <c r="K37" s="228">
        <f t="shared" ca="1" si="33"/>
        <v>5495411.9267438157</v>
      </c>
      <c r="L37" s="228">
        <f t="shared" ca="1" si="33"/>
        <v>4774719.2987566758</v>
      </c>
      <c r="M37" s="228">
        <f t="shared" ca="1" si="33"/>
        <v>10016511.842752354</v>
      </c>
      <c r="N37" s="228">
        <f t="shared" ca="1" si="33"/>
        <v>20996296.613139667</v>
      </c>
      <c r="O37" s="228">
        <f t="shared" ca="1" si="33"/>
        <v>37055755.154205337</v>
      </c>
      <c r="P37" s="228">
        <f t="shared" ca="1" si="33"/>
        <v>12027821.515952975</v>
      </c>
      <c r="Q37" s="228">
        <f t="shared" ca="1" si="33"/>
        <v>0</v>
      </c>
      <c r="R37" s="228">
        <f t="shared" ca="1" si="33"/>
        <v>0</v>
      </c>
      <c r="S37" s="228">
        <f t="shared" ca="1" si="33"/>
        <v>0</v>
      </c>
      <c r="T37" s="228">
        <f t="shared" ca="1" si="33"/>
        <v>0</v>
      </c>
      <c r="U37" s="228">
        <f t="shared" ca="1" si="33"/>
        <v>0</v>
      </c>
      <c r="V37" s="228">
        <f t="shared" ca="1" si="33"/>
        <v>0</v>
      </c>
      <c r="W37" s="228">
        <f t="shared" ca="1" si="33"/>
        <v>0</v>
      </c>
      <c r="X37" s="228">
        <f t="shared" ca="1" si="33"/>
        <v>0</v>
      </c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9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</row>
    <row r="38" spans="1:87" ht="20.25" customHeight="1">
      <c r="A38" s="207" t="s">
        <v>494</v>
      </c>
      <c r="B38" s="224">
        <f>'3-F Financial'!$D$15</f>
        <v>95947774.101550817</v>
      </c>
      <c r="C38" s="223"/>
      <c r="D38" s="223"/>
      <c r="E38" s="223">
        <f>IF(OR(E9&lt;$E$4,E9&gt;$L$4),0,IF(SUM($E$37:E37)&lt;=$B38,SUM($E$37:E37),$B$38))</f>
        <v>0</v>
      </c>
      <c r="F38" s="223">
        <f ca="1">IF(OR(F9&lt;$E$4,F9&gt;$L$4),0,IF(SUM($E$37:F37)&lt;=$B38,SUM($E$37:F37),$B$38))</f>
        <v>950425.16399999999</v>
      </c>
      <c r="G38" s="223">
        <f ca="1">IF(OR(G9&lt;$E$4,G9&gt;$L$4),0,IF(SUM($E$37:G37)&lt;=$B38,SUM($E$37:G37),$B$38))</f>
        <v>1900850.328</v>
      </c>
      <c r="H38" s="223">
        <f ca="1">IF(OR(H9&lt;$E$4,H9&gt;$L$4),0,IF(SUM($E$37:H37)&lt;=$B38,SUM($E$37:H37),$B$38))</f>
        <v>2851275.4920000001</v>
      </c>
      <c r="I38" s="223">
        <f ca="1">IF(OR(I9&lt;$E$4,I9&gt;$L$4),0,IF(SUM($E$37:I37)&lt;=$B38,SUM($E$37:I37),$B$38))</f>
        <v>3801700.656</v>
      </c>
      <c r="J38" s="223">
        <f ca="1">IF(OR(J9&lt;$E$4,J9&gt;$L$4),0,IF(SUM($E$37:J37)&lt;=$B38,SUM($E$37:J37),$B$38))</f>
        <v>5581257.75</v>
      </c>
      <c r="K38" s="223">
        <f ca="1">IF(OR(K9&lt;$E$4,K9&gt;$L$4),0,IF(SUM($E$37:K37)&lt;=$B38,SUM($E$37:K37),$B$38))</f>
        <v>11076669.676743817</v>
      </c>
      <c r="L38" s="223">
        <f ca="1">IF(OR(L9&lt;$E$4,L9&gt;$L$4),0,IF(SUM($E$37:L37)&lt;=$B38,SUM($E$37:L37),$B$38))</f>
        <v>15851388.975500492</v>
      </c>
      <c r="M38" s="223">
        <f ca="1">IF(OR(M9&lt;$E$4,M9&gt;$L$4),0,IF(SUM($E$37:M37)&lt;=$B38,SUM($E$37:M37),$B$38))</f>
        <v>25867900.818252847</v>
      </c>
      <c r="N38" s="223">
        <f ca="1">IF(OR(N9&lt;$E$4,N9&gt;$L$4),0,IF(SUM($E$37:N37)&lt;=$B38,SUM($E$37:N37),$B$38))</f>
        <v>46864197.431392513</v>
      </c>
      <c r="O38" s="223">
        <f ca="1">IF(OR(O9&lt;$E$4,O9&gt;$L$4),0,IF(SUM($E$37:O37)&lt;=$B38,SUM($E$37:O37),$B$38))</f>
        <v>83919952.585597843</v>
      </c>
      <c r="P38" s="223">
        <f ca="1">IF(OR(P9&lt;$E$4,P9&gt;$L$4),0,IF(SUM($E$37:P37)&lt;=$B38,SUM($E$37:P37),$B$38))</f>
        <v>95947774.101550817</v>
      </c>
      <c r="Q38" s="223">
        <f ca="1">IF(OR(Q9&lt;$E$4,Q9&gt;$L$4),0,IF(SUM($E$37:Q37)&lt;=$B38,SUM($E$37:Q37),$B$38))</f>
        <v>95947774.101550817</v>
      </c>
      <c r="R38" s="223">
        <f ca="1">IF(OR(R9&lt;$E$4,R9&gt;$L$4),0,IF(SUM($E$37:R37)&lt;=$B38,SUM($E$37:R37),$B$38))</f>
        <v>95947774.101550817</v>
      </c>
      <c r="S38" s="223">
        <f ca="1">IF(OR(S9&lt;$E$4,S9&gt;$L$4),0,IF(SUM($E$37:S37)&lt;=$B38,SUM($E$37:S37),$B$38))</f>
        <v>95947774.101550817</v>
      </c>
      <c r="T38" s="223">
        <f ca="1">IF(OR(T9&lt;$E$4,T9&gt;$L$4),0,IF(SUM($E$37:T37)&lt;=$B38,SUM($E$37:T37),$B$38))</f>
        <v>95947774.101550817</v>
      </c>
      <c r="U38" s="223">
        <f ca="1">IF(OR(U9&lt;$E$4,U9&gt;$L$4),0,IF(SUM($E$37:U37)&lt;=$B38,SUM($E$37:U37),$B$38))</f>
        <v>95947774.101550817</v>
      </c>
      <c r="V38" s="223">
        <f ca="1">IF(OR(V9&lt;$E$4,V9&gt;$L$4),0,IF(SUM($E$37:V37)&lt;=$B38,SUM($E$37:V37),$B$38))</f>
        <v>95947774.101550817</v>
      </c>
      <c r="W38" s="223">
        <f ca="1">IF(OR(W9&lt;$E$4,W9&gt;$L$4),0,IF(SUM($E$37:W37)&lt;=$B38,SUM($E$37:W37),$B$38))</f>
        <v>95947774.101550817</v>
      </c>
      <c r="X38" s="223">
        <f ca="1">IF(OR(X9&lt;$E$4,X9&gt;$L$4),0,IF(SUM($E$37:X37)&lt;=$B38,SUM($E$37:X37),$B$38))</f>
        <v>95947774.101550817</v>
      </c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4"/>
      <c r="AS38" s="223"/>
      <c r="AT38" s="223"/>
      <c r="AU38" s="223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CH38" s="207"/>
      <c r="CI38" s="207"/>
    </row>
    <row r="39" spans="1:87" ht="20.25" customHeight="1">
      <c r="A39" s="207" t="s">
        <v>495</v>
      </c>
      <c r="B39" s="365">
        <f ca="1">SUM(E39:X39)</f>
        <v>163370534.281019</v>
      </c>
      <c r="C39" s="223"/>
      <c r="D39" s="223"/>
      <c r="E39" s="223">
        <f t="shared" ref="E39:X39" si="34">IF(E36&gt;E37,E36-E37,0)</f>
        <v>0</v>
      </c>
      <c r="F39" s="223">
        <f t="shared" ca="1" si="34"/>
        <v>0</v>
      </c>
      <c r="G39" s="223">
        <f t="shared" ca="1" si="34"/>
        <v>0</v>
      </c>
      <c r="H39" s="223">
        <f t="shared" ca="1" si="34"/>
        <v>0</v>
      </c>
      <c r="I39" s="223">
        <f t="shared" ca="1" si="34"/>
        <v>0</v>
      </c>
      <c r="J39" s="223">
        <f t="shared" ca="1" si="34"/>
        <v>0</v>
      </c>
      <c r="K39" s="223">
        <f t="shared" ca="1" si="34"/>
        <v>0</v>
      </c>
      <c r="L39" s="223">
        <f t="shared" ca="1" si="34"/>
        <v>0</v>
      </c>
      <c r="M39" s="223">
        <f t="shared" ca="1" si="34"/>
        <v>0</v>
      </c>
      <c r="N39" s="223">
        <f t="shared" ca="1" si="34"/>
        <v>0</v>
      </c>
      <c r="O39" s="223">
        <f t="shared" ca="1" si="34"/>
        <v>0</v>
      </c>
      <c r="P39" s="223">
        <f t="shared" ca="1" si="34"/>
        <v>36037306.696434088</v>
      </c>
      <c r="Q39" s="223">
        <f t="shared" ca="1" si="34"/>
        <v>47603115.979887076</v>
      </c>
      <c r="R39" s="223">
        <f t="shared" ca="1" si="34"/>
        <v>35773742.921705313</v>
      </c>
      <c r="S39" s="223">
        <f t="shared" ca="1" si="34"/>
        <v>20534284.380639683</v>
      </c>
      <c r="T39" s="223">
        <f t="shared" ca="1" si="34"/>
        <v>9554499.6102523543</v>
      </c>
      <c r="U39" s="223">
        <f t="shared" ca="1" si="34"/>
        <v>4701478.9995900122</v>
      </c>
      <c r="V39" s="223">
        <f t="shared" ca="1" si="34"/>
        <v>3046108.7175771464</v>
      </c>
      <c r="W39" s="223">
        <f t="shared" ca="1" si="34"/>
        <v>3266645.5069333334</v>
      </c>
      <c r="X39" s="223">
        <f t="shared" ca="1" si="34"/>
        <v>2853351.4679999999</v>
      </c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4"/>
      <c r="AS39" s="245"/>
      <c r="AT39" s="223"/>
      <c r="AU39" s="223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CH39" s="207"/>
      <c r="CI39" s="207"/>
    </row>
    <row r="40" spans="1:87" s="227" customFormat="1" ht="20.25" customHeight="1">
      <c r="A40" s="227" t="s">
        <v>496</v>
      </c>
      <c r="B40" s="229">
        <f ca="1">-B39</f>
        <v>-163370534.281019</v>
      </c>
      <c r="C40" s="228"/>
      <c r="D40" s="228"/>
      <c r="E40" s="228">
        <f>IF(E6=$K$3,$B$40,0)</f>
        <v>0</v>
      </c>
      <c r="F40" s="228">
        <f t="shared" ref="F40:X40" si="35">IF(F6=$L$3,$B$40,0)</f>
        <v>0</v>
      </c>
      <c r="G40" s="228">
        <f t="shared" si="35"/>
        <v>0</v>
      </c>
      <c r="H40" s="228">
        <f t="shared" si="35"/>
        <v>0</v>
      </c>
      <c r="I40" s="228">
        <f t="shared" si="35"/>
        <v>0</v>
      </c>
      <c r="J40" s="228">
        <f t="shared" si="35"/>
        <v>0</v>
      </c>
      <c r="K40" s="228">
        <f t="shared" si="35"/>
        <v>0</v>
      </c>
      <c r="L40" s="228">
        <f t="shared" si="35"/>
        <v>0</v>
      </c>
      <c r="M40" s="228">
        <f t="shared" si="35"/>
        <v>0</v>
      </c>
      <c r="N40" s="228">
        <f t="shared" si="35"/>
        <v>0</v>
      </c>
      <c r="O40" s="228">
        <f t="shared" si="35"/>
        <v>0</v>
      </c>
      <c r="P40" s="228">
        <f t="shared" si="35"/>
        <v>0</v>
      </c>
      <c r="Q40" s="228">
        <f t="shared" si="35"/>
        <v>0</v>
      </c>
      <c r="R40" s="228">
        <f t="shared" si="35"/>
        <v>0</v>
      </c>
      <c r="S40" s="228">
        <f t="shared" si="35"/>
        <v>0</v>
      </c>
      <c r="T40" s="228">
        <f t="shared" si="35"/>
        <v>0</v>
      </c>
      <c r="U40" s="228">
        <f t="shared" si="35"/>
        <v>0</v>
      </c>
      <c r="V40" s="228">
        <f t="shared" si="35"/>
        <v>0</v>
      </c>
      <c r="W40" s="228">
        <f t="shared" si="35"/>
        <v>0</v>
      </c>
      <c r="X40" s="228">
        <f t="shared" ca="1" si="35"/>
        <v>-163370534.281019</v>
      </c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9"/>
      <c r="AS40" s="228"/>
      <c r="AT40" s="228"/>
      <c r="AU40" s="228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</row>
    <row r="41" spans="1:87" s="366" customFormat="1" ht="20.25" customHeight="1">
      <c r="A41" s="371" t="s">
        <v>497</v>
      </c>
      <c r="B41" s="372">
        <f>'3-F Financial'!$D$9</f>
        <v>0</v>
      </c>
      <c r="C41" s="373"/>
      <c r="D41" s="373"/>
      <c r="E41" s="373">
        <f t="shared" ref="E41:X41" si="36">IF(E6=$L$3,$B41,0)</f>
        <v>0</v>
      </c>
      <c r="F41" s="373">
        <f t="shared" si="36"/>
        <v>0</v>
      </c>
      <c r="G41" s="373">
        <f t="shared" si="36"/>
        <v>0</v>
      </c>
      <c r="H41" s="373">
        <f t="shared" si="36"/>
        <v>0</v>
      </c>
      <c r="I41" s="373">
        <f t="shared" si="36"/>
        <v>0</v>
      </c>
      <c r="J41" s="373">
        <f t="shared" si="36"/>
        <v>0</v>
      </c>
      <c r="K41" s="373">
        <f t="shared" si="36"/>
        <v>0</v>
      </c>
      <c r="L41" s="373">
        <f t="shared" si="36"/>
        <v>0</v>
      </c>
      <c r="M41" s="373">
        <f t="shared" si="36"/>
        <v>0</v>
      </c>
      <c r="N41" s="373">
        <f t="shared" si="36"/>
        <v>0</v>
      </c>
      <c r="O41" s="373">
        <f t="shared" si="36"/>
        <v>0</v>
      </c>
      <c r="P41" s="373">
        <f t="shared" si="36"/>
        <v>0</v>
      </c>
      <c r="Q41" s="373">
        <f t="shared" si="36"/>
        <v>0</v>
      </c>
      <c r="R41" s="373">
        <f t="shared" si="36"/>
        <v>0</v>
      </c>
      <c r="S41" s="373">
        <f t="shared" si="36"/>
        <v>0</v>
      </c>
      <c r="T41" s="373">
        <f t="shared" si="36"/>
        <v>0</v>
      </c>
      <c r="U41" s="373">
        <f t="shared" si="36"/>
        <v>0</v>
      </c>
      <c r="V41" s="373">
        <f t="shared" si="36"/>
        <v>0</v>
      </c>
      <c r="W41" s="373">
        <f t="shared" si="36"/>
        <v>0</v>
      </c>
      <c r="X41" s="373">
        <f t="shared" si="36"/>
        <v>0</v>
      </c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2"/>
      <c r="AS41" s="373"/>
      <c r="AT41" s="373"/>
      <c r="AU41" s="373"/>
      <c r="AV41" s="374"/>
      <c r="AW41" s="374"/>
      <c r="AX41" s="374"/>
      <c r="AY41" s="374"/>
      <c r="AZ41" s="374"/>
      <c r="BA41" s="374"/>
      <c r="BB41" s="374"/>
      <c r="BC41" s="374"/>
      <c r="BD41" s="374"/>
      <c r="BE41" s="374"/>
      <c r="BF41" s="374"/>
      <c r="BG41" s="374"/>
      <c r="BH41" s="374"/>
      <c r="BI41" s="374"/>
      <c r="BJ41" s="374"/>
      <c r="BK41" s="374"/>
      <c r="BL41" s="374"/>
      <c r="BM41" s="374"/>
      <c r="BN41" s="374"/>
      <c r="BO41" s="374"/>
      <c r="BP41" s="374"/>
      <c r="BQ41" s="374"/>
      <c r="BR41" s="374"/>
      <c r="BS41" s="374"/>
      <c r="BT41" s="374"/>
      <c r="BU41" s="374"/>
      <c r="BV41" s="371"/>
      <c r="BW41" s="371"/>
      <c r="BX41" s="371"/>
      <c r="BY41" s="371"/>
      <c r="BZ41" s="371"/>
      <c r="CA41" s="371"/>
      <c r="CB41" s="371"/>
      <c r="CC41" s="371"/>
      <c r="CD41" s="371"/>
      <c r="CE41" s="371"/>
      <c r="CF41" s="371"/>
      <c r="CG41" s="371"/>
      <c r="CH41" s="371"/>
      <c r="CI41" s="371"/>
    </row>
    <row r="42" spans="1:87" s="488" customFormat="1" ht="20.25" customHeight="1">
      <c r="A42" s="1092" t="s">
        <v>498</v>
      </c>
      <c r="B42" s="838">
        <f ca="1">SUM(E42:AR42)</f>
        <v>171960285.57741633</v>
      </c>
      <c r="C42" s="1095"/>
      <c r="D42" s="1095"/>
      <c r="E42" s="1095">
        <f ca="1">IF(E41&gt;$B$39,0,IF('3-F Financial'!$D$11="NO",IF(E6&lt;&gt;$L$3,0,'3-F Amortization'!$E$4),IF(E6=$L$3,'3-F Amortization'!$E$4,0)))</f>
        <v>0</v>
      </c>
      <c r="F42" s="1095">
        <f ca="1">IF(F41&gt;$B$39,0,IF('3-F Financial'!$D$11="NO",IF(F6&lt;&gt;$L$3,0,'3-F Amortization'!$E$4),IF(F6=$L$3,'3-F Amortization'!$E$4,0)))</f>
        <v>0</v>
      </c>
      <c r="G42" s="1095">
        <f ca="1">IF(G41&gt;$B$39,0,IF('3-F Financial'!$D$11="NO",IF(G6&lt;&gt;$L$3,0,'3-F Amortization'!$E$4),IF(G6=$L$3,'3-F Amortization'!$E$4,0)))</f>
        <v>0</v>
      </c>
      <c r="H42" s="1095">
        <f ca="1">IF(H41&gt;$B$39,0,IF('3-F Financial'!$D$11="NO",IF(H6&lt;&gt;$L$3,0,'3-F Amortization'!$E$4),IF(H6=$L$3,'3-F Amortization'!$E$4,0)))</f>
        <v>0</v>
      </c>
      <c r="I42" s="1095">
        <f ca="1">IF(I41&gt;$B$39,0,IF('3-F Financial'!$D$11="NO",IF(I6&lt;&gt;$L$3,0,'3-F Amortization'!$E$4),IF(I6=$L$3,'3-F Amortization'!$E$4,0)))</f>
        <v>0</v>
      </c>
      <c r="J42" s="1095">
        <f ca="1">IF(J41&gt;$B$39,0,IF('3-F Financial'!$D$11="NO",IF(J6&lt;&gt;$L$3,0,'3-F Amortization'!$E$4),IF(J6=$L$3,'3-F Amortization'!$E$4,0)))</f>
        <v>0</v>
      </c>
      <c r="K42" s="1095">
        <f ca="1">IF(K41&gt;$B$39,0,IF('3-F Financial'!$D$11="NO",IF(K6&lt;&gt;$L$3,0,'3-F Amortization'!$E$4),IF(K6=$L$3,'3-F Amortization'!$E$4,0)))</f>
        <v>0</v>
      </c>
      <c r="L42" s="1095">
        <f ca="1">IF(L41&gt;$B$39,0,IF('3-F Financial'!$D$11="NO",IF(L6&lt;&gt;$L$3,0,'3-F Amortization'!$E$4),IF(L6=$L$3,'3-F Amortization'!$E$4,0)))</f>
        <v>0</v>
      </c>
      <c r="M42" s="1095">
        <f ca="1">IF(M41&gt;$B$39,0,IF('3-F Financial'!$D$11="NO",IF(M6&lt;&gt;$L$3,0,'3-F Amortization'!$E$4),IF(M6=$L$3,'3-F Amortization'!$E$4,0)))</f>
        <v>0</v>
      </c>
      <c r="N42" s="1095">
        <f ca="1">IF(N41&gt;$B$39,0,IF('3-F Financial'!$D$11="NO",IF(N6&lt;&gt;$L$3,0,'3-F Amortization'!$E$4),IF(N6=$L$3,'3-F Amortization'!$E$4,0)))</f>
        <v>0</v>
      </c>
      <c r="O42" s="1095">
        <f ca="1">IF(O41&gt;$B$39,0,IF('3-F Financial'!$D$11="NO",IF(O6&lt;&gt;$L$3,0,'3-F Amortization'!$E$4),IF(O6=$L$3,'3-F Amortization'!$E$4,0)))</f>
        <v>0</v>
      </c>
      <c r="P42" s="1095">
        <f ca="1">IF(P41&gt;$B$39,0,IF('3-F Financial'!$D$11="NO",IF(P6&lt;&gt;$L$3,0,'3-F Amortization'!$E$4),IF(P6=$L$3,'3-F Amortization'!$E$4,0)))</f>
        <v>0</v>
      </c>
      <c r="Q42" s="1095">
        <f ca="1">IF(Q41&gt;$B$39,0,IF('3-F Financial'!$D$11="NO",IF(Q6&lt;&gt;$L$3,0,'3-F Amortization'!$E$4),IF(Q6=$L$3,'3-F Amortization'!$E$4,0)))</f>
        <v>0</v>
      </c>
      <c r="R42" s="1095">
        <f ca="1">IF(R41&gt;$B$39,0,IF('3-F Financial'!$D$11="NO",IF(R6&lt;&gt;$L$3,0,'3-F Amortization'!$E$4),IF(R6=$L$3,'3-F Amortization'!$E$4,0)))</f>
        <v>0</v>
      </c>
      <c r="S42" s="1095">
        <f ca="1">IF(S41&gt;$B$39,0,IF('3-F Financial'!$D$11="NO",IF(S6&lt;&gt;$L$3,0,'3-F Amortization'!$E$4),IF(S6=$L$3,'3-F Amortization'!$E$4,0)))</f>
        <v>0</v>
      </c>
      <c r="T42" s="1095">
        <f ca="1">IF(T41&gt;$B$39,0,IF('3-F Financial'!$D$11="NO",IF(T6&lt;&gt;$L$3,0,'3-F Amortization'!$E$4),IF(T6=$L$3,'3-F Amortization'!$E$4,0)))</f>
        <v>0</v>
      </c>
      <c r="U42" s="1095">
        <f ca="1">IF(U41&gt;$B$39,0,IF('3-F Financial'!$D$11="NO",IF(U6&lt;&gt;$L$3,0,'3-F Amortization'!$E$4),IF(U6=$L$3,'3-F Amortization'!$E$4,0)))</f>
        <v>0</v>
      </c>
      <c r="V42" s="1095">
        <f ca="1">IF(V41&gt;$B$39,0,IF('3-F Financial'!$D$11="NO",IF(V6&lt;&gt;$L$3,0,'3-F Amortization'!$E$4),IF(V6=$L$3,'3-F Amortization'!$E$4,0)))</f>
        <v>0</v>
      </c>
      <c r="W42" s="1095">
        <f ca="1">IF(W41&gt;$B$39,0,IF('3-F Financial'!$D$11="NO",IF(W6&lt;&gt;$L$3,0,'3-F Amortization'!$E$4),IF(W6=$L$3,'3-F Amortization'!$E$4,0)))</f>
        <v>0</v>
      </c>
      <c r="X42" s="1095">
        <f ca="1">IF(X41&gt;$B$39,0,IF('3-F Financial'!$D$11="NO",IF(X6&lt;&gt;$L$3,0,'3-F Amortization'!$E$4),IF(X6=$L$3,'3-F Amortization'!$E$4,0)))</f>
        <v>171960285.57741633</v>
      </c>
      <c r="Y42" s="1095"/>
      <c r="Z42" s="1095"/>
      <c r="AA42" s="1095"/>
      <c r="AB42" s="1095"/>
      <c r="AC42" s="1095"/>
      <c r="AD42" s="1095"/>
      <c r="AE42" s="1095"/>
      <c r="AF42" s="1095"/>
      <c r="AG42" s="1095"/>
      <c r="AH42" s="1095"/>
      <c r="AI42" s="1095"/>
      <c r="AJ42" s="1095"/>
      <c r="AK42" s="1095"/>
      <c r="AL42" s="1095"/>
      <c r="AM42" s="1095"/>
      <c r="AN42" s="1095"/>
      <c r="AO42" s="1095"/>
      <c r="AP42" s="1095"/>
      <c r="AQ42" s="1095"/>
      <c r="AR42" s="764"/>
      <c r="AS42" s="1095"/>
      <c r="AT42" s="1095"/>
      <c r="AU42" s="1095"/>
      <c r="AV42" s="1093"/>
      <c r="AW42" s="1093"/>
      <c r="AX42" s="1093"/>
      <c r="AY42" s="1093"/>
      <c r="AZ42" s="1093"/>
      <c r="BA42" s="1093"/>
      <c r="BB42" s="1093"/>
      <c r="BC42" s="1093"/>
      <c r="BD42" s="1093"/>
      <c r="BE42" s="1093"/>
      <c r="BF42" s="1093"/>
      <c r="BG42" s="1093"/>
      <c r="BH42" s="1093"/>
      <c r="BI42" s="1093"/>
      <c r="BJ42" s="1093"/>
      <c r="BK42" s="1093"/>
      <c r="BL42" s="1093"/>
      <c r="BM42" s="1093"/>
      <c r="BN42" s="1093"/>
      <c r="BO42" s="1093"/>
      <c r="BP42" s="1093"/>
      <c r="BQ42" s="1093"/>
      <c r="BR42" s="1093"/>
      <c r="BS42" s="1093"/>
      <c r="BT42" s="1093"/>
      <c r="BU42" s="1093"/>
      <c r="BV42" s="1092"/>
      <c r="BW42" s="1092"/>
      <c r="BX42" s="1092"/>
      <c r="BY42" s="1092"/>
      <c r="BZ42" s="1092"/>
      <c r="CA42" s="1092"/>
      <c r="CB42" s="1092"/>
      <c r="CC42" s="1092"/>
      <c r="CD42" s="1092"/>
      <c r="CE42" s="1092"/>
      <c r="CF42" s="1092"/>
      <c r="CG42" s="1092"/>
      <c r="CH42" s="1092"/>
      <c r="CI42" s="1092"/>
    </row>
    <row r="43" spans="1:87" ht="20.25" customHeight="1">
      <c r="A43" s="207" t="s">
        <v>517</v>
      </c>
      <c r="B43" s="224">
        <f ca="1">SUM(E43:AR43)</f>
        <v>-859801.42788708163</v>
      </c>
      <c r="C43" s="223"/>
      <c r="D43" s="223"/>
      <c r="E43" s="223">
        <f ca="1">IF(E42&gt;0,-'3-F Amortization'!$F$11,0)</f>
        <v>0</v>
      </c>
      <c r="F43" s="223">
        <f ca="1">IF(F42&gt;0,-'3-F Amortization'!$F$11,0)</f>
        <v>0</v>
      </c>
      <c r="G43" s="223">
        <f ca="1">IF(G42&gt;0,-'3-F Amortization'!$F$11,0)</f>
        <v>0</v>
      </c>
      <c r="H43" s="223">
        <f ca="1">IF(H42&gt;0,-'3-F Amortization'!$F$11,0)</f>
        <v>0</v>
      </c>
      <c r="I43" s="223">
        <f ca="1">IF(I42&gt;0,-'3-F Amortization'!$F$11,0)</f>
        <v>0</v>
      </c>
      <c r="J43" s="223">
        <f ca="1">IF(J42&gt;0,-'3-F Amortization'!$F$11,0)</f>
        <v>0</v>
      </c>
      <c r="K43" s="223">
        <f ca="1">IF(K42&gt;0,-'3-F Amortization'!$F$11,0)</f>
        <v>0</v>
      </c>
      <c r="L43" s="223">
        <f ca="1">IF(L42&gt;0,-'3-F Amortization'!$F$11,0)</f>
        <v>0</v>
      </c>
      <c r="M43" s="223">
        <f ca="1">IF(M42&gt;0,-'3-F Amortization'!$F$11,0)</f>
        <v>0</v>
      </c>
      <c r="N43" s="223">
        <f ca="1">IF(N42&gt;0,-'3-F Amortization'!$F$11,0)</f>
        <v>0</v>
      </c>
      <c r="O43" s="223">
        <f ca="1">IF(O42&gt;0,-'3-F Amortization'!$F$11,0)</f>
        <v>0</v>
      </c>
      <c r="P43" s="223">
        <f ca="1">IF(P42&gt;0,-'3-F Amortization'!$F$11,0)</f>
        <v>0</v>
      </c>
      <c r="Q43" s="223">
        <f ca="1">IF(Q42&gt;0,-'3-F Amortization'!$F$11,0)</f>
        <v>0</v>
      </c>
      <c r="R43" s="223">
        <f ca="1">IF(R42&gt;0,-'3-F Amortization'!$F$11,0)</f>
        <v>0</v>
      </c>
      <c r="S43" s="223">
        <f ca="1">IF(S42&gt;0,-'3-F Amortization'!$F$11,0)</f>
        <v>0</v>
      </c>
      <c r="T43" s="223">
        <f ca="1">IF(T42&gt;0,-'3-F Amortization'!$F$11,0)</f>
        <v>0</v>
      </c>
      <c r="U43" s="223">
        <f ca="1">IF(U42&gt;0,-'3-F Amortization'!$F$11,0)</f>
        <v>0</v>
      </c>
      <c r="V43" s="223">
        <f ca="1">IF(V42&gt;0,-'3-F Amortization'!$F$11,0)</f>
        <v>0</v>
      </c>
      <c r="W43" s="223">
        <f ca="1">IF(W42&gt;0,-'3-F Amortization'!$F$11,0)</f>
        <v>0</v>
      </c>
      <c r="X43" s="223">
        <f ca="1">IF(X42&gt;0,-'3-F Amortization'!$F$11,0)</f>
        <v>-859801.42788708163</v>
      </c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4"/>
      <c r="AS43" s="223"/>
      <c r="AT43" s="223"/>
      <c r="AU43" s="223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CH43" s="207"/>
      <c r="CI43" s="207"/>
    </row>
    <row r="44" spans="1:87" s="227" customFormat="1" ht="20.25" customHeight="1">
      <c r="A44" s="227" t="s">
        <v>499</v>
      </c>
      <c r="B44" s="369">
        <f ca="1">SUM(E44:AR44)</f>
        <v>7729949.8685102463</v>
      </c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>
        <f ca="1">X40+X41+X42+X43</f>
        <v>7729949.8685102463</v>
      </c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9"/>
      <c r="AS44" s="228"/>
      <c r="AT44" s="228"/>
      <c r="AU44" s="228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</row>
    <row r="45" spans="1:87" s="227" customFormat="1" ht="20.25" customHeight="1">
      <c r="A45" s="227" t="s">
        <v>500</v>
      </c>
      <c r="B45" s="369">
        <f>SUM(E45:AR45)</f>
        <v>78283469.894998208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>
        <f>'3-F Financial'!$D$5*(1+'3-F Financial'!$D$7)^(Y5-1)/4</f>
        <v>3649602.2404000005</v>
      </c>
      <c r="Z45" s="228">
        <f>'3-F Financial'!$D$5*(1+'3-F Financial'!$D$7)^(Z5-1)/4</f>
        <v>3649602.2404000005</v>
      </c>
      <c r="AA45" s="228">
        <f>'3-F Financial'!$D$5*(1+'3-F Financial'!$D$7)^(AA5-1)/4</f>
        <v>3649602.2404000005</v>
      </c>
      <c r="AB45" s="228">
        <f>'3-F Financial'!$D$5*(1+'3-F Financial'!$D$7)^(AB5-1)/4</f>
        <v>3649602.2404000005</v>
      </c>
      <c r="AC45" s="228">
        <f>'3-F Financial'!$D$5*(1+'3-F Financial'!$D$7)^(AC5-1)/4</f>
        <v>3777338.3188140001</v>
      </c>
      <c r="AD45" s="228">
        <f>'3-F Financial'!$D$5*(1+'3-F Financial'!$D$7)^(AD5-1)/4</f>
        <v>3777338.3188140001</v>
      </c>
      <c r="AE45" s="228">
        <f>'3-F Financial'!$D$5*(1+'3-F Financial'!$D$7)^(AE5-1)/4</f>
        <v>3777338.3188140001</v>
      </c>
      <c r="AF45" s="228">
        <f>'3-F Financial'!$D$5*(1+'3-F Financial'!$D$7)^(AF5-1)/4</f>
        <v>3777338.3188140001</v>
      </c>
      <c r="AG45" s="228">
        <f>'3-F Financial'!$D$5*(1+'3-F Financial'!$D$7)^(AG5-1)/4</f>
        <v>3909545.1599724898</v>
      </c>
      <c r="AH45" s="228">
        <f>'3-F Financial'!$D$5*(1+'3-F Financial'!$D$7)^(AH5-1)/4</f>
        <v>3909545.1599724898</v>
      </c>
      <c r="AI45" s="228">
        <f>'3-F Financial'!$D$5*(1+'3-F Financial'!$D$7)^(AI5-1)/4</f>
        <v>3909545.1599724898</v>
      </c>
      <c r="AJ45" s="228">
        <f>'3-F Financial'!$D$5*(1+'3-F Financial'!$D$7)^(AJ5-1)/4</f>
        <v>3909545.1599724898</v>
      </c>
      <c r="AK45" s="228">
        <f>'3-F Financial'!$D$5*(1+'3-F Financial'!$D$7)^(AK5-1)/4</f>
        <v>4046379.2405715268</v>
      </c>
      <c r="AL45" s="228">
        <f>'3-F Financial'!$D$5*(1+'3-F Financial'!$D$7)^(AL5-1)/4</f>
        <v>4046379.2405715268</v>
      </c>
      <c r="AM45" s="228">
        <f>'3-F Financial'!$D$5*(1+'3-F Financial'!$D$7)^(AM5-1)/4</f>
        <v>4046379.2405715268</v>
      </c>
      <c r="AN45" s="228">
        <f>'3-F Financial'!$D$5*(1+'3-F Financial'!$D$7)^(AN5-1)/4</f>
        <v>4046379.2405715268</v>
      </c>
      <c r="AO45" s="228">
        <f>'3-F Financial'!$D$5*(1+'3-F Financial'!$D$7)^(AO5-1)/4</f>
        <v>4188002.5139915301</v>
      </c>
      <c r="AP45" s="228">
        <f>'3-F Financial'!$D$5*(1+'3-F Financial'!$D$7)^(AP5-1)/4</f>
        <v>4188002.5139915301</v>
      </c>
      <c r="AQ45" s="228">
        <f>'3-F Financial'!$D$5*(1+'3-F Financial'!$D$7)^(AQ5-1)/4</f>
        <v>4188002.5139915301</v>
      </c>
      <c r="AR45" s="229">
        <f>'3-F Financial'!$D$5*(1+'3-F Financial'!$D$7)^(AR5-1)/4</f>
        <v>4188002.5139915301</v>
      </c>
      <c r="AS45" s="228"/>
      <c r="AT45" s="228"/>
      <c r="AU45" s="228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  <c r="BH45" s="230"/>
      <c r="BI45" s="230"/>
      <c r="BJ45" s="230"/>
      <c r="BK45" s="230"/>
      <c r="BL45" s="230"/>
      <c r="BM45" s="230"/>
      <c r="BN45" s="230"/>
      <c r="BO45" s="230"/>
      <c r="BP45" s="230"/>
      <c r="BQ45" s="230"/>
      <c r="BR45" s="230"/>
      <c r="BS45" s="230"/>
      <c r="BT45" s="230"/>
      <c r="BU45" s="230"/>
    </row>
    <row r="46" spans="1:87" ht="20.25" customHeight="1">
      <c r="A46" s="207" t="s">
        <v>501</v>
      </c>
      <c r="B46" s="224">
        <f>SUM(E46:AR46)</f>
        <v>-58056366.844347179</v>
      </c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 cm="1">
        <f t="array" ref="Y46">INDEX('3-F Amortization'!$J$4:$J$23,MATCH(1,('3-F Amortization'!$I$4:$I$23=Y7)*('3-F Amortization'!$H$4:$H$23=Y5),0),0)</f>
        <v>-2471929.1051753596</v>
      </c>
      <c r="Z46" s="223" cm="1">
        <f t="array" ref="Z46">INDEX('3-F Amortization'!$J$4:$J$23,MATCH(1,('3-F Amortization'!$I$4:$I$23=Z7)*('3-F Amortization'!$H$4:$H$23=Z5),0),0)</f>
        <v>-2471929.1051753596</v>
      </c>
      <c r="AA46" s="223" cm="1">
        <f t="array" ref="AA46">INDEX('3-F Amortization'!$J$4:$J$23,MATCH(1,('3-F Amortization'!$I$4:$I$23=AA7)*('3-F Amortization'!$H$4:$H$23=AA5),0),0)</f>
        <v>-2471929.1051753596</v>
      </c>
      <c r="AB46" s="223" cm="1">
        <f t="array" ref="AB46">INDEX('3-F Amortization'!$J$4:$J$23,MATCH(1,('3-F Amortization'!$I$4:$I$23=AB7)*('3-F Amortization'!$H$4:$H$23=AB5),0),0)</f>
        <v>-2471929.1051753596</v>
      </c>
      <c r="AC46" s="223" cm="1">
        <f t="array" ref="AC46">INDEX('3-F Amortization'!$J$4:$J$23,MATCH(1,('3-F Amortization'!$I$4:$I$23=AC7)*('3-F Amortization'!$H$4:$H$23=AC5),0),0)</f>
        <v>-3010540.6514778584</v>
      </c>
      <c r="AD46" s="223" cm="1">
        <f t="array" ref="AD46">INDEX('3-F Amortization'!$J$4:$J$23,MATCH(1,('3-F Amortization'!$I$4:$I$23=AD7)*('3-F Amortization'!$H$4:$H$23=AD5),0),0)</f>
        <v>-3010540.6514778589</v>
      </c>
      <c r="AE46" s="223" cm="1">
        <f t="array" ref="AE46">INDEX('3-F Amortization'!$J$4:$J$23,MATCH(1,('3-F Amortization'!$I$4:$I$23=AE7)*('3-F Amortization'!$H$4:$H$23=AE5),0),0)</f>
        <v>-3010540.6514778589</v>
      </c>
      <c r="AF46" s="223" cm="1">
        <f t="array" ref="AF46">INDEX('3-F Amortization'!$J$4:$J$23,MATCH(1,('3-F Amortization'!$I$4:$I$23=AF7)*('3-F Amortization'!$H$4:$H$23=AF5),0),0)</f>
        <v>-3010540.6514778584</v>
      </c>
      <c r="AG46" s="223" cm="1">
        <f t="array" ref="AG46">INDEX('3-F Amortization'!$J$4:$J$23,MATCH(1,('3-F Amortization'!$I$4:$I$23=AG7)*('3-F Amortization'!$H$4:$H$23=AG5),0),0)</f>
        <v>-3010540.6514778589</v>
      </c>
      <c r="AH46" s="223" cm="1">
        <f t="array" ref="AH46">INDEX('3-F Amortization'!$J$4:$J$23,MATCH(1,('3-F Amortization'!$I$4:$I$23=AH7)*('3-F Amortization'!$H$4:$H$23=AH5),0),0)</f>
        <v>-3010540.6514778584</v>
      </c>
      <c r="AI46" s="223" cm="1">
        <f t="array" ref="AI46">INDEX('3-F Amortization'!$J$4:$J$23,MATCH(1,('3-F Amortization'!$I$4:$I$23=AI7)*('3-F Amortization'!$H$4:$H$23=AI5),0),0)</f>
        <v>-3010540.6514778589</v>
      </c>
      <c r="AJ46" s="223" cm="1">
        <f t="array" ref="AJ46">INDEX('3-F Amortization'!$J$4:$J$23,MATCH(1,('3-F Amortization'!$I$4:$I$23=AJ7)*('3-F Amortization'!$H$4:$H$23=AJ5),0),0)</f>
        <v>-3010540.6514778584</v>
      </c>
      <c r="AK46" s="223" cm="1">
        <f t="array" ref="AK46">INDEX('3-F Amortization'!$J$4:$J$23,MATCH(1,('3-F Amortization'!$I$4:$I$23=AK7)*('3-F Amortization'!$H$4:$H$23=AK5),0),0)</f>
        <v>-3010540.6514778589</v>
      </c>
      <c r="AL46" s="223" cm="1">
        <f t="array" ref="AL46">INDEX('3-F Amortization'!$J$4:$J$23,MATCH(1,('3-F Amortization'!$I$4:$I$23=AL7)*('3-F Amortization'!$H$4:$H$23=AL5),0),0)</f>
        <v>-3010540.6514778589</v>
      </c>
      <c r="AM46" s="223" cm="1">
        <f t="array" ref="AM46">INDEX('3-F Amortization'!$J$4:$J$23,MATCH(1,('3-F Amortization'!$I$4:$I$23=AM7)*('3-F Amortization'!$H$4:$H$23=AM5),0),0)</f>
        <v>-3010540.6514778589</v>
      </c>
      <c r="AN46" s="223" cm="1">
        <f t="array" ref="AN46">INDEX('3-F Amortization'!$J$4:$J$23,MATCH(1,('3-F Amortization'!$I$4:$I$23=AN7)*('3-F Amortization'!$H$4:$H$23=AN5),0),0)</f>
        <v>-3010540.6514778589</v>
      </c>
      <c r="AO46" s="223" cm="1">
        <f t="array" ref="AO46">INDEX('3-F Amortization'!$J$4:$J$23,MATCH(1,('3-F Amortization'!$I$4:$I$23=AO7)*('3-F Amortization'!$H$4:$H$23=AO5),0),0)</f>
        <v>-3010540.6514778589</v>
      </c>
      <c r="AP46" s="223" cm="1">
        <f t="array" ref="AP46">INDEX('3-F Amortization'!$J$4:$J$23,MATCH(1,('3-F Amortization'!$I$4:$I$23=AP7)*('3-F Amortization'!$H$4:$H$23=AP5),0),0)</f>
        <v>-3010540.6514778584</v>
      </c>
      <c r="AQ46" s="223" cm="1">
        <f t="array" ref="AQ46">INDEX('3-F Amortization'!$J$4:$J$23,MATCH(1,('3-F Amortization'!$I$4:$I$23=AQ7)*('3-F Amortization'!$H$4:$H$23=AQ5),0),0)</f>
        <v>-3010540.6514778589</v>
      </c>
      <c r="AR46" s="224" cm="1">
        <f t="array" ref="AR46">INDEX('3-F Amortization'!$J$4:$J$23,MATCH(1,('3-F Amortization'!$I$4:$I$23=AR7)*('3-F Amortization'!$H$4:$H$23=AR5),0),0)</f>
        <v>-3010540.6514778584</v>
      </c>
      <c r="AS46" s="223"/>
      <c r="AT46" s="223"/>
      <c r="AU46" s="223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CH46" s="207"/>
      <c r="CI46" s="207"/>
    </row>
    <row r="47" spans="1:87" ht="20.25" customHeight="1">
      <c r="A47" s="207" t="s">
        <v>502</v>
      </c>
      <c r="B47" s="224">
        <f ca="1">-B42</f>
        <v>-171960285.57741633</v>
      </c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N47" s="223"/>
      <c r="AO47" s="223"/>
      <c r="AP47" s="223"/>
      <c r="AQ47" s="223"/>
      <c r="AR47" s="224">
        <f>-'3-F Amortization'!$E$13</f>
        <v>-162296793.87208873</v>
      </c>
      <c r="AS47" s="223"/>
      <c r="AT47" s="223"/>
      <c r="AU47" s="223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CH47" s="207"/>
      <c r="CI47" s="207"/>
    </row>
    <row r="48" spans="1:87" ht="20.25" customHeight="1">
      <c r="A48" s="207" t="s">
        <v>503</v>
      </c>
      <c r="B48" s="224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837">
        <f t="shared" ref="Y48:AR48" si="37">Y45/(-Y46)</f>
        <v>1.4764186532530414</v>
      </c>
      <c r="Z48" s="837">
        <f t="shared" si="37"/>
        <v>1.4764186532530414</v>
      </c>
      <c r="AA48" s="837">
        <f t="shared" si="37"/>
        <v>1.4764186532530414</v>
      </c>
      <c r="AB48" s="837">
        <f t="shared" si="37"/>
        <v>1.4764186532530414</v>
      </c>
      <c r="AC48" s="837">
        <f t="shared" si="37"/>
        <v>1.2547043060055425</v>
      </c>
      <c r="AD48" s="837">
        <f t="shared" si="37"/>
        <v>1.2547043060055423</v>
      </c>
      <c r="AE48" s="837">
        <f t="shared" si="37"/>
        <v>1.2547043060055423</v>
      </c>
      <c r="AF48" s="837">
        <f t="shared" si="37"/>
        <v>1.2547043060055425</v>
      </c>
      <c r="AG48" s="837">
        <f t="shared" si="37"/>
        <v>1.2986189567157362</v>
      </c>
      <c r="AH48" s="837">
        <f t="shared" si="37"/>
        <v>1.2986189567157365</v>
      </c>
      <c r="AI48" s="837">
        <f t="shared" si="37"/>
        <v>1.2986189567157362</v>
      </c>
      <c r="AJ48" s="837">
        <f t="shared" si="37"/>
        <v>1.2986189567157365</v>
      </c>
      <c r="AK48" s="837">
        <f t="shared" si="37"/>
        <v>1.3440706202007868</v>
      </c>
      <c r="AL48" s="837">
        <f t="shared" si="37"/>
        <v>1.3440706202007868</v>
      </c>
      <c r="AM48" s="837">
        <f t="shared" si="37"/>
        <v>1.3440706202007868</v>
      </c>
      <c r="AN48" s="837">
        <f t="shared" si="37"/>
        <v>1.3440706202007868</v>
      </c>
      <c r="AO48" s="837">
        <f t="shared" si="37"/>
        <v>1.3911130919078143</v>
      </c>
      <c r="AP48" s="837">
        <f t="shared" si="37"/>
        <v>1.3911130919078145</v>
      </c>
      <c r="AQ48" s="837">
        <f t="shared" si="37"/>
        <v>1.3911130919078143</v>
      </c>
      <c r="AR48" s="839">
        <f t="shared" si="37"/>
        <v>1.3911130919078145</v>
      </c>
      <c r="AS48" s="223"/>
      <c r="AT48" s="223"/>
      <c r="AU48" s="223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CH48" s="207"/>
      <c r="CI48" s="207"/>
    </row>
    <row r="49" spans="1:87" s="371" customFormat="1" ht="20.25" customHeight="1">
      <c r="A49" s="371" t="s">
        <v>504</v>
      </c>
      <c r="B49" s="372">
        <f>'3-F Financial'!$D$10</f>
        <v>390818830.85776436</v>
      </c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N49" s="373"/>
      <c r="AO49" s="373"/>
      <c r="AP49" s="373"/>
      <c r="AQ49" s="373"/>
      <c r="AR49" s="372">
        <f>B49</f>
        <v>390818830.85776436</v>
      </c>
      <c r="AS49" s="373"/>
      <c r="AT49" s="373"/>
      <c r="AU49" s="373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</row>
    <row r="50" spans="1:87" s="367" customFormat="1" ht="20.25" customHeight="1">
      <c r="A50" s="1092" t="s">
        <v>505</v>
      </c>
      <c r="B50" s="224">
        <f ca="1">SUM(E50:AR50)</f>
        <v>256479089.90483686</v>
      </c>
      <c r="C50" s="1095"/>
      <c r="D50" s="1095"/>
      <c r="E50" s="1095"/>
      <c r="F50" s="1095"/>
      <c r="G50" s="1095"/>
      <c r="H50" s="1095"/>
      <c r="I50" s="1095"/>
      <c r="J50" s="1095"/>
      <c r="K50" s="1095"/>
      <c r="L50" s="1095"/>
      <c r="M50" s="1095"/>
      <c r="N50" s="1095"/>
      <c r="O50" s="1095"/>
      <c r="P50" s="1095"/>
      <c r="Q50" s="1095"/>
      <c r="R50" s="1095"/>
      <c r="S50" s="1095"/>
      <c r="T50" s="1095"/>
      <c r="U50" s="1095"/>
      <c r="V50" s="1095"/>
      <c r="W50" s="1095"/>
      <c r="X50" s="1095">
        <f ca="1">SUM(X45,X44,X46,X47,X49)</f>
        <v>7729949.8685102463</v>
      </c>
      <c r="Y50" s="1095">
        <f t="shared" ref="Y50:AR50" si="38">SUM(Y45,Y44,Y46,Y47,Y49)</f>
        <v>1177673.1352246408</v>
      </c>
      <c r="Z50" s="1095">
        <f t="shared" si="38"/>
        <v>1177673.1352246408</v>
      </c>
      <c r="AA50" s="1095">
        <f t="shared" si="38"/>
        <v>1177673.1352246408</v>
      </c>
      <c r="AB50" s="1095">
        <f t="shared" si="38"/>
        <v>1177673.1352246408</v>
      </c>
      <c r="AC50" s="1095">
        <f t="shared" si="38"/>
        <v>766797.66733614169</v>
      </c>
      <c r="AD50" s="1095">
        <f t="shared" si="38"/>
        <v>766797.66733614122</v>
      </c>
      <c r="AE50" s="1095">
        <f t="shared" si="38"/>
        <v>766797.66733614122</v>
      </c>
      <c r="AF50" s="1095">
        <f t="shared" si="38"/>
        <v>766797.66733614169</v>
      </c>
      <c r="AG50" s="1095">
        <f t="shared" si="38"/>
        <v>899004.50849463092</v>
      </c>
      <c r="AH50" s="1095">
        <f t="shared" si="38"/>
        <v>899004.50849463139</v>
      </c>
      <c r="AI50" s="1095">
        <f t="shared" si="38"/>
        <v>899004.50849463092</v>
      </c>
      <c r="AJ50" s="1095">
        <f t="shared" si="38"/>
        <v>899004.50849463139</v>
      </c>
      <c r="AK50" s="1095">
        <f t="shared" si="38"/>
        <v>1035838.5890936679</v>
      </c>
      <c r="AL50" s="1095">
        <f t="shared" si="38"/>
        <v>1035838.5890936679</v>
      </c>
      <c r="AM50" s="1095">
        <f t="shared" si="38"/>
        <v>1035838.5890936679</v>
      </c>
      <c r="AN50" s="1095">
        <f t="shared" si="38"/>
        <v>1035838.5890936679</v>
      </c>
      <c r="AO50" s="1095">
        <f t="shared" si="38"/>
        <v>1177461.8625136712</v>
      </c>
      <c r="AP50" s="1095">
        <f t="shared" si="38"/>
        <v>1177461.8625136716</v>
      </c>
      <c r="AQ50" s="1095">
        <f t="shared" si="38"/>
        <v>1177461.8625136712</v>
      </c>
      <c r="AR50" s="764">
        <f t="shared" si="38"/>
        <v>229699498.84818929</v>
      </c>
      <c r="AS50" s="1095"/>
      <c r="AT50" s="1095"/>
      <c r="AU50" s="1095"/>
      <c r="AV50" s="1093"/>
      <c r="AW50" s="1093"/>
      <c r="AX50" s="1093"/>
      <c r="AY50" s="1093"/>
      <c r="AZ50" s="1093"/>
      <c r="BA50" s="1093"/>
      <c r="BB50" s="1093"/>
      <c r="BC50" s="1093"/>
      <c r="BD50" s="1093"/>
      <c r="BE50" s="1093"/>
      <c r="BF50" s="1093"/>
      <c r="BG50" s="1093"/>
      <c r="BH50" s="1093"/>
      <c r="BI50" s="1093"/>
      <c r="BJ50" s="1093"/>
      <c r="BK50" s="1093"/>
      <c r="BL50" s="1093"/>
      <c r="BM50" s="1093"/>
      <c r="BN50" s="1093"/>
      <c r="BO50" s="1093"/>
      <c r="BP50" s="1093"/>
      <c r="BQ50" s="1093"/>
      <c r="BR50" s="1093"/>
      <c r="BS50" s="1093"/>
      <c r="BT50" s="1093"/>
      <c r="BU50" s="1093"/>
      <c r="BV50" s="1092"/>
      <c r="BW50" s="1092"/>
      <c r="BX50" s="1092"/>
      <c r="BY50" s="1092"/>
      <c r="BZ50" s="1092"/>
      <c r="CA50" s="1092"/>
      <c r="CB50" s="1092"/>
      <c r="CC50" s="1092"/>
      <c r="CD50" s="1092"/>
      <c r="CE50" s="1092"/>
      <c r="CF50" s="1092"/>
      <c r="CG50" s="1092"/>
      <c r="CH50" s="1092"/>
      <c r="CI50" s="1092"/>
    </row>
    <row r="51" spans="1:87" ht="20.25" customHeight="1">
      <c r="B51" s="224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4"/>
      <c r="AS51" s="223"/>
      <c r="AT51" s="223"/>
      <c r="AU51" s="223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CH51" s="207"/>
      <c r="CI51" s="207"/>
    </row>
    <row r="52" spans="1:87" s="238" customFormat="1" ht="20.25" customHeight="1">
      <c r="A52" s="241" t="s">
        <v>506</v>
      </c>
      <c r="B52" s="253"/>
      <c r="C52" s="242"/>
      <c r="D52" s="242"/>
      <c r="E52" s="242"/>
      <c r="F52" s="242"/>
      <c r="G52" s="242"/>
      <c r="H52" s="242"/>
      <c r="I52" s="242"/>
      <c r="J52" s="242"/>
      <c r="K52" s="243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4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T52" s="239"/>
      <c r="BU52" s="239"/>
    </row>
    <row r="53" spans="1:87" ht="20.25" customHeight="1">
      <c r="A53" s="207" t="s">
        <v>507</v>
      </c>
      <c r="B53" s="224">
        <f ca="1">SUM(F53:AR53)</f>
        <v>209783992.37019277</v>
      </c>
      <c r="C53" s="223"/>
      <c r="D53" s="223"/>
      <c r="E53" s="223">
        <f t="shared" ref="E53:AR53" si="39">SUM(-E36,E45,E49)</f>
        <v>0</v>
      </c>
      <c r="F53" s="223">
        <f t="shared" ca="1" si="39"/>
        <v>-950425.16399999999</v>
      </c>
      <c r="G53" s="223">
        <f t="shared" ca="1" si="39"/>
        <v>-950425.16399999999</v>
      </c>
      <c r="H53" s="223">
        <f t="shared" ca="1" si="39"/>
        <v>-950425.16399999999</v>
      </c>
      <c r="I53" s="223">
        <f t="shared" ca="1" si="39"/>
        <v>-950425.16399999999</v>
      </c>
      <c r="J53" s="223">
        <f t="shared" ca="1" si="39"/>
        <v>-1779557.094</v>
      </c>
      <c r="K53" s="223">
        <f t="shared" ca="1" si="39"/>
        <v>-5495411.9267438157</v>
      </c>
      <c r="L53" s="223">
        <f t="shared" ca="1" si="39"/>
        <v>-4774719.2987566758</v>
      </c>
      <c r="M53" s="223">
        <f t="shared" ca="1" si="39"/>
        <v>-10016511.842752354</v>
      </c>
      <c r="N53" s="223">
        <f t="shared" ca="1" si="39"/>
        <v>-20996296.613139667</v>
      </c>
      <c r="O53" s="223">
        <f t="shared" ca="1" si="39"/>
        <v>-37055755.154205337</v>
      </c>
      <c r="P53" s="223">
        <f t="shared" ca="1" si="39"/>
        <v>-48065128.212387063</v>
      </c>
      <c r="Q53" s="223">
        <f t="shared" ca="1" si="39"/>
        <v>-47603115.979887076</v>
      </c>
      <c r="R53" s="223">
        <f t="shared" ca="1" si="39"/>
        <v>-35773742.921705313</v>
      </c>
      <c r="S53" s="223">
        <f t="shared" ca="1" si="39"/>
        <v>-20534284.380639683</v>
      </c>
      <c r="T53" s="223">
        <f t="shared" ca="1" si="39"/>
        <v>-9554499.6102523543</v>
      </c>
      <c r="U53" s="223">
        <f t="shared" ca="1" si="39"/>
        <v>-4701478.9995900122</v>
      </c>
      <c r="V53" s="223">
        <f t="shared" ca="1" si="39"/>
        <v>-3046108.7175771464</v>
      </c>
      <c r="W53" s="223">
        <f t="shared" ca="1" si="39"/>
        <v>-3266645.5069333334</v>
      </c>
      <c r="X53" s="223">
        <f t="shared" ca="1" si="39"/>
        <v>-2853351.4679999999</v>
      </c>
      <c r="Y53" s="223">
        <f t="shared" si="39"/>
        <v>3649602.2404000005</v>
      </c>
      <c r="Z53" s="223">
        <f t="shared" si="39"/>
        <v>3649602.2404000005</v>
      </c>
      <c r="AA53" s="223">
        <f t="shared" si="39"/>
        <v>3649602.2404000005</v>
      </c>
      <c r="AB53" s="223">
        <f t="shared" si="39"/>
        <v>3649602.2404000005</v>
      </c>
      <c r="AC53" s="223">
        <f t="shared" si="39"/>
        <v>3777338.3188140001</v>
      </c>
      <c r="AD53" s="223">
        <f t="shared" si="39"/>
        <v>3777338.3188140001</v>
      </c>
      <c r="AE53" s="223">
        <f t="shared" si="39"/>
        <v>3777338.3188140001</v>
      </c>
      <c r="AF53" s="223">
        <f t="shared" si="39"/>
        <v>3777338.3188140001</v>
      </c>
      <c r="AG53" s="223">
        <f t="shared" si="39"/>
        <v>3909545.1599724898</v>
      </c>
      <c r="AH53" s="223">
        <f t="shared" si="39"/>
        <v>3909545.1599724898</v>
      </c>
      <c r="AI53" s="223">
        <f t="shared" si="39"/>
        <v>3909545.1599724898</v>
      </c>
      <c r="AJ53" s="223">
        <f t="shared" si="39"/>
        <v>3909545.1599724898</v>
      </c>
      <c r="AK53" s="223">
        <f t="shared" si="39"/>
        <v>4046379.2405715268</v>
      </c>
      <c r="AL53" s="223">
        <f t="shared" si="39"/>
        <v>4046379.2405715268</v>
      </c>
      <c r="AM53" s="223">
        <f t="shared" si="39"/>
        <v>4046379.2405715268</v>
      </c>
      <c r="AN53" s="223">
        <f t="shared" si="39"/>
        <v>4046379.2405715268</v>
      </c>
      <c r="AO53" s="223">
        <f t="shared" si="39"/>
        <v>4188002.5139915301</v>
      </c>
      <c r="AP53" s="223">
        <f t="shared" si="39"/>
        <v>4188002.5139915301</v>
      </c>
      <c r="AQ53" s="223">
        <f t="shared" si="39"/>
        <v>4188002.5139915301</v>
      </c>
      <c r="AR53" s="224">
        <f t="shared" si="39"/>
        <v>395006833.3717559</v>
      </c>
      <c r="AS53" s="231"/>
      <c r="BT53" s="209"/>
      <c r="BU53" s="209"/>
      <c r="CH53" s="207"/>
      <c r="CI53" s="207"/>
    </row>
    <row r="54" spans="1:87" ht="20.25" customHeight="1">
      <c r="A54" s="207" t="s">
        <v>508</v>
      </c>
      <c r="B54" s="777">
        <f ca="1">IF(B53&lt;0,0,IRR(F53:AR53))</f>
        <v>2.3143035007848312E-2</v>
      </c>
      <c r="G54" s="223"/>
      <c r="BT54" s="209"/>
      <c r="BU54" s="209"/>
      <c r="CH54" s="207"/>
      <c r="CI54" s="207"/>
    </row>
    <row r="55" spans="1:87" ht="20.25" customHeight="1">
      <c r="A55" s="207" t="s">
        <v>509</v>
      </c>
      <c r="B55" s="368">
        <f ca="1">POWER((1+B54),4)-1</f>
        <v>9.5835608959697671E-2</v>
      </c>
      <c r="G55" s="223"/>
      <c r="BT55" s="209"/>
      <c r="BU55" s="209"/>
      <c r="CH55" s="207"/>
      <c r="CI55" s="207"/>
    </row>
    <row r="56" spans="1:87" s="238" customFormat="1" ht="20.25" customHeight="1">
      <c r="A56" s="241" t="s">
        <v>510</v>
      </c>
      <c r="B56" s="253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6"/>
      <c r="AS56" s="240"/>
      <c r="AT56" s="225"/>
      <c r="AU56" s="225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</row>
    <row r="57" spans="1:87" ht="20.25" customHeight="1">
      <c r="A57" s="207" t="s">
        <v>511</v>
      </c>
      <c r="B57" s="224">
        <f ca="1">SUM(F57:AR57)</f>
        <v>160531315.80328608</v>
      </c>
      <c r="C57" s="223"/>
      <c r="D57" s="223"/>
      <c r="E57" s="223">
        <f t="shared" ref="E57:AR57" si="40">SUM(-E37,E50)</f>
        <v>0</v>
      </c>
      <c r="F57" s="223">
        <f t="shared" ca="1" si="40"/>
        <v>-950425.16399999999</v>
      </c>
      <c r="G57" s="223">
        <f t="shared" ca="1" si="40"/>
        <v>-950425.16399999999</v>
      </c>
      <c r="H57" s="223">
        <f t="shared" ca="1" si="40"/>
        <v>-950425.16399999999</v>
      </c>
      <c r="I57" s="223">
        <f t="shared" ca="1" si="40"/>
        <v>-950425.16399999999</v>
      </c>
      <c r="J57" s="223">
        <f t="shared" ca="1" si="40"/>
        <v>-1779557.094</v>
      </c>
      <c r="K57" s="223">
        <f t="shared" ca="1" si="40"/>
        <v>-5495411.9267438157</v>
      </c>
      <c r="L57" s="223">
        <f t="shared" ca="1" si="40"/>
        <v>-4774719.2987566758</v>
      </c>
      <c r="M57" s="223">
        <f t="shared" ca="1" si="40"/>
        <v>-10016511.842752354</v>
      </c>
      <c r="N57" s="223">
        <f t="shared" ca="1" si="40"/>
        <v>-20996296.613139667</v>
      </c>
      <c r="O57" s="223">
        <f t="shared" ca="1" si="40"/>
        <v>-37055755.154205337</v>
      </c>
      <c r="P57" s="223">
        <f t="shared" ca="1" si="40"/>
        <v>-12027821.515952975</v>
      </c>
      <c r="Q57" s="223">
        <f t="shared" ca="1" si="40"/>
        <v>0</v>
      </c>
      <c r="R57" s="223">
        <f t="shared" ca="1" si="40"/>
        <v>0</v>
      </c>
      <c r="S57" s="223">
        <f t="shared" ca="1" si="40"/>
        <v>0</v>
      </c>
      <c r="T57" s="223">
        <f t="shared" ca="1" si="40"/>
        <v>0</v>
      </c>
      <c r="U57" s="223">
        <f t="shared" ca="1" si="40"/>
        <v>0</v>
      </c>
      <c r="V57" s="223">
        <f t="shared" ca="1" si="40"/>
        <v>0</v>
      </c>
      <c r="W57" s="223">
        <f t="shared" ca="1" si="40"/>
        <v>0</v>
      </c>
      <c r="X57" s="223">
        <f t="shared" ca="1" si="40"/>
        <v>7729949.8685102463</v>
      </c>
      <c r="Y57" s="223">
        <f t="shared" si="40"/>
        <v>1177673.1352246408</v>
      </c>
      <c r="Z57" s="223">
        <f t="shared" si="40"/>
        <v>1177673.1352246408</v>
      </c>
      <c r="AA57" s="223">
        <f t="shared" si="40"/>
        <v>1177673.1352246408</v>
      </c>
      <c r="AB57" s="223">
        <f t="shared" si="40"/>
        <v>1177673.1352246408</v>
      </c>
      <c r="AC57" s="223">
        <f t="shared" si="40"/>
        <v>766797.66733614169</v>
      </c>
      <c r="AD57" s="223">
        <f t="shared" si="40"/>
        <v>766797.66733614122</v>
      </c>
      <c r="AE57" s="223">
        <f t="shared" si="40"/>
        <v>766797.66733614122</v>
      </c>
      <c r="AF57" s="223">
        <f t="shared" si="40"/>
        <v>766797.66733614169</v>
      </c>
      <c r="AG57" s="223">
        <f t="shared" si="40"/>
        <v>899004.50849463092</v>
      </c>
      <c r="AH57" s="223">
        <f t="shared" si="40"/>
        <v>899004.50849463139</v>
      </c>
      <c r="AI57" s="223">
        <f t="shared" si="40"/>
        <v>899004.50849463092</v>
      </c>
      <c r="AJ57" s="223">
        <f t="shared" si="40"/>
        <v>899004.50849463139</v>
      </c>
      <c r="AK57" s="223">
        <f t="shared" si="40"/>
        <v>1035838.5890936679</v>
      </c>
      <c r="AL57" s="223">
        <f t="shared" si="40"/>
        <v>1035838.5890936679</v>
      </c>
      <c r="AM57" s="223">
        <f t="shared" si="40"/>
        <v>1035838.5890936679</v>
      </c>
      <c r="AN57" s="223">
        <f t="shared" si="40"/>
        <v>1035838.5890936679</v>
      </c>
      <c r="AO57" s="223">
        <f t="shared" si="40"/>
        <v>1177461.8625136712</v>
      </c>
      <c r="AP57" s="223">
        <f t="shared" si="40"/>
        <v>1177461.8625136716</v>
      </c>
      <c r="AQ57" s="223">
        <f t="shared" si="40"/>
        <v>1177461.8625136712</v>
      </c>
      <c r="AR57" s="224">
        <f t="shared" si="40"/>
        <v>229699498.84818929</v>
      </c>
      <c r="AS57" s="233"/>
      <c r="AT57" s="223"/>
      <c r="AU57" s="223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CH57" s="207"/>
      <c r="CI57" s="207"/>
    </row>
    <row r="58" spans="1:87" ht="20.25" customHeight="1">
      <c r="A58" s="207" t="s">
        <v>512</v>
      </c>
      <c r="B58" s="777">
        <f ca="1">IF(B57&lt;0,0,IRR(F57:AR57))</f>
        <v>3.5242227890598388E-2</v>
      </c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2"/>
      <c r="AT58" s="231"/>
      <c r="AU58" s="231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CH58" s="207"/>
      <c r="CI58" s="207"/>
    </row>
    <row r="59" spans="1:87" ht="20.25" customHeight="1">
      <c r="A59" s="207" t="s">
        <v>377</v>
      </c>
      <c r="B59" s="368">
        <f ca="1">POWER((1+B58),4)-1</f>
        <v>0.14859762737295323</v>
      </c>
      <c r="C59" s="234"/>
      <c r="D59" s="234"/>
      <c r="E59" s="234"/>
      <c r="F59" s="234"/>
      <c r="G59" s="234"/>
      <c r="H59" s="234"/>
      <c r="I59" s="234"/>
      <c r="J59" s="234"/>
      <c r="K59" s="235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6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T59" s="209"/>
      <c r="BU59" s="209"/>
      <c r="CH59" s="207"/>
      <c r="CI59" s="207"/>
    </row>
    <row r="160" spans="2:2">
      <c r="B160" s="370">
        <v>0.06</v>
      </c>
    </row>
    <row r="181" spans="1:7">
      <c r="E181" s="207">
        <f>A98</f>
        <v>0</v>
      </c>
    </row>
    <row r="182" spans="1:7">
      <c r="E182" s="207" t="s">
        <v>513</v>
      </c>
      <c r="F182" s="207" t="s">
        <v>514</v>
      </c>
    </row>
    <row r="183" spans="1:7">
      <c r="A183" s="207" t="s">
        <v>515</v>
      </c>
      <c r="B183" s="208">
        <f>IFERROR(G183/$B$100,0)</f>
        <v>0</v>
      </c>
      <c r="E183" s="207">
        <f>IFERROR(G183/$B$99,0)</f>
        <v>0</v>
      </c>
      <c r="G183" s="207">
        <f>G106</f>
        <v>0</v>
      </c>
    </row>
    <row r="184" spans="1:7">
      <c r="A184" s="207" t="s">
        <v>516</v>
      </c>
      <c r="F184" s="237">
        <f>IFERROR(G184/$B$166,0)</f>
        <v>0</v>
      </c>
      <c r="G184" s="207">
        <f>G166</f>
        <v>0</v>
      </c>
    </row>
    <row r="185" spans="1:7">
      <c r="G185" s="207">
        <f>SUM(G183:G184)</f>
        <v>0</v>
      </c>
    </row>
  </sheetData>
  <mergeCells count="6">
    <mergeCell ref="BG4:BI4"/>
    <mergeCell ref="A2:A4"/>
    <mergeCell ref="E2:G2"/>
    <mergeCell ref="H2:J2"/>
    <mergeCell ref="K2:M2"/>
    <mergeCell ref="BA4:BE4"/>
  </mergeCells>
  <conditionalFormatting sqref="C9:D10">
    <cfRule type="cellIs" dxfId="61" priority="1" operator="equal">
      <formula>#REF!</formula>
    </cfRule>
    <cfRule type="cellIs" dxfId="60" priority="2" operator="equal">
      <formula>#REF!</formula>
    </cfRule>
    <cfRule type="cellIs" dxfId="59" priority="3" operator="equal">
      <formula>#REF!</formula>
    </cfRule>
    <cfRule type="cellIs" dxfId="58" priority="4" operator="equal">
      <formula>#REF!</formula>
    </cfRule>
  </conditionalFormatting>
  <pageMargins left="0.7" right="0.7" top="0.75" bottom="0.75" header="0.3" footer="0.3"/>
  <pageSetup paperSize="3" orientation="landscape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257AA-A2B9-4863-AB8D-A9DA6D176851}">
  <dimension ref="A1:T86"/>
  <sheetViews>
    <sheetView workbookViewId="0">
      <selection activeCell="E5" sqref="E5"/>
    </sheetView>
  </sheetViews>
  <sheetFormatPr defaultRowHeight="14.45"/>
  <cols>
    <col min="2" max="2" width="2" customWidth="1"/>
    <col min="4" max="4" width="10.42578125" bestFit="1" customWidth="1"/>
    <col min="5" max="5" width="15" bestFit="1" customWidth="1"/>
    <col min="6" max="6" width="15" customWidth="1"/>
    <col min="7" max="7" width="15.7109375" bestFit="1" customWidth="1"/>
    <col min="8" max="8" width="15" bestFit="1" customWidth="1"/>
    <col min="9" max="9" width="17.140625" bestFit="1" customWidth="1"/>
    <col min="10" max="10" width="13.5703125" bestFit="1" customWidth="1"/>
    <col min="11" max="11" width="13.5703125" customWidth="1"/>
    <col min="12" max="12" width="15" bestFit="1" customWidth="1"/>
    <col min="13" max="15" width="13.5703125" bestFit="1" customWidth="1"/>
    <col min="18" max="18" width="13.5703125" bestFit="1" customWidth="1"/>
    <col min="20" max="20" width="13.5703125" bestFit="1" customWidth="1"/>
  </cols>
  <sheetData>
    <row r="1" spans="1:13">
      <c r="A1" t="s">
        <v>111</v>
      </c>
    </row>
    <row r="3" spans="1:13">
      <c r="B3" s="778" t="s">
        <v>90</v>
      </c>
      <c r="C3" s="842"/>
      <c r="D3" s="842"/>
      <c r="E3" s="914">
        <f>IFERROR(INDEX(Assumptions!$J$27:$L$36,MATCH(A1,Assumptions!$J$27:$J$36,0),3),0)</f>
        <v>0.44</v>
      </c>
      <c r="H3" s="778" t="s">
        <v>518</v>
      </c>
      <c r="I3" s="1098"/>
      <c r="J3" s="827"/>
      <c r="L3" s="804" t="s">
        <v>519</v>
      </c>
      <c r="M3" s="805"/>
    </row>
    <row r="4" spans="1:13">
      <c r="B4" s="778" t="s">
        <v>520</v>
      </c>
      <c r="C4" s="1099"/>
      <c r="D4" s="779"/>
      <c r="E4" s="780">
        <f>'3-F Financial'!$D$10*E3</f>
        <v>171960285.57741633</v>
      </c>
      <c r="F4" s="823"/>
      <c r="H4" s="832">
        <v>1</v>
      </c>
      <c r="I4" s="831">
        <v>1</v>
      </c>
      <c r="J4" s="791">
        <f>SUMIFS('3-F Amortization'!$K$26:$K$86,'3-F Amortization'!$E$26:$E$86,H4,'3-F Amortization'!$F$26:$F$86,I4)</f>
        <v>-2471929.1051753596</v>
      </c>
      <c r="L4" s="806">
        <v>1</v>
      </c>
      <c r="M4" s="791">
        <f t="shared" ref="M4:M13" si="0">SUMIF($E$26:$E$386,L4,$K$26:$K$386)</f>
        <v>-9887716.4207014386</v>
      </c>
    </row>
    <row r="5" spans="1:13">
      <c r="B5" s="1026" t="s">
        <v>521</v>
      </c>
      <c r="C5" s="781"/>
      <c r="D5" s="782"/>
      <c r="E5" s="783">
        <f>'3-F DRAW'!X9+1</f>
        <v>49218</v>
      </c>
      <c r="F5" s="824"/>
      <c r="H5" s="832">
        <v>1</v>
      </c>
      <c r="I5" s="831">
        <v>2</v>
      </c>
      <c r="J5" s="791">
        <f>SUMIFS('3-F Amortization'!$K$26:$K$86,'3-F Amortization'!$E$26:$E$86,H5,'3-F Amortization'!$F$26:$F$86,I5)</f>
        <v>-2471929.1051753596</v>
      </c>
      <c r="L5" s="806">
        <f>L4+1</f>
        <v>2</v>
      </c>
      <c r="M5" s="791">
        <f t="shared" si="0"/>
        <v>-12042162.605911437</v>
      </c>
    </row>
    <row r="6" spans="1:13">
      <c r="B6" s="1026" t="s">
        <v>522</v>
      </c>
      <c r="C6" s="781"/>
      <c r="D6" s="782"/>
      <c r="E6" s="784">
        <f>Assumptions!$L$41</f>
        <v>5</v>
      </c>
      <c r="F6" s="825"/>
      <c r="G6" s="785"/>
      <c r="H6" s="832">
        <v>1</v>
      </c>
      <c r="I6" s="831">
        <v>3</v>
      </c>
      <c r="J6" s="791">
        <f>SUMIFS('3-F Amortization'!$K$26:$K$86,'3-F Amortization'!$E$26:$E$86,H6,'3-F Amortization'!$F$26:$F$86,I6)</f>
        <v>-2471929.1051753596</v>
      </c>
      <c r="L6" s="806">
        <f t="shared" ref="L6:L13" si="1">L5+1</f>
        <v>3</v>
      </c>
      <c r="M6" s="791">
        <f t="shared" si="0"/>
        <v>-12042162.605911436</v>
      </c>
    </row>
    <row r="7" spans="1:13">
      <c r="B7" s="1026" t="s">
        <v>523</v>
      </c>
      <c r="C7" s="781"/>
      <c r="D7" s="782"/>
      <c r="E7" s="803">
        <v>360</v>
      </c>
      <c r="F7" s="826"/>
      <c r="H7" s="832">
        <v>1</v>
      </c>
      <c r="I7" s="831">
        <v>4</v>
      </c>
      <c r="J7" s="791">
        <f>SUMIFS('3-F Amortization'!$K$26:$K$86,'3-F Amortization'!$E$26:$E$86,H7,'3-F Amortization'!$F$26:$F$86,I7)</f>
        <v>-2471929.1051753596</v>
      </c>
      <c r="L7" s="806">
        <f t="shared" si="1"/>
        <v>4</v>
      </c>
      <c r="M7" s="791">
        <f t="shared" si="0"/>
        <v>-12042162.605911439</v>
      </c>
    </row>
    <row r="8" spans="1:13">
      <c r="B8" s="1026" t="s">
        <v>524</v>
      </c>
      <c r="C8" s="781"/>
      <c r="D8" s="782"/>
      <c r="E8" s="801">
        <v>1</v>
      </c>
      <c r="F8" s="786">
        <f>IF(E8="","",VLOOKUP(E8,$C$26:$D$386,2,FALSE))</f>
        <v>49248</v>
      </c>
      <c r="H8" s="832">
        <v>2</v>
      </c>
      <c r="I8" s="831">
        <v>1</v>
      </c>
      <c r="J8" s="791">
        <f>SUMIFS('3-F Amortization'!$K$26:$K$86,'3-F Amortization'!$E$26:$E$86,H8,'3-F Amortization'!$F$26:$F$86,I8)</f>
        <v>-3010540.6514778584</v>
      </c>
      <c r="L8" s="806">
        <f t="shared" si="1"/>
        <v>5</v>
      </c>
      <c r="M8" s="791">
        <f t="shared" si="0"/>
        <v>-12042162.605911437</v>
      </c>
    </row>
    <row r="9" spans="1:13">
      <c r="B9" s="1026" t="s">
        <v>525</v>
      </c>
      <c r="C9" s="781"/>
      <c r="D9" s="782"/>
      <c r="E9" s="802">
        <v>12</v>
      </c>
      <c r="F9" s="787">
        <f>IF(E9="","",VLOOKUP(E9,$C$26:$D$386,2,FALSE))</f>
        <v>49582</v>
      </c>
      <c r="H9" s="832">
        <v>2</v>
      </c>
      <c r="I9" s="831">
        <v>2</v>
      </c>
      <c r="J9" s="791">
        <f>SUMIFS('3-F Amortization'!$K$26:$K$86,'3-F Amortization'!$E$26:$E$86,H9,'3-F Amortization'!$F$26:$F$86,I9)</f>
        <v>-3010540.6514778589</v>
      </c>
      <c r="L9" s="806">
        <f t="shared" si="1"/>
        <v>6</v>
      </c>
      <c r="M9" s="791">
        <f t="shared" si="0"/>
        <v>0</v>
      </c>
    </row>
    <row r="10" spans="1:13">
      <c r="B10" s="1026" t="s">
        <v>526</v>
      </c>
      <c r="C10" s="781"/>
      <c r="D10" s="782"/>
      <c r="E10" s="788">
        <f>Assumptions!$L6</f>
        <v>5.7500000000000002E-2</v>
      </c>
      <c r="H10" s="832">
        <v>2</v>
      </c>
      <c r="I10" s="831">
        <v>3</v>
      </c>
      <c r="J10" s="791">
        <f>SUMIFS('3-F Amortization'!$K$26:$K$86,'3-F Amortization'!$E$26:$E$86,H10,'3-F Amortization'!$F$26:$F$86,I10)</f>
        <v>-3010540.6514778589</v>
      </c>
      <c r="L10" s="806">
        <f t="shared" si="1"/>
        <v>7</v>
      </c>
      <c r="M10" s="791">
        <f t="shared" si="0"/>
        <v>0</v>
      </c>
    </row>
    <row r="11" spans="1:13">
      <c r="B11" s="1026" t="s">
        <v>527</v>
      </c>
      <c r="C11" s="781"/>
      <c r="D11" s="782"/>
      <c r="E11" s="788">
        <f>Assumptions!$L7</f>
        <v>5.0000000000000001E-3</v>
      </c>
      <c r="F11" s="789">
        <f>E11*E4</f>
        <v>859801.42788708163</v>
      </c>
      <c r="H11" s="832">
        <v>2</v>
      </c>
      <c r="I11" s="831">
        <v>4</v>
      </c>
      <c r="J11" s="791">
        <f>SUMIFS('3-F Amortization'!$K$26:$K$86,'3-F Amortization'!$E$26:$E$86,H11,'3-F Amortization'!$F$26:$F$86,I11)</f>
        <v>-3010540.6514778584</v>
      </c>
      <c r="L11" s="806">
        <f t="shared" si="1"/>
        <v>8</v>
      </c>
      <c r="M11" s="791">
        <f t="shared" si="0"/>
        <v>0</v>
      </c>
    </row>
    <row r="12" spans="1:13">
      <c r="B12" s="1026" t="s">
        <v>528</v>
      </c>
      <c r="C12" s="781"/>
      <c r="D12" s="782"/>
      <c r="E12" s="1027" t="s">
        <v>529</v>
      </c>
      <c r="H12" s="832">
        <v>3</v>
      </c>
      <c r="I12" s="831">
        <v>1</v>
      </c>
      <c r="J12" s="791">
        <f>SUMIFS('3-F Amortization'!$K$26:$K$86,'3-F Amortization'!$E$26:$E$86,H12,'3-F Amortization'!$F$26:$F$86,I12)</f>
        <v>-3010540.6514778589</v>
      </c>
      <c r="L12" s="806">
        <f t="shared" si="1"/>
        <v>9</v>
      </c>
      <c r="M12" s="791">
        <f t="shared" si="0"/>
        <v>0</v>
      </c>
    </row>
    <row r="13" spans="1:13">
      <c r="B13" s="1026" t="s">
        <v>530</v>
      </c>
      <c r="C13" s="781"/>
      <c r="D13" s="782"/>
      <c r="E13" s="791">
        <f>VLOOKUP(MIN(E6*12,E14),$C$26:$L$386,10,FALSE)</f>
        <v>162296793.87208873</v>
      </c>
      <c r="H13" s="832">
        <v>3</v>
      </c>
      <c r="I13" s="831">
        <v>2</v>
      </c>
      <c r="J13" s="791">
        <f>SUMIFS('3-F Amortization'!$K$26:$K$86,'3-F Amortization'!$E$26:$E$86,H13,'3-F Amortization'!$F$26:$F$86,I13)</f>
        <v>-3010540.6514778584</v>
      </c>
      <c r="L13" s="807">
        <f t="shared" si="1"/>
        <v>10</v>
      </c>
      <c r="M13" s="808">
        <f t="shared" si="0"/>
        <v>0</v>
      </c>
    </row>
    <row r="14" spans="1:13">
      <c r="B14" s="792" t="s">
        <v>531</v>
      </c>
      <c r="C14" s="793"/>
      <c r="D14" s="794"/>
      <c r="E14" s="790">
        <f>E6*12</f>
        <v>60</v>
      </c>
      <c r="F14" s="795"/>
      <c r="H14" s="832">
        <v>3</v>
      </c>
      <c r="I14" s="831">
        <v>3</v>
      </c>
      <c r="J14" s="791">
        <f>SUMIFS('3-F Amortization'!$K$26:$K$86,'3-F Amortization'!$E$26:$E$86,H14,'3-F Amortization'!$F$26:$F$86,I14)</f>
        <v>-3010540.6514778589</v>
      </c>
      <c r="K14" s="809"/>
    </row>
    <row r="15" spans="1:13">
      <c r="H15" s="832">
        <v>3</v>
      </c>
      <c r="I15" s="831">
        <v>4</v>
      </c>
      <c r="J15" s="791">
        <f>SUMIFS('3-F Amortization'!$K$26:$K$86,'3-F Amortization'!$E$26:$E$86,H15,'3-F Amortization'!$F$26:$F$86,I15)</f>
        <v>-3010540.6514778584</v>
      </c>
      <c r="K15" s="809"/>
    </row>
    <row r="16" spans="1:13">
      <c r="H16" s="832">
        <v>4</v>
      </c>
      <c r="I16" s="831">
        <v>1</v>
      </c>
      <c r="J16" s="791">
        <f>SUMIFS('3-F Amortization'!$K$26:$K$86,'3-F Amortization'!$E$26:$E$86,H16,'3-F Amortization'!$F$26:$F$86,I16)</f>
        <v>-3010540.6514778589</v>
      </c>
      <c r="K16" s="809"/>
    </row>
    <row r="17" spans="3:20">
      <c r="H17" s="832">
        <v>4</v>
      </c>
      <c r="I17" s="831">
        <v>2</v>
      </c>
      <c r="J17" s="791">
        <f>SUMIFS('3-F Amortization'!$K$26:$K$86,'3-F Amortization'!$E$26:$E$86,H17,'3-F Amortization'!$F$26:$F$86,I17)</f>
        <v>-3010540.6514778589</v>
      </c>
      <c r="K17" s="809"/>
    </row>
    <row r="18" spans="3:20">
      <c r="H18" s="832">
        <v>4</v>
      </c>
      <c r="I18" s="831">
        <v>3</v>
      </c>
      <c r="J18" s="791">
        <f>SUMIFS('3-F Amortization'!$K$26:$K$86,'3-F Amortization'!$E$26:$E$86,H18,'3-F Amortization'!$F$26:$F$86,I18)</f>
        <v>-3010540.6514778589</v>
      </c>
      <c r="K18" s="809"/>
    </row>
    <row r="19" spans="3:20">
      <c r="H19" s="832">
        <v>4</v>
      </c>
      <c r="I19" s="831">
        <v>4</v>
      </c>
      <c r="J19" s="791">
        <f>SUMIFS('3-F Amortization'!$K$26:$K$86,'3-F Amortization'!$E$26:$E$86,H19,'3-F Amortization'!$F$26:$F$86,I19)</f>
        <v>-3010540.6514778589</v>
      </c>
      <c r="K19" s="809"/>
    </row>
    <row r="20" spans="3:20">
      <c r="H20" s="832">
        <v>5</v>
      </c>
      <c r="I20" s="831">
        <v>1</v>
      </c>
      <c r="J20" s="791">
        <f>SUMIFS('3-F Amortization'!$K$26:$K$86,'3-F Amortization'!$E$26:$E$86,H20,'3-F Amortization'!$F$26:$F$86,I20)</f>
        <v>-3010540.6514778589</v>
      </c>
      <c r="K20" s="809"/>
    </row>
    <row r="21" spans="3:20">
      <c r="H21" s="832">
        <v>5</v>
      </c>
      <c r="I21" s="831">
        <v>2</v>
      </c>
      <c r="J21" s="791">
        <f>SUMIFS('3-F Amortization'!$K$26:$K$86,'3-F Amortization'!$E$26:$E$86,H21,'3-F Amortization'!$F$26:$F$86,I21)</f>
        <v>-3010540.6514778584</v>
      </c>
      <c r="K21" s="809"/>
    </row>
    <row r="22" spans="3:20">
      <c r="H22" s="832">
        <v>5</v>
      </c>
      <c r="I22" s="831">
        <v>3</v>
      </c>
      <c r="J22" s="791">
        <f>SUMIFS('3-F Amortization'!$K$26:$K$86,'3-F Amortization'!$E$26:$E$86,H22,'3-F Amortization'!$F$26:$F$86,I22)</f>
        <v>-3010540.6514778589</v>
      </c>
      <c r="K22" s="809"/>
    </row>
    <row r="23" spans="3:20">
      <c r="H23" s="833">
        <v>5</v>
      </c>
      <c r="I23" s="834">
        <v>4</v>
      </c>
      <c r="J23" s="808">
        <f>SUMIFS('3-F Amortization'!$K$26:$K$86,'3-F Amortization'!$E$26:$E$86,H23,'3-F Amortization'!$F$26:$F$86,I23)</f>
        <v>-3010540.6514778584</v>
      </c>
      <c r="K23" s="809"/>
    </row>
    <row r="24" spans="3:20">
      <c r="R24" s="809"/>
      <c r="T24" s="809"/>
    </row>
    <row r="25" spans="3:20" ht="15" thickBot="1">
      <c r="C25" s="811" t="s">
        <v>532</v>
      </c>
      <c r="D25" s="812" t="s">
        <v>533</v>
      </c>
      <c r="E25" s="812" t="s">
        <v>534</v>
      </c>
      <c r="F25" s="1100" t="s">
        <v>535</v>
      </c>
      <c r="G25" s="1100" t="s">
        <v>536</v>
      </c>
      <c r="H25" s="812" t="s">
        <v>537</v>
      </c>
      <c r="I25" s="812" t="s">
        <v>538</v>
      </c>
      <c r="J25" s="812" t="s">
        <v>520</v>
      </c>
      <c r="K25" s="812" t="s">
        <v>539</v>
      </c>
      <c r="L25" s="813" t="s">
        <v>540</v>
      </c>
    </row>
    <row r="26" spans="3:20">
      <c r="C26" s="796">
        <v>0</v>
      </c>
      <c r="D26" s="797">
        <f>E5</f>
        <v>49218</v>
      </c>
      <c r="E26" s="798">
        <f>ROUNDUP(C26/12,0)</f>
        <v>0</v>
      </c>
      <c r="F26" s="798"/>
      <c r="G26" s="799"/>
      <c r="I26" s="809"/>
      <c r="K26" s="809">
        <f t="shared" ref="K26:K86" si="2">SUM(I26:J26)</f>
        <v>0</v>
      </c>
      <c r="L26" s="791">
        <f t="shared" ref="L26:L57" si="3">IF(C26=0,$E$4,H26+J26)</f>
        <v>171960285.57741633</v>
      </c>
    </row>
    <row r="27" spans="3:20" ht="15" customHeight="1">
      <c r="C27" s="814">
        <f>C26+1</f>
        <v>1</v>
      </c>
      <c r="D27" s="815">
        <f t="shared" ref="D27:D58" si="4">EOMONTH($E$5,C27-1)</f>
        <v>49248</v>
      </c>
      <c r="E27" s="800">
        <f t="shared" ref="E27:E86" si="5">ROUNDUP(C27/12,0)</f>
        <v>1</v>
      </c>
      <c r="F27" s="800">
        <f>CHOOSE(MONTH(D27), 2, 2, 2, 3, 3, 3, 4, 4, 4, 1, 1, 1)</f>
        <v>1</v>
      </c>
      <c r="G27" s="816" t="str">
        <f>IF($E$12="NO",G26+1,
IF(OR(D27&lt;$F$8,D27&gt;$F$9),MAX($G$26:G26)+1,""))</f>
        <v/>
      </c>
      <c r="H27" s="809">
        <f t="shared" ref="H27:H58" si="6">IF(OR(E27&gt;$E$6,C27&gt;$E$14),0,L26)</f>
        <v>171960285.57741633</v>
      </c>
      <c r="I27" s="809">
        <f t="shared" ref="I27:I58" si="7">IF(OR(E27&gt;$E$6*12,C27&gt;$E$14),0,-H27*$E$10/12)</f>
        <v>-823976.36839178659</v>
      </c>
      <c r="J27" s="817">
        <f t="shared" ref="J27:J58" si="8">IF(OR(E27&gt;$E$6,C27&gt;$E$14),0,
IF(AND($E$8&lt;&gt;OR(0,""),$E$9&lt;&gt;OR(0,""),C27&gt;=$E$8,C27&lt;=$E$9),0,PPMT($E$10/12,IF($E$12="YES",G27,C27),$E$7,$E$4)))</f>
        <v>0</v>
      </c>
      <c r="K27" s="809">
        <f t="shared" si="2"/>
        <v>-823976.36839178659</v>
      </c>
      <c r="L27" s="791">
        <f t="shared" si="3"/>
        <v>171960285.57741633</v>
      </c>
    </row>
    <row r="28" spans="3:20">
      <c r="C28" s="814">
        <f t="shared" ref="C28:C86" si="9">C27+1</f>
        <v>2</v>
      </c>
      <c r="D28" s="815">
        <f t="shared" si="4"/>
        <v>49278</v>
      </c>
      <c r="E28" s="800">
        <f t="shared" si="5"/>
        <v>1</v>
      </c>
      <c r="F28" s="800">
        <f t="shared" ref="F28:F86" si="10">CHOOSE(MONTH(D28), 2, 2, 2, 3, 3, 3, 4, 4, 4, 1, 1, 1)</f>
        <v>1</v>
      </c>
      <c r="G28" s="816" t="str">
        <f>IF($E$12="NO",G27+1,
IF(OR(D28&lt;$F$8,D28&gt;$F$9),MAX($G$26:G27)+1,""))</f>
        <v/>
      </c>
      <c r="H28" s="809">
        <f t="shared" si="6"/>
        <v>171960285.57741633</v>
      </c>
      <c r="I28" s="809">
        <f t="shared" si="7"/>
        <v>-823976.36839178659</v>
      </c>
      <c r="J28" s="817">
        <f t="shared" si="8"/>
        <v>0</v>
      </c>
      <c r="K28" s="809">
        <f t="shared" si="2"/>
        <v>-823976.36839178659</v>
      </c>
      <c r="L28" s="791">
        <f t="shared" si="3"/>
        <v>171960285.57741633</v>
      </c>
    </row>
    <row r="29" spans="3:20">
      <c r="C29" s="814">
        <f t="shared" si="9"/>
        <v>3</v>
      </c>
      <c r="D29" s="815">
        <f t="shared" si="4"/>
        <v>49309</v>
      </c>
      <c r="E29" s="800">
        <f t="shared" si="5"/>
        <v>1</v>
      </c>
      <c r="F29" s="800">
        <f t="shared" si="10"/>
        <v>1</v>
      </c>
      <c r="G29" s="816" t="str">
        <f>IF($E$12="NO",G28+1,
IF(OR(D29&lt;$F$8,D29&gt;$F$9),MAX($G$26:G28)+1,""))</f>
        <v/>
      </c>
      <c r="H29" s="809">
        <f t="shared" si="6"/>
        <v>171960285.57741633</v>
      </c>
      <c r="I29" s="809">
        <f t="shared" si="7"/>
        <v>-823976.36839178659</v>
      </c>
      <c r="J29" s="817">
        <f t="shared" si="8"/>
        <v>0</v>
      </c>
      <c r="K29" s="809">
        <f t="shared" si="2"/>
        <v>-823976.36839178659</v>
      </c>
      <c r="L29" s="791">
        <f t="shared" si="3"/>
        <v>171960285.57741633</v>
      </c>
    </row>
    <row r="30" spans="3:20">
      <c r="C30" s="814">
        <f t="shared" si="9"/>
        <v>4</v>
      </c>
      <c r="D30" s="815">
        <f t="shared" si="4"/>
        <v>49340</v>
      </c>
      <c r="E30" s="800">
        <f t="shared" si="5"/>
        <v>1</v>
      </c>
      <c r="F30" s="800">
        <f t="shared" si="10"/>
        <v>2</v>
      </c>
      <c r="G30" s="816" t="str">
        <f>IF($E$12="NO",G29+1,
IF(OR(D30&lt;$F$8,D30&gt;$F$9),MAX($G$26:G29)+1,""))</f>
        <v/>
      </c>
      <c r="H30" s="809">
        <f t="shared" si="6"/>
        <v>171960285.57741633</v>
      </c>
      <c r="I30" s="809">
        <f t="shared" si="7"/>
        <v>-823976.36839178659</v>
      </c>
      <c r="J30" s="817">
        <f t="shared" si="8"/>
        <v>0</v>
      </c>
      <c r="K30" s="809">
        <f t="shared" si="2"/>
        <v>-823976.36839178659</v>
      </c>
      <c r="L30" s="791">
        <f t="shared" si="3"/>
        <v>171960285.57741633</v>
      </c>
    </row>
    <row r="31" spans="3:20">
      <c r="C31" s="814">
        <f t="shared" si="9"/>
        <v>5</v>
      </c>
      <c r="D31" s="815">
        <f t="shared" si="4"/>
        <v>49368</v>
      </c>
      <c r="E31" s="800">
        <f t="shared" si="5"/>
        <v>1</v>
      </c>
      <c r="F31" s="800">
        <f t="shared" si="10"/>
        <v>2</v>
      </c>
      <c r="G31" s="816" t="str">
        <f>IF($E$12="NO",G30+1,
IF(OR(D31&lt;$F$8,D31&gt;$F$9),MAX($G$26:G30)+1,""))</f>
        <v/>
      </c>
      <c r="H31" s="809">
        <f t="shared" si="6"/>
        <v>171960285.57741633</v>
      </c>
      <c r="I31" s="809">
        <f t="shared" si="7"/>
        <v>-823976.36839178659</v>
      </c>
      <c r="J31" s="817">
        <f t="shared" si="8"/>
        <v>0</v>
      </c>
      <c r="K31" s="809">
        <f t="shared" si="2"/>
        <v>-823976.36839178659</v>
      </c>
      <c r="L31" s="791">
        <f t="shared" si="3"/>
        <v>171960285.57741633</v>
      </c>
    </row>
    <row r="32" spans="3:20">
      <c r="C32" s="814">
        <f t="shared" si="9"/>
        <v>6</v>
      </c>
      <c r="D32" s="815">
        <f t="shared" si="4"/>
        <v>49399</v>
      </c>
      <c r="E32" s="800">
        <f t="shared" si="5"/>
        <v>1</v>
      </c>
      <c r="F32" s="800">
        <f t="shared" si="10"/>
        <v>2</v>
      </c>
      <c r="G32" s="816" t="str">
        <f>IF($E$12="NO",G31+1,
IF(OR(D32&lt;$F$8,D32&gt;$F$9),MAX($G$26:G31)+1,""))</f>
        <v/>
      </c>
      <c r="H32" s="809">
        <f t="shared" si="6"/>
        <v>171960285.57741633</v>
      </c>
      <c r="I32" s="809">
        <f t="shared" si="7"/>
        <v>-823976.36839178659</v>
      </c>
      <c r="J32" s="817">
        <f t="shared" si="8"/>
        <v>0</v>
      </c>
      <c r="K32" s="809">
        <f t="shared" si="2"/>
        <v>-823976.36839178659</v>
      </c>
      <c r="L32" s="791">
        <f t="shared" si="3"/>
        <v>171960285.57741633</v>
      </c>
    </row>
    <row r="33" spans="3:12">
      <c r="C33" s="814">
        <f t="shared" si="9"/>
        <v>7</v>
      </c>
      <c r="D33" s="815">
        <f t="shared" si="4"/>
        <v>49429</v>
      </c>
      <c r="E33" s="800">
        <f t="shared" si="5"/>
        <v>1</v>
      </c>
      <c r="F33" s="800">
        <f t="shared" si="10"/>
        <v>3</v>
      </c>
      <c r="G33" s="816" t="str">
        <f>IF($E$12="NO",G32+1,
IF(OR(D33&lt;$F$8,D33&gt;$F$9),MAX($G$26:G32)+1,""))</f>
        <v/>
      </c>
      <c r="H33" s="809">
        <f t="shared" si="6"/>
        <v>171960285.57741633</v>
      </c>
      <c r="I33" s="809">
        <f t="shared" si="7"/>
        <v>-823976.36839178659</v>
      </c>
      <c r="J33" s="817">
        <f t="shared" si="8"/>
        <v>0</v>
      </c>
      <c r="K33" s="809">
        <f t="shared" si="2"/>
        <v>-823976.36839178659</v>
      </c>
      <c r="L33" s="791">
        <f t="shared" si="3"/>
        <v>171960285.57741633</v>
      </c>
    </row>
    <row r="34" spans="3:12">
      <c r="C34" s="814">
        <f t="shared" si="9"/>
        <v>8</v>
      </c>
      <c r="D34" s="815">
        <f t="shared" si="4"/>
        <v>49460</v>
      </c>
      <c r="E34" s="800">
        <f t="shared" si="5"/>
        <v>1</v>
      </c>
      <c r="F34" s="800">
        <f t="shared" si="10"/>
        <v>3</v>
      </c>
      <c r="G34" s="816" t="str">
        <f>IF($E$12="NO",G33+1,
IF(OR(D34&lt;$F$8,D34&gt;$F$9),MAX($G$26:G33)+1,""))</f>
        <v/>
      </c>
      <c r="H34" s="809">
        <f t="shared" si="6"/>
        <v>171960285.57741633</v>
      </c>
      <c r="I34" s="809">
        <f t="shared" si="7"/>
        <v>-823976.36839178659</v>
      </c>
      <c r="J34" s="817">
        <f t="shared" si="8"/>
        <v>0</v>
      </c>
      <c r="K34" s="809">
        <f t="shared" si="2"/>
        <v>-823976.36839178659</v>
      </c>
      <c r="L34" s="791">
        <f t="shared" si="3"/>
        <v>171960285.57741633</v>
      </c>
    </row>
    <row r="35" spans="3:12">
      <c r="C35" s="814">
        <f t="shared" si="9"/>
        <v>9</v>
      </c>
      <c r="D35" s="815">
        <f t="shared" si="4"/>
        <v>49490</v>
      </c>
      <c r="E35" s="800">
        <f t="shared" si="5"/>
        <v>1</v>
      </c>
      <c r="F35" s="800">
        <f t="shared" si="10"/>
        <v>3</v>
      </c>
      <c r="G35" s="816" t="str">
        <f>IF($E$12="NO",G34+1,
IF(OR(D35&lt;$F$8,D35&gt;$F$9),MAX($G$26:G34)+1,""))</f>
        <v/>
      </c>
      <c r="H35" s="809">
        <f t="shared" si="6"/>
        <v>171960285.57741633</v>
      </c>
      <c r="I35" s="809">
        <f t="shared" si="7"/>
        <v>-823976.36839178659</v>
      </c>
      <c r="J35" s="817">
        <f t="shared" si="8"/>
        <v>0</v>
      </c>
      <c r="K35" s="809">
        <f t="shared" si="2"/>
        <v>-823976.36839178659</v>
      </c>
      <c r="L35" s="791">
        <f t="shared" si="3"/>
        <v>171960285.57741633</v>
      </c>
    </row>
    <row r="36" spans="3:12">
      <c r="C36" s="814">
        <f t="shared" si="9"/>
        <v>10</v>
      </c>
      <c r="D36" s="815">
        <f t="shared" si="4"/>
        <v>49521</v>
      </c>
      <c r="E36" s="800">
        <f t="shared" si="5"/>
        <v>1</v>
      </c>
      <c r="F36" s="800">
        <f t="shared" si="10"/>
        <v>4</v>
      </c>
      <c r="G36" s="816" t="str">
        <f>IF($E$12="NO",G35+1,
IF(OR(D36&lt;$F$8,D36&gt;$F$9),MAX($G$26:G35)+1,""))</f>
        <v/>
      </c>
      <c r="H36" s="809">
        <f t="shared" si="6"/>
        <v>171960285.57741633</v>
      </c>
      <c r="I36" s="809">
        <f t="shared" si="7"/>
        <v>-823976.36839178659</v>
      </c>
      <c r="J36" s="817">
        <f t="shared" si="8"/>
        <v>0</v>
      </c>
      <c r="K36" s="809">
        <f t="shared" si="2"/>
        <v>-823976.36839178659</v>
      </c>
      <c r="L36" s="791">
        <f t="shared" si="3"/>
        <v>171960285.57741633</v>
      </c>
    </row>
    <row r="37" spans="3:12">
      <c r="C37" s="814">
        <f t="shared" si="9"/>
        <v>11</v>
      </c>
      <c r="D37" s="815">
        <f t="shared" si="4"/>
        <v>49552</v>
      </c>
      <c r="E37" s="800">
        <f t="shared" si="5"/>
        <v>1</v>
      </c>
      <c r="F37" s="800">
        <f t="shared" si="10"/>
        <v>4</v>
      </c>
      <c r="G37" s="816" t="str">
        <f>IF($E$12="NO",G36+1,
IF(OR(D37&lt;$F$8,D37&gt;$F$9),MAX($G$26:G36)+1,""))</f>
        <v/>
      </c>
      <c r="H37" s="809">
        <f t="shared" si="6"/>
        <v>171960285.57741633</v>
      </c>
      <c r="I37" s="809">
        <f t="shared" si="7"/>
        <v>-823976.36839178659</v>
      </c>
      <c r="J37" s="817">
        <f t="shared" si="8"/>
        <v>0</v>
      </c>
      <c r="K37" s="809">
        <f t="shared" si="2"/>
        <v>-823976.36839178659</v>
      </c>
      <c r="L37" s="791">
        <f t="shared" si="3"/>
        <v>171960285.57741633</v>
      </c>
    </row>
    <row r="38" spans="3:12">
      <c r="C38" s="814">
        <f t="shared" si="9"/>
        <v>12</v>
      </c>
      <c r="D38" s="815">
        <f t="shared" si="4"/>
        <v>49582</v>
      </c>
      <c r="E38" s="800">
        <f t="shared" si="5"/>
        <v>1</v>
      </c>
      <c r="F38" s="800">
        <f t="shared" si="10"/>
        <v>4</v>
      </c>
      <c r="G38" s="816" t="str">
        <f>IF($E$12="NO",G37+1,
IF(OR(D38&lt;$F$8,D38&gt;$F$9),MAX($G$26:G37)+1,""))</f>
        <v/>
      </c>
      <c r="H38" s="809">
        <f t="shared" si="6"/>
        <v>171960285.57741633</v>
      </c>
      <c r="I38" s="809">
        <f t="shared" si="7"/>
        <v>-823976.36839178659</v>
      </c>
      <c r="J38" s="817">
        <f t="shared" si="8"/>
        <v>0</v>
      </c>
      <c r="K38" s="809">
        <f t="shared" si="2"/>
        <v>-823976.36839178659</v>
      </c>
      <c r="L38" s="791">
        <f t="shared" si="3"/>
        <v>171960285.57741633</v>
      </c>
    </row>
    <row r="39" spans="3:12">
      <c r="C39" s="814">
        <f t="shared" si="9"/>
        <v>13</v>
      </c>
      <c r="D39" s="815">
        <f t="shared" si="4"/>
        <v>49613</v>
      </c>
      <c r="E39" s="800">
        <f t="shared" si="5"/>
        <v>2</v>
      </c>
      <c r="F39" s="800">
        <f t="shared" si="10"/>
        <v>1</v>
      </c>
      <c r="G39" s="816">
        <f>IF($E$12="NO",G38+1,
IF(OR(D39&lt;$F$8,D39&gt;$F$9),MAX($G$26:G38)+1,""))</f>
        <v>1</v>
      </c>
      <c r="H39" s="809">
        <f t="shared" si="6"/>
        <v>171960285.57741633</v>
      </c>
      <c r="I39" s="809">
        <f t="shared" si="7"/>
        <v>-823976.36839178659</v>
      </c>
      <c r="J39" s="817">
        <f t="shared" si="8"/>
        <v>-179537.18210083284</v>
      </c>
      <c r="K39" s="809">
        <f t="shared" si="2"/>
        <v>-1003513.5504926194</v>
      </c>
      <c r="L39" s="791">
        <f t="shared" si="3"/>
        <v>171780748.3953155</v>
      </c>
    </row>
    <row r="40" spans="3:12">
      <c r="C40" s="814">
        <f t="shared" si="9"/>
        <v>14</v>
      </c>
      <c r="D40" s="815">
        <f t="shared" si="4"/>
        <v>49643</v>
      </c>
      <c r="E40" s="800">
        <f t="shared" si="5"/>
        <v>2</v>
      </c>
      <c r="F40" s="800">
        <f t="shared" si="10"/>
        <v>1</v>
      </c>
      <c r="G40" s="816">
        <f>IF($E$12="NO",G39+1,
IF(OR(D40&lt;$F$8,D40&gt;$F$9),MAX($G$26:G39)+1,""))</f>
        <v>2</v>
      </c>
      <c r="H40" s="809">
        <f t="shared" si="6"/>
        <v>171780748.3953155</v>
      </c>
      <c r="I40" s="809">
        <f t="shared" si="7"/>
        <v>-823116.08606088674</v>
      </c>
      <c r="J40" s="817">
        <f t="shared" si="8"/>
        <v>-180397.46443173263</v>
      </c>
      <c r="K40" s="809">
        <f t="shared" si="2"/>
        <v>-1003513.5504926194</v>
      </c>
      <c r="L40" s="791">
        <f t="shared" si="3"/>
        <v>171600350.93088377</v>
      </c>
    </row>
    <row r="41" spans="3:12">
      <c r="C41" s="814">
        <f t="shared" si="9"/>
        <v>15</v>
      </c>
      <c r="D41" s="815">
        <f t="shared" si="4"/>
        <v>49674</v>
      </c>
      <c r="E41" s="800">
        <f t="shared" si="5"/>
        <v>2</v>
      </c>
      <c r="F41" s="800">
        <f t="shared" si="10"/>
        <v>1</v>
      </c>
      <c r="G41" s="816">
        <f>IF($E$12="NO",G40+1,
IF(OR(D41&lt;$F$8,D41&gt;$F$9),MAX($G$26:G40)+1,""))</f>
        <v>3</v>
      </c>
      <c r="H41" s="809">
        <f t="shared" si="6"/>
        <v>171600350.93088377</v>
      </c>
      <c r="I41" s="809">
        <f t="shared" si="7"/>
        <v>-822251.68154381809</v>
      </c>
      <c r="J41" s="817">
        <f t="shared" si="8"/>
        <v>-181261.86894880136</v>
      </c>
      <c r="K41" s="809">
        <f t="shared" si="2"/>
        <v>-1003513.5504926194</v>
      </c>
      <c r="L41" s="791">
        <f t="shared" si="3"/>
        <v>171419089.06193498</v>
      </c>
    </row>
    <row r="42" spans="3:12">
      <c r="C42" s="814">
        <f t="shared" si="9"/>
        <v>16</v>
      </c>
      <c r="D42" s="815">
        <f t="shared" si="4"/>
        <v>49705</v>
      </c>
      <c r="E42" s="800">
        <f t="shared" si="5"/>
        <v>2</v>
      </c>
      <c r="F42" s="800">
        <f t="shared" si="10"/>
        <v>2</v>
      </c>
      <c r="G42" s="816">
        <f>IF($E$12="NO",G41+1,
IF(OR(D42&lt;$F$8,D42&gt;$F$9),MAX($G$26:G41)+1,""))</f>
        <v>4</v>
      </c>
      <c r="H42" s="809">
        <f t="shared" si="6"/>
        <v>171419089.06193498</v>
      </c>
      <c r="I42" s="809">
        <f t="shared" si="7"/>
        <v>-821383.13508843852</v>
      </c>
      <c r="J42" s="817">
        <f t="shared" si="8"/>
        <v>-182130.41540418105</v>
      </c>
      <c r="K42" s="809">
        <f t="shared" si="2"/>
        <v>-1003513.5504926196</v>
      </c>
      <c r="L42" s="791">
        <f t="shared" si="3"/>
        <v>171236958.64653081</v>
      </c>
    </row>
    <row r="43" spans="3:12">
      <c r="C43" s="814">
        <f t="shared" si="9"/>
        <v>17</v>
      </c>
      <c r="D43" s="815">
        <f t="shared" si="4"/>
        <v>49734</v>
      </c>
      <c r="E43" s="800">
        <f t="shared" si="5"/>
        <v>2</v>
      </c>
      <c r="F43" s="800">
        <f t="shared" si="10"/>
        <v>2</v>
      </c>
      <c r="G43" s="816">
        <f>IF($E$12="NO",G42+1,
IF(OR(D43&lt;$F$8,D43&gt;$F$9),MAX($G$26:G42)+1,""))</f>
        <v>5</v>
      </c>
      <c r="H43" s="809">
        <f t="shared" si="6"/>
        <v>171236958.64653081</v>
      </c>
      <c r="I43" s="809">
        <f t="shared" si="7"/>
        <v>-820510.42684796022</v>
      </c>
      <c r="J43" s="817">
        <f t="shared" si="8"/>
        <v>-183003.12364465938</v>
      </c>
      <c r="K43" s="809">
        <f t="shared" si="2"/>
        <v>-1003513.5504926196</v>
      </c>
      <c r="L43" s="791">
        <f t="shared" si="3"/>
        <v>171053955.52288616</v>
      </c>
    </row>
    <row r="44" spans="3:12">
      <c r="C44" s="814">
        <f t="shared" si="9"/>
        <v>18</v>
      </c>
      <c r="D44" s="815">
        <f t="shared" si="4"/>
        <v>49765</v>
      </c>
      <c r="E44" s="800">
        <f t="shared" si="5"/>
        <v>2</v>
      </c>
      <c r="F44" s="800">
        <f t="shared" si="10"/>
        <v>2</v>
      </c>
      <c r="G44" s="816">
        <f>IF($E$12="NO",G43+1,
IF(OR(D44&lt;$F$8,D44&gt;$F$9),MAX($G$26:G43)+1,""))</f>
        <v>6</v>
      </c>
      <c r="H44" s="809">
        <f t="shared" si="6"/>
        <v>171053955.52288616</v>
      </c>
      <c r="I44" s="809">
        <f t="shared" si="7"/>
        <v>-819633.53688049631</v>
      </c>
      <c r="J44" s="817">
        <f t="shared" si="8"/>
        <v>-183880.01361212341</v>
      </c>
      <c r="K44" s="809">
        <f t="shared" si="2"/>
        <v>-1003513.5504926197</v>
      </c>
      <c r="L44" s="791">
        <f t="shared" si="3"/>
        <v>170870075.50927404</v>
      </c>
    </row>
    <row r="45" spans="3:12">
      <c r="C45" s="814">
        <f t="shared" si="9"/>
        <v>19</v>
      </c>
      <c r="D45" s="815">
        <f t="shared" si="4"/>
        <v>49795</v>
      </c>
      <c r="E45" s="800">
        <f t="shared" si="5"/>
        <v>2</v>
      </c>
      <c r="F45" s="800">
        <f t="shared" si="10"/>
        <v>3</v>
      </c>
      <c r="G45" s="816">
        <f>IF($E$12="NO",G44+1,
IF(OR(D45&lt;$F$8,D45&gt;$F$9),MAX($G$26:G44)+1,""))</f>
        <v>7</v>
      </c>
      <c r="H45" s="809">
        <f t="shared" si="6"/>
        <v>170870075.50927404</v>
      </c>
      <c r="I45" s="809">
        <f t="shared" si="7"/>
        <v>-818752.44514860481</v>
      </c>
      <c r="J45" s="817">
        <f t="shared" si="8"/>
        <v>-184761.10534401485</v>
      </c>
      <c r="K45" s="809">
        <f t="shared" si="2"/>
        <v>-1003513.5504926196</v>
      </c>
      <c r="L45" s="791">
        <f t="shared" si="3"/>
        <v>170685314.40393001</v>
      </c>
    </row>
    <row r="46" spans="3:12">
      <c r="C46" s="814">
        <f t="shared" si="9"/>
        <v>20</v>
      </c>
      <c r="D46" s="815">
        <f t="shared" si="4"/>
        <v>49826</v>
      </c>
      <c r="E46" s="800">
        <f t="shared" si="5"/>
        <v>2</v>
      </c>
      <c r="F46" s="800">
        <f t="shared" si="10"/>
        <v>3</v>
      </c>
      <c r="G46" s="816">
        <f>IF($E$12="NO",G45+1,
IF(OR(D46&lt;$F$8,D46&gt;$F$9),MAX($G$26:G45)+1,""))</f>
        <v>8</v>
      </c>
      <c r="H46" s="809">
        <f t="shared" si="6"/>
        <v>170685314.40393001</v>
      </c>
      <c r="I46" s="809">
        <f t="shared" si="7"/>
        <v>-817867.13151883136</v>
      </c>
      <c r="J46" s="817">
        <f t="shared" si="8"/>
        <v>-185646.41897378821</v>
      </c>
      <c r="K46" s="809">
        <f t="shared" si="2"/>
        <v>-1003513.5504926196</v>
      </c>
      <c r="L46" s="791">
        <f t="shared" si="3"/>
        <v>170499667.98495623</v>
      </c>
    </row>
    <row r="47" spans="3:12">
      <c r="C47" s="814">
        <f t="shared" si="9"/>
        <v>21</v>
      </c>
      <c r="D47" s="815">
        <f t="shared" si="4"/>
        <v>49856</v>
      </c>
      <c r="E47" s="800">
        <f t="shared" si="5"/>
        <v>2</v>
      </c>
      <c r="F47" s="800">
        <f t="shared" si="10"/>
        <v>3</v>
      </c>
      <c r="G47" s="816">
        <f>IF($E$12="NO",G46+1,
IF(OR(D47&lt;$F$8,D47&gt;$F$9),MAX($G$26:G46)+1,""))</f>
        <v>9</v>
      </c>
      <c r="H47" s="809">
        <f t="shared" si="6"/>
        <v>170499667.98495623</v>
      </c>
      <c r="I47" s="809">
        <f t="shared" si="7"/>
        <v>-816977.57576124871</v>
      </c>
      <c r="J47" s="817">
        <f t="shared" si="8"/>
        <v>-186535.97473137098</v>
      </c>
      <c r="K47" s="809">
        <f t="shared" si="2"/>
        <v>-1003513.5504926196</v>
      </c>
      <c r="L47" s="791">
        <f t="shared" si="3"/>
        <v>170313132.01022485</v>
      </c>
    </row>
    <row r="48" spans="3:12">
      <c r="C48" s="814">
        <f t="shared" si="9"/>
        <v>22</v>
      </c>
      <c r="D48" s="815">
        <f t="shared" si="4"/>
        <v>49887</v>
      </c>
      <c r="E48" s="800">
        <f t="shared" si="5"/>
        <v>2</v>
      </c>
      <c r="F48" s="800">
        <f t="shared" si="10"/>
        <v>4</v>
      </c>
      <c r="G48" s="816">
        <f>IF($E$12="NO",G47+1,
IF(OR(D48&lt;$F$8,D48&gt;$F$9),MAX($G$26:G47)+1,""))</f>
        <v>10</v>
      </c>
      <c r="H48" s="809">
        <f t="shared" si="6"/>
        <v>170313132.01022485</v>
      </c>
      <c r="I48" s="809">
        <f t="shared" si="7"/>
        <v>-816083.75754899404</v>
      </c>
      <c r="J48" s="817">
        <f t="shared" si="8"/>
        <v>-187429.79294362548</v>
      </c>
      <c r="K48" s="809">
        <f t="shared" si="2"/>
        <v>-1003513.5504926195</v>
      </c>
      <c r="L48" s="791">
        <f t="shared" si="3"/>
        <v>170125702.21728122</v>
      </c>
    </row>
    <row r="49" spans="3:12">
      <c r="C49" s="814">
        <f t="shared" si="9"/>
        <v>23</v>
      </c>
      <c r="D49" s="815">
        <f t="shared" si="4"/>
        <v>49918</v>
      </c>
      <c r="E49" s="800">
        <f t="shared" si="5"/>
        <v>2</v>
      </c>
      <c r="F49" s="800">
        <f t="shared" si="10"/>
        <v>4</v>
      </c>
      <c r="G49" s="816">
        <f>IF($E$12="NO",G48+1,
IF(OR(D49&lt;$F$8,D49&gt;$F$9),MAX($G$26:G48)+1,""))</f>
        <v>11</v>
      </c>
      <c r="H49" s="809">
        <f t="shared" si="6"/>
        <v>170125702.21728122</v>
      </c>
      <c r="I49" s="809">
        <f t="shared" si="7"/>
        <v>-815185.65645780589</v>
      </c>
      <c r="J49" s="817">
        <f t="shared" si="8"/>
        <v>-188327.89403481365</v>
      </c>
      <c r="K49" s="809">
        <f t="shared" si="2"/>
        <v>-1003513.5504926195</v>
      </c>
      <c r="L49" s="791">
        <f t="shared" si="3"/>
        <v>169937374.32324642</v>
      </c>
    </row>
    <row r="50" spans="3:12">
      <c r="C50" s="814">
        <f t="shared" si="9"/>
        <v>24</v>
      </c>
      <c r="D50" s="815">
        <f t="shared" si="4"/>
        <v>49948</v>
      </c>
      <c r="E50" s="800">
        <f t="shared" si="5"/>
        <v>2</v>
      </c>
      <c r="F50" s="800">
        <f t="shared" si="10"/>
        <v>4</v>
      </c>
      <c r="G50" s="816">
        <f>IF($E$12="NO",G49+1,
IF(OR(D50&lt;$F$8,D50&gt;$F$9),MAX($G$26:G49)+1,""))</f>
        <v>12</v>
      </c>
      <c r="H50" s="809">
        <f t="shared" si="6"/>
        <v>169937374.32324642</v>
      </c>
      <c r="I50" s="809">
        <f t="shared" si="7"/>
        <v>-814283.25196555583</v>
      </c>
      <c r="J50" s="817">
        <f t="shared" si="8"/>
        <v>-189230.2985270638</v>
      </c>
      <c r="K50" s="809">
        <f t="shared" si="2"/>
        <v>-1003513.5504926196</v>
      </c>
      <c r="L50" s="791">
        <f t="shared" si="3"/>
        <v>169748144.02471936</v>
      </c>
    </row>
    <row r="51" spans="3:12">
      <c r="C51" s="814">
        <f t="shared" si="9"/>
        <v>25</v>
      </c>
      <c r="D51" s="815">
        <f t="shared" si="4"/>
        <v>49979</v>
      </c>
      <c r="E51" s="800">
        <f t="shared" si="5"/>
        <v>3</v>
      </c>
      <c r="F51" s="800">
        <f t="shared" si="10"/>
        <v>1</v>
      </c>
      <c r="G51" s="816">
        <f>IF($E$12="NO",G50+1,
IF(OR(D51&lt;$F$8,D51&gt;$F$9),MAX($G$26:G50)+1,""))</f>
        <v>13</v>
      </c>
      <c r="H51" s="809">
        <f t="shared" si="6"/>
        <v>169748144.02471936</v>
      </c>
      <c r="I51" s="809">
        <f t="shared" si="7"/>
        <v>-813376.52345178032</v>
      </c>
      <c r="J51" s="817">
        <f t="shared" si="8"/>
        <v>-190137.02704083931</v>
      </c>
      <c r="K51" s="809">
        <f t="shared" si="2"/>
        <v>-1003513.5504926196</v>
      </c>
      <c r="L51" s="791">
        <f t="shared" si="3"/>
        <v>169558006.99767852</v>
      </c>
    </row>
    <row r="52" spans="3:12">
      <c r="C52" s="814">
        <f t="shared" si="9"/>
        <v>26</v>
      </c>
      <c r="D52" s="815">
        <f t="shared" si="4"/>
        <v>50009</v>
      </c>
      <c r="E52" s="800">
        <f t="shared" si="5"/>
        <v>3</v>
      </c>
      <c r="F52" s="800">
        <f t="shared" si="10"/>
        <v>1</v>
      </c>
      <c r="G52" s="816">
        <f>IF($E$12="NO",G51+1,
IF(OR(D52&lt;$F$8,D52&gt;$F$9),MAX($G$26:G51)+1,""))</f>
        <v>14</v>
      </c>
      <c r="H52" s="809">
        <f t="shared" si="6"/>
        <v>169558006.99767852</v>
      </c>
      <c r="I52" s="809">
        <f t="shared" si="7"/>
        <v>-812465.4501972096</v>
      </c>
      <c r="J52" s="817">
        <f t="shared" si="8"/>
        <v>-191048.10029541005</v>
      </c>
      <c r="K52" s="809">
        <f t="shared" si="2"/>
        <v>-1003513.5504926196</v>
      </c>
      <c r="L52" s="791">
        <f t="shared" si="3"/>
        <v>169366958.89738309</v>
      </c>
    </row>
    <row r="53" spans="3:12">
      <c r="C53" s="814">
        <f t="shared" si="9"/>
        <v>27</v>
      </c>
      <c r="D53" s="815">
        <f t="shared" si="4"/>
        <v>50040</v>
      </c>
      <c r="E53" s="800">
        <f t="shared" si="5"/>
        <v>3</v>
      </c>
      <c r="F53" s="800">
        <f t="shared" si="10"/>
        <v>1</v>
      </c>
      <c r="G53" s="816">
        <f>IF($E$12="NO",G52+1,
IF(OR(D53&lt;$F$8,D53&gt;$F$9),MAX($G$26:G52)+1,""))</f>
        <v>15</v>
      </c>
      <c r="H53" s="809">
        <f t="shared" si="6"/>
        <v>169366958.89738309</v>
      </c>
      <c r="I53" s="809">
        <f t="shared" si="7"/>
        <v>-811550.01138329401</v>
      </c>
      <c r="J53" s="817">
        <f t="shared" si="8"/>
        <v>-191963.5391093255</v>
      </c>
      <c r="K53" s="809">
        <f t="shared" si="2"/>
        <v>-1003513.5504926195</v>
      </c>
      <c r="L53" s="791">
        <f t="shared" si="3"/>
        <v>169174995.35827377</v>
      </c>
    </row>
    <row r="54" spans="3:12">
      <c r="C54" s="814">
        <f t="shared" si="9"/>
        <v>28</v>
      </c>
      <c r="D54" s="815">
        <f t="shared" si="4"/>
        <v>50071</v>
      </c>
      <c r="E54" s="800">
        <f t="shared" si="5"/>
        <v>3</v>
      </c>
      <c r="F54" s="800">
        <f t="shared" si="10"/>
        <v>2</v>
      </c>
      <c r="G54" s="816">
        <f>IF($E$12="NO",G53+1,
IF(OR(D54&lt;$F$8,D54&gt;$F$9),MAX($G$26:G53)+1,""))</f>
        <v>16</v>
      </c>
      <c r="H54" s="809">
        <f t="shared" si="6"/>
        <v>169174995.35827377</v>
      </c>
      <c r="I54" s="809">
        <f t="shared" si="7"/>
        <v>-810630.18609172851</v>
      </c>
      <c r="J54" s="817">
        <f t="shared" si="8"/>
        <v>-192883.36440089103</v>
      </c>
      <c r="K54" s="809">
        <f t="shared" si="2"/>
        <v>-1003513.5504926195</v>
      </c>
      <c r="L54" s="791">
        <f t="shared" si="3"/>
        <v>168982111.99387288</v>
      </c>
    </row>
    <row r="55" spans="3:12">
      <c r="C55" s="814">
        <f t="shared" si="9"/>
        <v>29</v>
      </c>
      <c r="D55" s="815">
        <f t="shared" si="4"/>
        <v>50099</v>
      </c>
      <c r="E55" s="800">
        <f t="shared" si="5"/>
        <v>3</v>
      </c>
      <c r="F55" s="800">
        <f t="shared" si="10"/>
        <v>2</v>
      </c>
      <c r="G55" s="816">
        <f>IF($E$12="NO",G54+1,
IF(OR(D55&lt;$F$8,D55&gt;$F$9),MAX($G$26:G54)+1,""))</f>
        <v>17</v>
      </c>
      <c r="H55" s="809">
        <f t="shared" si="6"/>
        <v>168982111.99387288</v>
      </c>
      <c r="I55" s="809">
        <f t="shared" si="7"/>
        <v>-809705.95330397424</v>
      </c>
      <c r="J55" s="817">
        <f t="shared" si="8"/>
        <v>-193807.5971886453</v>
      </c>
      <c r="K55" s="809">
        <f t="shared" si="2"/>
        <v>-1003513.5504926195</v>
      </c>
      <c r="L55" s="791">
        <f t="shared" si="3"/>
        <v>168788304.39668423</v>
      </c>
    </row>
    <row r="56" spans="3:12">
      <c r="C56" s="814">
        <f t="shared" si="9"/>
        <v>30</v>
      </c>
      <c r="D56" s="815">
        <f t="shared" si="4"/>
        <v>50130</v>
      </c>
      <c r="E56" s="800">
        <f t="shared" si="5"/>
        <v>3</v>
      </c>
      <c r="F56" s="800">
        <f t="shared" si="10"/>
        <v>2</v>
      </c>
      <c r="G56" s="816">
        <f>IF($E$12="NO",G55+1,
IF(OR(D56&lt;$F$8,D56&gt;$F$9),MAX($G$26:G55)+1,""))</f>
        <v>18</v>
      </c>
      <c r="H56" s="809">
        <f t="shared" si="6"/>
        <v>168788304.39668423</v>
      </c>
      <c r="I56" s="809">
        <f t="shared" si="7"/>
        <v>-808777.29190077865</v>
      </c>
      <c r="J56" s="817">
        <f t="shared" si="8"/>
        <v>-194736.25859184089</v>
      </c>
      <c r="K56" s="809">
        <f t="shared" si="2"/>
        <v>-1003513.5504926195</v>
      </c>
      <c r="L56" s="791">
        <f t="shared" si="3"/>
        <v>168593568.1380924</v>
      </c>
    </row>
    <row r="57" spans="3:12">
      <c r="C57" s="814">
        <f t="shared" si="9"/>
        <v>31</v>
      </c>
      <c r="D57" s="815">
        <f t="shared" si="4"/>
        <v>50160</v>
      </c>
      <c r="E57" s="800">
        <f t="shared" si="5"/>
        <v>3</v>
      </c>
      <c r="F57" s="800">
        <f t="shared" si="10"/>
        <v>3</v>
      </c>
      <c r="G57" s="816">
        <f>IF($E$12="NO",G56+1,
IF(OR(D57&lt;$F$8,D57&gt;$F$9),MAX($G$26:G56)+1,""))</f>
        <v>19</v>
      </c>
      <c r="H57" s="809">
        <f t="shared" si="6"/>
        <v>168593568.1380924</v>
      </c>
      <c r="I57" s="809">
        <f t="shared" si="7"/>
        <v>-807844.18066169275</v>
      </c>
      <c r="J57" s="817">
        <f t="shared" si="8"/>
        <v>-195669.36983092682</v>
      </c>
      <c r="K57" s="809">
        <f t="shared" si="2"/>
        <v>-1003513.5504926196</v>
      </c>
      <c r="L57" s="791">
        <f t="shared" si="3"/>
        <v>168397898.76826146</v>
      </c>
    </row>
    <row r="58" spans="3:12">
      <c r="C58" s="814">
        <f t="shared" si="9"/>
        <v>32</v>
      </c>
      <c r="D58" s="815">
        <f t="shared" si="4"/>
        <v>50191</v>
      </c>
      <c r="E58" s="800">
        <f t="shared" si="5"/>
        <v>3</v>
      </c>
      <c r="F58" s="800">
        <f t="shared" si="10"/>
        <v>3</v>
      </c>
      <c r="G58" s="816">
        <f>IF($E$12="NO",G57+1,
IF(OR(D58&lt;$F$8,D58&gt;$F$9),MAX($G$26:G57)+1,""))</f>
        <v>20</v>
      </c>
      <c r="H58" s="809">
        <f t="shared" si="6"/>
        <v>168397898.76826146</v>
      </c>
      <c r="I58" s="809">
        <f t="shared" si="7"/>
        <v>-806906.59826458618</v>
      </c>
      <c r="J58" s="817">
        <f t="shared" si="8"/>
        <v>-196606.95222803336</v>
      </c>
      <c r="K58" s="809">
        <f t="shared" si="2"/>
        <v>-1003513.5504926195</v>
      </c>
      <c r="L58" s="791">
        <f t="shared" ref="L58:L86" si="11">IF(C58=0,$E$4,H58+J58)</f>
        <v>168201291.81603342</v>
      </c>
    </row>
    <row r="59" spans="3:12">
      <c r="C59" s="814">
        <f t="shared" si="9"/>
        <v>33</v>
      </c>
      <c r="D59" s="815">
        <f t="shared" ref="D59:D86" si="12">EOMONTH($E$5,C59-1)</f>
        <v>50221</v>
      </c>
      <c r="E59" s="800">
        <f t="shared" si="5"/>
        <v>3</v>
      </c>
      <c r="F59" s="800">
        <f t="shared" si="10"/>
        <v>3</v>
      </c>
      <c r="G59" s="816">
        <f>IF($E$12="NO",G58+1,
IF(OR(D59&lt;$F$8,D59&gt;$F$9),MAX($G$26:G58)+1,""))</f>
        <v>21</v>
      </c>
      <c r="H59" s="809">
        <f t="shared" ref="H59:H86" si="13">IF(OR(E59&gt;$E$6,C59&gt;$E$14),0,L58)</f>
        <v>168201291.81603342</v>
      </c>
      <c r="I59" s="809">
        <f t="shared" ref="I59:I86" si="14">IF(OR(E59&gt;$E$6*12,C59&gt;$E$14),0,-H59*$E$10/12)</f>
        <v>-805964.52328516019</v>
      </c>
      <c r="J59" s="817">
        <f t="shared" ref="J59:J86" si="15">IF(OR(E59&gt;$E$6,C59&gt;$E$14),0,
IF(AND($E$8&lt;&gt;OR(0,""),$E$9&lt;&gt;OR(0,""),C59&gt;=$E$8,C59&lt;=$E$9),0,PPMT($E$10/12,IF($E$12="YES",G59,C59),$E$7,$E$4)))</f>
        <v>-197549.02720745932</v>
      </c>
      <c r="K59" s="809">
        <f t="shared" si="2"/>
        <v>-1003513.5504926195</v>
      </c>
      <c r="L59" s="791">
        <f t="shared" si="11"/>
        <v>168003742.78882596</v>
      </c>
    </row>
    <row r="60" spans="3:12">
      <c r="C60" s="814">
        <f t="shared" si="9"/>
        <v>34</v>
      </c>
      <c r="D60" s="815">
        <f t="shared" si="12"/>
        <v>50252</v>
      </c>
      <c r="E60" s="800">
        <f t="shared" si="5"/>
        <v>3</v>
      </c>
      <c r="F60" s="800">
        <f t="shared" si="10"/>
        <v>4</v>
      </c>
      <c r="G60" s="816">
        <f>IF($E$12="NO",G59+1,
IF(OR(D60&lt;$F$8,D60&gt;$F$9),MAX($G$26:G59)+1,""))</f>
        <v>22</v>
      </c>
      <c r="H60" s="809">
        <f t="shared" si="13"/>
        <v>168003742.78882596</v>
      </c>
      <c r="I60" s="809">
        <f t="shared" si="14"/>
        <v>-805017.93419645773</v>
      </c>
      <c r="J60" s="817">
        <f t="shared" si="15"/>
        <v>-198495.61629616175</v>
      </c>
      <c r="K60" s="809">
        <f t="shared" si="2"/>
        <v>-1003513.5504926195</v>
      </c>
      <c r="L60" s="791">
        <f t="shared" si="11"/>
        <v>167805247.17252979</v>
      </c>
    </row>
    <row r="61" spans="3:12">
      <c r="C61" s="814">
        <f t="shared" si="9"/>
        <v>35</v>
      </c>
      <c r="D61" s="815">
        <f t="shared" si="12"/>
        <v>50283</v>
      </c>
      <c r="E61" s="800">
        <f t="shared" si="5"/>
        <v>3</v>
      </c>
      <c r="F61" s="800">
        <f t="shared" si="10"/>
        <v>4</v>
      </c>
      <c r="G61" s="816">
        <f>IF($E$12="NO",G60+1,
IF(OR(D61&lt;$F$8,D61&gt;$F$9),MAX($G$26:G60)+1,""))</f>
        <v>23</v>
      </c>
      <c r="H61" s="809">
        <f t="shared" si="13"/>
        <v>167805247.17252979</v>
      </c>
      <c r="I61" s="809">
        <f t="shared" si="14"/>
        <v>-804066.80936837196</v>
      </c>
      <c r="J61" s="817">
        <f t="shared" si="15"/>
        <v>-199446.74112424749</v>
      </c>
      <c r="K61" s="809">
        <f t="shared" si="2"/>
        <v>-1003513.5504926194</v>
      </c>
      <c r="L61" s="791">
        <f t="shared" si="11"/>
        <v>167605800.43140554</v>
      </c>
    </row>
    <row r="62" spans="3:12">
      <c r="C62" s="814">
        <f t="shared" si="9"/>
        <v>36</v>
      </c>
      <c r="D62" s="815">
        <f t="shared" si="12"/>
        <v>50313</v>
      </c>
      <c r="E62" s="800">
        <f t="shared" si="5"/>
        <v>3</v>
      </c>
      <c r="F62" s="800">
        <f t="shared" si="10"/>
        <v>4</v>
      </c>
      <c r="G62" s="816">
        <f>IF($E$12="NO",G61+1,
IF(OR(D62&lt;$F$8,D62&gt;$F$9),MAX($G$26:G61)+1,""))</f>
        <v>24</v>
      </c>
      <c r="H62" s="809">
        <f t="shared" si="13"/>
        <v>167605800.43140554</v>
      </c>
      <c r="I62" s="809">
        <f t="shared" si="14"/>
        <v>-803111.1270671516</v>
      </c>
      <c r="J62" s="817">
        <f t="shared" si="15"/>
        <v>-200402.42342546783</v>
      </c>
      <c r="K62" s="809">
        <f t="shared" si="2"/>
        <v>-1003513.5504926194</v>
      </c>
      <c r="L62" s="791">
        <f t="shared" si="11"/>
        <v>167405398.00798008</v>
      </c>
    </row>
    <row r="63" spans="3:12">
      <c r="C63" s="814">
        <f t="shared" si="9"/>
        <v>37</v>
      </c>
      <c r="D63" s="815">
        <f t="shared" si="12"/>
        <v>50344</v>
      </c>
      <c r="E63" s="800">
        <f t="shared" si="5"/>
        <v>4</v>
      </c>
      <c r="F63" s="800">
        <f t="shared" si="10"/>
        <v>1</v>
      </c>
      <c r="G63" s="816">
        <f>IF($E$12="NO",G62+1,
IF(OR(D63&lt;$F$8,D63&gt;$F$9),MAX($G$26:G62)+1,""))</f>
        <v>25</v>
      </c>
      <c r="H63" s="809">
        <f t="shared" si="13"/>
        <v>167405398.00798008</v>
      </c>
      <c r="I63" s="809">
        <f t="shared" si="14"/>
        <v>-802150.86545490462</v>
      </c>
      <c r="J63" s="817">
        <f t="shared" si="15"/>
        <v>-201362.68503771489</v>
      </c>
      <c r="K63" s="809">
        <f t="shared" si="2"/>
        <v>-1003513.5504926195</v>
      </c>
      <c r="L63" s="791">
        <f t="shared" si="11"/>
        <v>167204035.32294238</v>
      </c>
    </row>
    <row r="64" spans="3:12">
      <c r="C64" s="814">
        <f t="shared" si="9"/>
        <v>38</v>
      </c>
      <c r="D64" s="815">
        <f t="shared" si="12"/>
        <v>50374</v>
      </c>
      <c r="E64" s="800">
        <f t="shared" si="5"/>
        <v>4</v>
      </c>
      <c r="F64" s="800">
        <f t="shared" si="10"/>
        <v>1</v>
      </c>
      <c r="G64" s="816">
        <f>IF($E$12="NO",G63+1,
IF(OR(D64&lt;$F$8,D64&gt;$F$9),MAX($G$26:G63)+1,""))</f>
        <v>26</v>
      </c>
      <c r="H64" s="809">
        <f t="shared" si="13"/>
        <v>167204035.32294238</v>
      </c>
      <c r="I64" s="809">
        <f t="shared" si="14"/>
        <v>-801186.00258909899</v>
      </c>
      <c r="J64" s="817">
        <f t="shared" si="15"/>
        <v>-202327.54790352061</v>
      </c>
      <c r="K64" s="809">
        <f t="shared" si="2"/>
        <v>-1003513.5504926196</v>
      </c>
      <c r="L64" s="791">
        <f t="shared" si="11"/>
        <v>167001707.77503887</v>
      </c>
    </row>
    <row r="65" spans="3:12">
      <c r="C65" s="814">
        <f t="shared" si="9"/>
        <v>39</v>
      </c>
      <c r="D65" s="815">
        <f t="shared" si="12"/>
        <v>50405</v>
      </c>
      <c r="E65" s="800">
        <f t="shared" si="5"/>
        <v>4</v>
      </c>
      <c r="F65" s="800">
        <f t="shared" si="10"/>
        <v>1</v>
      </c>
      <c r="G65" s="816">
        <f>IF($E$12="NO",G64+1,
IF(OR(D65&lt;$F$8,D65&gt;$F$9),MAX($G$26:G64)+1,""))</f>
        <v>27</v>
      </c>
      <c r="H65" s="809">
        <f t="shared" si="13"/>
        <v>167001707.77503887</v>
      </c>
      <c r="I65" s="809">
        <f t="shared" si="14"/>
        <v>-800216.51642206125</v>
      </c>
      <c r="J65" s="817">
        <f t="shared" si="15"/>
        <v>-203297.03407055829</v>
      </c>
      <c r="K65" s="809">
        <f t="shared" si="2"/>
        <v>-1003513.5504926195</v>
      </c>
      <c r="L65" s="791">
        <f t="shared" si="11"/>
        <v>166798410.74096832</v>
      </c>
    </row>
    <row r="66" spans="3:12">
      <c r="C66" s="814">
        <f t="shared" si="9"/>
        <v>40</v>
      </c>
      <c r="D66" s="815">
        <f t="shared" si="12"/>
        <v>50436</v>
      </c>
      <c r="E66" s="800">
        <f t="shared" si="5"/>
        <v>4</v>
      </c>
      <c r="F66" s="800">
        <f t="shared" si="10"/>
        <v>2</v>
      </c>
      <c r="G66" s="816">
        <f>IF($E$12="NO",G65+1,
IF(OR(D66&lt;$F$8,D66&gt;$F$9),MAX($G$26:G65)+1,""))</f>
        <v>28</v>
      </c>
      <c r="H66" s="809">
        <f t="shared" si="13"/>
        <v>166798410.74096832</v>
      </c>
      <c r="I66" s="809">
        <f t="shared" si="14"/>
        <v>-799242.38480047323</v>
      </c>
      <c r="J66" s="817">
        <f t="shared" si="15"/>
        <v>-204271.1656921464</v>
      </c>
      <c r="K66" s="809">
        <f t="shared" si="2"/>
        <v>-1003513.5504926196</v>
      </c>
      <c r="L66" s="791">
        <f t="shared" si="11"/>
        <v>166594139.57527617</v>
      </c>
    </row>
    <row r="67" spans="3:12">
      <c r="C67" s="814">
        <f t="shared" si="9"/>
        <v>41</v>
      </c>
      <c r="D67" s="815">
        <f t="shared" si="12"/>
        <v>50464</v>
      </c>
      <c r="E67" s="800">
        <f t="shared" si="5"/>
        <v>4</v>
      </c>
      <c r="F67" s="800">
        <f t="shared" si="10"/>
        <v>2</v>
      </c>
      <c r="G67" s="816">
        <f>IF($E$12="NO",G66+1,
IF(OR(D67&lt;$F$8,D67&gt;$F$9),MAX($G$26:G66)+1,""))</f>
        <v>29</v>
      </c>
      <c r="H67" s="809">
        <f t="shared" si="13"/>
        <v>166594139.57527617</v>
      </c>
      <c r="I67" s="809">
        <f t="shared" si="14"/>
        <v>-798263.58546486497</v>
      </c>
      <c r="J67" s="817">
        <f t="shared" si="15"/>
        <v>-205249.9650277546</v>
      </c>
      <c r="K67" s="809">
        <f t="shared" si="2"/>
        <v>-1003513.5504926196</v>
      </c>
      <c r="L67" s="791">
        <f t="shared" si="11"/>
        <v>166388889.61024842</v>
      </c>
    </row>
    <row r="68" spans="3:12">
      <c r="C68" s="814">
        <f t="shared" si="9"/>
        <v>42</v>
      </c>
      <c r="D68" s="815">
        <f t="shared" si="12"/>
        <v>50495</v>
      </c>
      <c r="E68" s="800">
        <f t="shared" si="5"/>
        <v>4</v>
      </c>
      <c r="F68" s="800">
        <f t="shared" si="10"/>
        <v>2</v>
      </c>
      <c r="G68" s="816">
        <f>IF($E$12="NO",G67+1,
IF(OR(D68&lt;$F$8,D68&gt;$F$9),MAX($G$26:G67)+1,""))</f>
        <v>30</v>
      </c>
      <c r="H68" s="809">
        <f t="shared" si="13"/>
        <v>166388889.61024842</v>
      </c>
      <c r="I68" s="809">
        <f t="shared" si="14"/>
        <v>-797280.09604910703</v>
      </c>
      <c r="J68" s="817">
        <f t="shared" si="15"/>
        <v>-206233.45444351257</v>
      </c>
      <c r="K68" s="809">
        <f t="shared" si="2"/>
        <v>-1003513.5504926196</v>
      </c>
      <c r="L68" s="791">
        <f t="shared" si="11"/>
        <v>166182656.1558049</v>
      </c>
    </row>
    <row r="69" spans="3:12">
      <c r="C69" s="814">
        <f t="shared" si="9"/>
        <v>43</v>
      </c>
      <c r="D69" s="815">
        <f t="shared" si="12"/>
        <v>50525</v>
      </c>
      <c r="E69" s="800">
        <f t="shared" si="5"/>
        <v>4</v>
      </c>
      <c r="F69" s="800">
        <f t="shared" si="10"/>
        <v>3</v>
      </c>
      <c r="G69" s="816">
        <f>IF($E$12="NO",G68+1,
IF(OR(D69&lt;$F$8,D69&gt;$F$9),MAX($G$26:G68)+1,""))</f>
        <v>31</v>
      </c>
      <c r="H69" s="809">
        <f t="shared" si="13"/>
        <v>166182656.1558049</v>
      </c>
      <c r="I69" s="809">
        <f t="shared" si="14"/>
        <v>-796291.89407989848</v>
      </c>
      <c r="J69" s="817">
        <f t="shared" si="15"/>
        <v>-207221.65641272109</v>
      </c>
      <c r="K69" s="809">
        <f t="shared" si="2"/>
        <v>-1003513.5504926196</v>
      </c>
      <c r="L69" s="791">
        <f t="shared" si="11"/>
        <v>165975434.49939218</v>
      </c>
    </row>
    <row r="70" spans="3:12">
      <c r="C70" s="814">
        <f t="shared" si="9"/>
        <v>44</v>
      </c>
      <c r="D70" s="815">
        <f t="shared" si="12"/>
        <v>50556</v>
      </c>
      <c r="E70" s="800">
        <f t="shared" si="5"/>
        <v>4</v>
      </c>
      <c r="F70" s="800">
        <f t="shared" si="10"/>
        <v>3</v>
      </c>
      <c r="G70" s="816">
        <f>IF($E$12="NO",G69+1,
IF(OR(D70&lt;$F$8,D70&gt;$F$9),MAX($G$26:G69)+1,""))</f>
        <v>32</v>
      </c>
      <c r="H70" s="809">
        <f t="shared" si="13"/>
        <v>165975434.49939218</v>
      </c>
      <c r="I70" s="809">
        <f t="shared" si="14"/>
        <v>-795298.95697625435</v>
      </c>
      <c r="J70" s="817">
        <f t="shared" si="15"/>
        <v>-208214.59351636539</v>
      </c>
      <c r="K70" s="809">
        <f t="shared" si="2"/>
        <v>-1003513.5504926197</v>
      </c>
      <c r="L70" s="791">
        <f t="shared" si="11"/>
        <v>165767219.9058758</v>
      </c>
    </row>
    <row r="71" spans="3:12">
      <c r="C71" s="814">
        <f t="shared" si="9"/>
        <v>45</v>
      </c>
      <c r="D71" s="815">
        <f t="shared" si="12"/>
        <v>50586</v>
      </c>
      <c r="E71" s="800">
        <f t="shared" si="5"/>
        <v>4</v>
      </c>
      <c r="F71" s="800">
        <f t="shared" si="10"/>
        <v>3</v>
      </c>
      <c r="G71" s="816">
        <f>IF($E$12="NO",G70+1,
IF(OR(D71&lt;$F$8,D71&gt;$F$9),MAX($G$26:G70)+1,""))</f>
        <v>33</v>
      </c>
      <c r="H71" s="809">
        <f t="shared" si="13"/>
        <v>165767219.9058758</v>
      </c>
      <c r="I71" s="809">
        <f t="shared" si="14"/>
        <v>-794301.26204898825</v>
      </c>
      <c r="J71" s="817">
        <f t="shared" si="15"/>
        <v>-209212.28844363129</v>
      </c>
      <c r="K71" s="809">
        <f t="shared" si="2"/>
        <v>-1003513.5504926195</v>
      </c>
      <c r="L71" s="791">
        <f t="shared" si="11"/>
        <v>165558007.61743218</v>
      </c>
    </row>
    <row r="72" spans="3:12">
      <c r="C72" s="814">
        <f t="shared" si="9"/>
        <v>46</v>
      </c>
      <c r="D72" s="815">
        <f t="shared" si="12"/>
        <v>50617</v>
      </c>
      <c r="E72" s="800">
        <f t="shared" si="5"/>
        <v>4</v>
      </c>
      <c r="F72" s="800">
        <f t="shared" si="10"/>
        <v>4</v>
      </c>
      <c r="G72" s="816">
        <f>IF($E$12="NO",G71+1,
IF(OR(D72&lt;$F$8,D72&gt;$F$9),MAX($G$26:G71)+1,""))</f>
        <v>34</v>
      </c>
      <c r="H72" s="809">
        <f t="shared" si="13"/>
        <v>165558007.61743218</v>
      </c>
      <c r="I72" s="809">
        <f t="shared" si="14"/>
        <v>-793298.78650019586</v>
      </c>
      <c r="J72" s="817">
        <f t="shared" si="15"/>
        <v>-210214.76399242369</v>
      </c>
      <c r="K72" s="809">
        <f t="shared" si="2"/>
        <v>-1003513.5504926195</v>
      </c>
      <c r="L72" s="791">
        <f t="shared" si="11"/>
        <v>165347792.85343975</v>
      </c>
    </row>
    <row r="73" spans="3:12">
      <c r="C73" s="814">
        <f t="shared" si="9"/>
        <v>47</v>
      </c>
      <c r="D73" s="815">
        <f t="shared" si="12"/>
        <v>50648</v>
      </c>
      <c r="E73" s="800">
        <f t="shared" si="5"/>
        <v>4</v>
      </c>
      <c r="F73" s="800">
        <f t="shared" si="10"/>
        <v>4</v>
      </c>
      <c r="G73" s="816">
        <f>IF($E$12="NO",G72+1,
IF(OR(D73&lt;$F$8,D73&gt;$F$9),MAX($G$26:G72)+1,""))</f>
        <v>35</v>
      </c>
      <c r="H73" s="809">
        <f t="shared" si="13"/>
        <v>165347792.85343975</v>
      </c>
      <c r="I73" s="809">
        <f t="shared" si="14"/>
        <v>-792291.50742273219</v>
      </c>
      <c r="J73" s="817">
        <f t="shared" si="15"/>
        <v>-211222.04306988741</v>
      </c>
      <c r="K73" s="809">
        <f t="shared" si="2"/>
        <v>-1003513.5504926196</v>
      </c>
      <c r="L73" s="791">
        <f t="shared" si="11"/>
        <v>165136570.81036985</v>
      </c>
    </row>
    <row r="74" spans="3:12">
      <c r="C74" s="814">
        <f t="shared" si="9"/>
        <v>48</v>
      </c>
      <c r="D74" s="815">
        <f t="shared" si="12"/>
        <v>50678</v>
      </c>
      <c r="E74" s="800">
        <f t="shared" si="5"/>
        <v>4</v>
      </c>
      <c r="F74" s="800">
        <f t="shared" si="10"/>
        <v>4</v>
      </c>
      <c r="G74" s="816">
        <f>IF($E$12="NO",G73+1,
IF(OR(D74&lt;$F$8,D74&gt;$F$9),MAX($G$26:G73)+1,""))</f>
        <v>36</v>
      </c>
      <c r="H74" s="809">
        <f t="shared" si="13"/>
        <v>165136570.81036985</v>
      </c>
      <c r="I74" s="809">
        <f t="shared" si="14"/>
        <v>-791279.40179968893</v>
      </c>
      <c r="J74" s="817">
        <f t="shared" si="15"/>
        <v>-212234.14869293058</v>
      </c>
      <c r="K74" s="809">
        <f t="shared" si="2"/>
        <v>-1003513.5504926195</v>
      </c>
      <c r="L74" s="791">
        <f t="shared" si="11"/>
        <v>164924336.66167691</v>
      </c>
    </row>
    <row r="75" spans="3:12">
      <c r="C75" s="814">
        <f t="shared" si="9"/>
        <v>49</v>
      </c>
      <c r="D75" s="815">
        <f t="shared" si="12"/>
        <v>50709</v>
      </c>
      <c r="E75" s="800">
        <f t="shared" si="5"/>
        <v>5</v>
      </c>
      <c r="F75" s="800">
        <f t="shared" si="10"/>
        <v>1</v>
      </c>
      <c r="G75" s="816">
        <f>IF($E$12="NO",G74+1,
IF(OR(D75&lt;$F$8,D75&gt;$F$9),MAX($G$26:G74)+1,""))</f>
        <v>37</v>
      </c>
      <c r="H75" s="809">
        <f t="shared" si="13"/>
        <v>164924336.66167691</v>
      </c>
      <c r="I75" s="809">
        <f t="shared" si="14"/>
        <v>-790262.44650386868</v>
      </c>
      <c r="J75" s="817">
        <f t="shared" si="15"/>
        <v>-213251.10398875093</v>
      </c>
      <c r="K75" s="809">
        <f t="shared" si="2"/>
        <v>-1003513.5504926196</v>
      </c>
      <c r="L75" s="791">
        <f t="shared" si="11"/>
        <v>164711085.55768818</v>
      </c>
    </row>
    <row r="76" spans="3:12">
      <c r="C76" s="814">
        <f t="shared" si="9"/>
        <v>50</v>
      </c>
      <c r="D76" s="815">
        <f t="shared" si="12"/>
        <v>50739</v>
      </c>
      <c r="E76" s="800">
        <f t="shared" si="5"/>
        <v>5</v>
      </c>
      <c r="F76" s="800">
        <f t="shared" si="10"/>
        <v>1</v>
      </c>
      <c r="G76" s="816">
        <f>IF($E$12="NO",G75+1,
IF(OR(D76&lt;$F$8,D76&gt;$F$9),MAX($G$26:G75)+1,""))</f>
        <v>38</v>
      </c>
      <c r="H76" s="809">
        <f t="shared" si="13"/>
        <v>164711085.55768818</v>
      </c>
      <c r="I76" s="809">
        <f t="shared" si="14"/>
        <v>-789240.61829725595</v>
      </c>
      <c r="J76" s="817">
        <f t="shared" si="15"/>
        <v>-214272.93219536368</v>
      </c>
      <c r="K76" s="809">
        <f t="shared" si="2"/>
        <v>-1003513.5504926196</v>
      </c>
      <c r="L76" s="791">
        <f t="shared" si="11"/>
        <v>164496812.62549281</v>
      </c>
    </row>
    <row r="77" spans="3:12">
      <c r="C77" s="814">
        <f t="shared" si="9"/>
        <v>51</v>
      </c>
      <c r="D77" s="815">
        <f t="shared" si="12"/>
        <v>50770</v>
      </c>
      <c r="E77" s="800">
        <f t="shared" si="5"/>
        <v>5</v>
      </c>
      <c r="F77" s="800">
        <f t="shared" si="10"/>
        <v>1</v>
      </c>
      <c r="G77" s="816">
        <f>IF($E$12="NO",G76+1,
IF(OR(D77&lt;$F$8,D77&gt;$F$9),MAX($G$26:G76)+1,""))</f>
        <v>39</v>
      </c>
      <c r="H77" s="809">
        <f t="shared" si="13"/>
        <v>164496812.62549281</v>
      </c>
      <c r="I77" s="809">
        <f t="shared" si="14"/>
        <v>-788213.89383048646</v>
      </c>
      <c r="J77" s="817">
        <f t="shared" si="15"/>
        <v>-215299.65666213309</v>
      </c>
      <c r="K77" s="809">
        <f t="shared" si="2"/>
        <v>-1003513.5504926195</v>
      </c>
      <c r="L77" s="791">
        <f t="shared" si="11"/>
        <v>164281512.96883067</v>
      </c>
    </row>
    <row r="78" spans="3:12">
      <c r="C78" s="814">
        <f t="shared" si="9"/>
        <v>52</v>
      </c>
      <c r="D78" s="815">
        <f t="shared" si="12"/>
        <v>50801</v>
      </c>
      <c r="E78" s="800">
        <f t="shared" si="5"/>
        <v>5</v>
      </c>
      <c r="F78" s="800">
        <f t="shared" si="10"/>
        <v>2</v>
      </c>
      <c r="G78" s="816">
        <f>IF($E$12="NO",G77+1,
IF(OR(D78&lt;$F$8,D78&gt;$F$9),MAX($G$26:G77)+1,""))</f>
        <v>40</v>
      </c>
      <c r="H78" s="809">
        <f t="shared" si="13"/>
        <v>164281512.96883067</v>
      </c>
      <c r="I78" s="809">
        <f t="shared" si="14"/>
        <v>-787182.24964231357</v>
      </c>
      <c r="J78" s="817">
        <f t="shared" si="15"/>
        <v>-216331.30085030582</v>
      </c>
      <c r="K78" s="809">
        <f t="shared" si="2"/>
        <v>-1003513.5504926194</v>
      </c>
      <c r="L78" s="791">
        <f t="shared" si="11"/>
        <v>164065181.66798037</v>
      </c>
    </row>
    <row r="79" spans="3:12">
      <c r="C79" s="814">
        <f t="shared" si="9"/>
        <v>53</v>
      </c>
      <c r="D79" s="815">
        <f t="shared" si="12"/>
        <v>50829</v>
      </c>
      <c r="E79" s="800">
        <f t="shared" si="5"/>
        <v>5</v>
      </c>
      <c r="F79" s="800">
        <f t="shared" si="10"/>
        <v>2</v>
      </c>
      <c r="G79" s="816">
        <f>IF($E$12="NO",G78+1,
IF(OR(D79&lt;$F$8,D79&gt;$F$9),MAX($G$26:G78)+1,""))</f>
        <v>41</v>
      </c>
      <c r="H79" s="809">
        <f t="shared" si="13"/>
        <v>164065181.66798037</v>
      </c>
      <c r="I79" s="809">
        <f t="shared" si="14"/>
        <v>-786145.6621590727</v>
      </c>
      <c r="J79" s="817">
        <f t="shared" si="15"/>
        <v>-217367.88833354687</v>
      </c>
      <c r="K79" s="809">
        <f t="shared" si="2"/>
        <v>-1003513.5504926196</v>
      </c>
      <c r="L79" s="791">
        <f t="shared" si="11"/>
        <v>163847813.77964681</v>
      </c>
    </row>
    <row r="80" spans="3:12">
      <c r="C80" s="814">
        <f t="shared" si="9"/>
        <v>54</v>
      </c>
      <c r="D80" s="815">
        <f t="shared" si="12"/>
        <v>50860</v>
      </c>
      <c r="E80" s="800">
        <f t="shared" si="5"/>
        <v>5</v>
      </c>
      <c r="F80" s="800">
        <f t="shared" si="10"/>
        <v>2</v>
      </c>
      <c r="G80" s="816">
        <f>IF($E$12="NO",G79+1,
IF(OR(D80&lt;$F$8,D80&gt;$F$9),MAX($G$26:G79)+1,""))</f>
        <v>42</v>
      </c>
      <c r="H80" s="809">
        <f t="shared" si="13"/>
        <v>163847813.77964681</v>
      </c>
      <c r="I80" s="809">
        <f t="shared" si="14"/>
        <v>-785104.10769414098</v>
      </c>
      <c r="J80" s="817">
        <f t="shared" si="15"/>
        <v>-218409.44279847844</v>
      </c>
      <c r="K80" s="809">
        <f t="shared" si="2"/>
        <v>-1003513.5504926194</v>
      </c>
      <c r="L80" s="791">
        <f t="shared" si="11"/>
        <v>163629404.33684835</v>
      </c>
    </row>
    <row r="81" spans="3:12">
      <c r="C81" s="814">
        <f t="shared" si="9"/>
        <v>55</v>
      </c>
      <c r="D81" s="815">
        <f t="shared" si="12"/>
        <v>50890</v>
      </c>
      <c r="E81" s="800">
        <f t="shared" si="5"/>
        <v>5</v>
      </c>
      <c r="F81" s="800">
        <f t="shared" si="10"/>
        <v>3</v>
      </c>
      <c r="G81" s="816">
        <f>IF($E$12="NO",G80+1,
IF(OR(D81&lt;$F$8,D81&gt;$F$9),MAX($G$26:G80)+1,""))</f>
        <v>43</v>
      </c>
      <c r="H81" s="809">
        <f t="shared" si="13"/>
        <v>163629404.33684835</v>
      </c>
      <c r="I81" s="809">
        <f t="shared" si="14"/>
        <v>-784057.56244739844</v>
      </c>
      <c r="J81" s="817">
        <f t="shared" si="15"/>
        <v>-219455.98804522117</v>
      </c>
      <c r="K81" s="809">
        <f t="shared" si="2"/>
        <v>-1003513.5504926196</v>
      </c>
      <c r="L81" s="791">
        <f t="shared" si="11"/>
        <v>163409948.34880313</v>
      </c>
    </row>
    <row r="82" spans="3:12">
      <c r="C82" s="814">
        <f t="shared" si="9"/>
        <v>56</v>
      </c>
      <c r="D82" s="815">
        <f t="shared" si="12"/>
        <v>50921</v>
      </c>
      <c r="E82" s="800">
        <f t="shared" si="5"/>
        <v>5</v>
      </c>
      <c r="F82" s="800">
        <f t="shared" si="10"/>
        <v>3</v>
      </c>
      <c r="G82" s="816">
        <f>IF($E$12="NO",G81+1,
IF(OR(D82&lt;$F$8,D82&gt;$F$9),MAX($G$26:G81)+1,""))</f>
        <v>44</v>
      </c>
      <c r="H82" s="809">
        <f t="shared" si="13"/>
        <v>163409948.34880313</v>
      </c>
      <c r="I82" s="809">
        <f t="shared" si="14"/>
        <v>-783006.0025046817</v>
      </c>
      <c r="J82" s="817">
        <f t="shared" si="15"/>
        <v>-220507.54798793787</v>
      </c>
      <c r="K82" s="809">
        <f t="shared" si="2"/>
        <v>-1003513.5504926196</v>
      </c>
      <c r="L82" s="791">
        <f t="shared" si="11"/>
        <v>163189440.80081519</v>
      </c>
    </row>
    <row r="83" spans="3:12">
      <c r="C83" s="814">
        <f t="shared" si="9"/>
        <v>57</v>
      </c>
      <c r="D83" s="815">
        <f t="shared" si="12"/>
        <v>50951</v>
      </c>
      <c r="E83" s="800">
        <f t="shared" si="5"/>
        <v>5</v>
      </c>
      <c r="F83" s="800">
        <f t="shared" si="10"/>
        <v>3</v>
      </c>
      <c r="G83" s="816">
        <f>IF($E$12="NO",G82+1,
IF(OR(D83&lt;$F$8,D83&gt;$F$9),MAX($G$26:G82)+1,""))</f>
        <v>45</v>
      </c>
      <c r="H83" s="809">
        <f t="shared" si="13"/>
        <v>163189440.80081519</v>
      </c>
      <c r="I83" s="809">
        <f t="shared" si="14"/>
        <v>-781949.40383723949</v>
      </c>
      <c r="J83" s="817">
        <f t="shared" si="15"/>
        <v>-221564.14665538006</v>
      </c>
      <c r="K83" s="809">
        <f t="shared" si="2"/>
        <v>-1003513.5504926195</v>
      </c>
      <c r="L83" s="791">
        <f t="shared" si="11"/>
        <v>162967876.65415981</v>
      </c>
    </row>
    <row r="84" spans="3:12">
      <c r="C84" s="814">
        <f t="shared" si="9"/>
        <v>58</v>
      </c>
      <c r="D84" s="815">
        <f t="shared" si="12"/>
        <v>50982</v>
      </c>
      <c r="E84" s="800">
        <f t="shared" si="5"/>
        <v>5</v>
      </c>
      <c r="F84" s="800">
        <f t="shared" si="10"/>
        <v>4</v>
      </c>
      <c r="G84" s="816">
        <f>IF($E$12="NO",G83+1,
IF(OR(D84&lt;$F$8,D84&gt;$F$9),MAX($G$26:G83)+1,""))</f>
        <v>46</v>
      </c>
      <c r="H84" s="809">
        <f t="shared" si="13"/>
        <v>162967876.65415981</v>
      </c>
      <c r="I84" s="809">
        <f t="shared" si="14"/>
        <v>-780887.74230118247</v>
      </c>
      <c r="J84" s="817">
        <f t="shared" si="15"/>
        <v>-222625.80819143707</v>
      </c>
      <c r="K84" s="809">
        <f t="shared" si="2"/>
        <v>-1003513.5504926195</v>
      </c>
      <c r="L84" s="791">
        <f t="shared" si="11"/>
        <v>162745250.84596837</v>
      </c>
    </row>
    <row r="85" spans="3:12">
      <c r="C85" s="814">
        <f t="shared" si="9"/>
        <v>59</v>
      </c>
      <c r="D85" s="815">
        <f t="shared" si="12"/>
        <v>51013</v>
      </c>
      <c r="E85" s="800">
        <f t="shared" si="5"/>
        <v>5</v>
      </c>
      <c r="F85" s="800">
        <f t="shared" si="10"/>
        <v>4</v>
      </c>
      <c r="G85" s="816">
        <f>IF($E$12="NO",G84+1,
IF(OR(D85&lt;$F$8,D85&gt;$F$9),MAX($G$26:G84)+1,""))</f>
        <v>47</v>
      </c>
      <c r="H85" s="809">
        <f t="shared" si="13"/>
        <v>162745250.84596837</v>
      </c>
      <c r="I85" s="809">
        <f t="shared" si="14"/>
        <v>-779820.99363693176</v>
      </c>
      <c r="J85" s="817">
        <f t="shared" si="15"/>
        <v>-223692.55685568776</v>
      </c>
      <c r="K85" s="809">
        <f t="shared" si="2"/>
        <v>-1003513.5504926195</v>
      </c>
      <c r="L85" s="791">
        <f t="shared" si="11"/>
        <v>162521558.28911269</v>
      </c>
    </row>
    <row r="86" spans="3:12">
      <c r="C86" s="818">
        <f t="shared" si="9"/>
        <v>60</v>
      </c>
      <c r="D86" s="819">
        <f t="shared" si="12"/>
        <v>51043</v>
      </c>
      <c r="E86" s="820">
        <f t="shared" si="5"/>
        <v>5</v>
      </c>
      <c r="F86" s="821">
        <f t="shared" si="10"/>
        <v>4</v>
      </c>
      <c r="G86" s="821">
        <f>IF($E$12="NO",G85+1,
IF(OR(D86&lt;$F$8,D86&gt;$F$9),MAX($G$26:G85)+1,""))</f>
        <v>48</v>
      </c>
      <c r="H86" s="810">
        <f t="shared" si="13"/>
        <v>162521558.28911269</v>
      </c>
      <c r="I86" s="810">
        <f t="shared" si="14"/>
        <v>-778749.13346866507</v>
      </c>
      <c r="J86" s="822">
        <f t="shared" si="15"/>
        <v>-224764.41702395453</v>
      </c>
      <c r="K86" s="810">
        <f t="shared" si="2"/>
        <v>-1003513.5504926196</v>
      </c>
      <c r="L86" s="808">
        <f t="shared" si="11"/>
        <v>162296793.87208873</v>
      </c>
    </row>
  </sheetData>
  <conditionalFormatting sqref="F10">
    <cfRule type="expression" dxfId="57" priority="2">
      <formula>#REF!=#REF!</formula>
    </cfRule>
  </conditionalFormatting>
  <conditionalFormatting sqref="E10:E11">
    <cfRule type="expression" dxfId="56" priority="1">
      <formula>#REF!=#REF!</formula>
    </cfRule>
  </conditionalFormatting>
  <dataValidations count="1">
    <dataValidation type="list" allowBlank="1" showInputMessage="1" showErrorMessage="1" sqref="E12:F12" xr:uid="{792D6B3E-A810-49B5-8A90-75B446315597}">
      <formula1>"YES, NO"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1B62D-F944-4138-BA47-385CE08DF343}">
  <sheetPr>
    <tabColor rgb="FF92D050"/>
    <pageSetUpPr fitToPage="1"/>
  </sheetPr>
  <dimension ref="A1:AC182"/>
  <sheetViews>
    <sheetView showGridLines="0" topLeftCell="B1" zoomScale="69" zoomScaleNormal="69" zoomScaleSheetLayoutView="90" workbookViewId="0">
      <selection activeCell="D8" sqref="D8"/>
    </sheetView>
  </sheetViews>
  <sheetFormatPr defaultColWidth="8.85546875" defaultRowHeight="23.25" customHeight="1"/>
  <cols>
    <col min="1" max="1" width="46.140625" style="5" bestFit="1" customWidth="1"/>
    <col min="2" max="2" width="28.85546875" style="5" bestFit="1" customWidth="1"/>
    <col min="3" max="3" width="35.5703125" style="5" customWidth="1"/>
    <col min="4" max="4" width="19.42578125" style="5" bestFit="1" customWidth="1"/>
    <col min="5" max="5" width="15.5703125" style="5" bestFit="1" customWidth="1"/>
    <col min="6" max="6" width="12.42578125" style="5" bestFit="1" customWidth="1"/>
    <col min="7" max="7" width="32.85546875" style="5" bestFit="1" customWidth="1"/>
    <col min="8" max="8" width="28.85546875" style="5" bestFit="1" customWidth="1"/>
    <col min="9" max="9" width="35.5703125" style="5" customWidth="1"/>
    <col min="10" max="11" width="26.85546875" style="5" customWidth="1"/>
    <col min="12" max="12" width="1.5703125" style="5" customWidth="1"/>
    <col min="13" max="13" width="32.85546875" style="5" bestFit="1" customWidth="1"/>
    <col min="14" max="14" width="28.85546875" style="5" bestFit="1" customWidth="1"/>
    <col min="15" max="15" width="35.5703125" style="5" customWidth="1"/>
    <col min="16" max="17" width="26.85546875" style="5" customWidth="1"/>
    <col min="18" max="18" width="1.5703125" style="5" customWidth="1"/>
    <col min="19" max="19" width="32.85546875" style="5" bestFit="1" customWidth="1"/>
    <col min="20" max="20" width="28.85546875" style="5" bestFit="1" customWidth="1"/>
    <col min="21" max="21" width="35.5703125" style="5" customWidth="1"/>
    <col min="22" max="23" width="26.85546875" style="5" customWidth="1"/>
    <col min="24" max="24" width="21.42578125" style="5" bestFit="1" customWidth="1"/>
    <col min="25" max="26" width="24.42578125" style="5" customWidth="1"/>
    <col min="27" max="27" width="32.42578125" style="5" customWidth="1"/>
    <col min="28" max="28" width="20.140625" style="5" customWidth="1"/>
    <col min="29" max="29" width="13.42578125" style="5" bestFit="1" customWidth="1"/>
    <col min="30" max="16384" width="8.85546875" style="5"/>
  </cols>
  <sheetData>
    <row r="1" spans="1:29" ht="23.25" customHeight="1" thickBot="1">
      <c r="A1" s="2"/>
      <c r="B1" s="75"/>
      <c r="C1" s="3"/>
      <c r="D1" s="4"/>
      <c r="Y1" s="124"/>
    </row>
    <row r="2" spans="1:29" ht="30" customHeight="1" thickBot="1">
      <c r="A2" s="1000" t="s">
        <v>381</v>
      </c>
      <c r="B2" s="142"/>
      <c r="C2" s="142" t="s">
        <v>89</v>
      </c>
      <c r="D2" s="1075" t="s">
        <v>114</v>
      </c>
      <c r="E2" s="1076"/>
      <c r="Y2" s="99"/>
    </row>
    <row r="3" spans="1:29" ht="20.25" customHeight="1">
      <c r="B3" s="55"/>
      <c r="C3" s="55"/>
      <c r="D3" s="55"/>
      <c r="E3" s="55"/>
      <c r="Y3" s="137"/>
    </row>
    <row r="4" spans="1:29" ht="24.95" customHeight="1" thickBot="1">
      <c r="A4" s="181" t="s">
        <v>382</v>
      </c>
      <c r="B4" s="117"/>
      <c r="Y4" s="123"/>
      <c r="Z4" s="135"/>
      <c r="AA4" s="55"/>
      <c r="AB4" s="55"/>
      <c r="AC4" s="55"/>
    </row>
    <row r="5" spans="1:29" ht="15" customHeight="1" thickBot="1">
      <c r="A5" s="750" t="s">
        <v>383</v>
      </c>
      <c r="B5" s="751"/>
      <c r="C5" s="180" t="s">
        <v>384</v>
      </c>
      <c r="D5" s="170">
        <f>SUM(E129,K129,Q129)</f>
        <v>8470917.0749999993</v>
      </c>
      <c r="E5" s="568">
        <f>B28-B10-B11+B25</f>
        <v>175548525.58473122</v>
      </c>
      <c r="J5" s="168"/>
      <c r="Y5" s="123"/>
      <c r="Z5" s="135"/>
      <c r="AA5" s="55"/>
      <c r="AB5" s="135"/>
      <c r="AC5" s="55"/>
    </row>
    <row r="6" spans="1:29" ht="15" customHeight="1" thickBot="1">
      <c r="A6" s="752" t="s">
        <v>33</v>
      </c>
      <c r="B6" s="753" t="s">
        <v>385</v>
      </c>
      <c r="C6" s="180" t="s">
        <v>386</v>
      </c>
      <c r="D6" s="170">
        <f>SUM(B171,H171,N171)</f>
        <v>10718412.479100009</v>
      </c>
      <c r="E6" s="274"/>
      <c r="J6" s="168"/>
      <c r="Y6" s="123"/>
      <c r="Z6" s="135"/>
      <c r="AA6" s="55"/>
      <c r="AB6" s="135"/>
      <c r="AC6" s="55"/>
    </row>
    <row r="7" spans="1:29" ht="15" customHeight="1">
      <c r="A7" s="754" t="s">
        <v>387</v>
      </c>
      <c r="B7" s="755">
        <f>SUM(C133,I133,O133)</f>
        <v>132932280.00000001</v>
      </c>
      <c r="C7" s="180" t="s">
        <v>388</v>
      </c>
      <c r="D7" s="364">
        <f>IFERROR((D6/D5)^(1/(D8+1))-1,0)</f>
        <v>4.0000000000000036E-2</v>
      </c>
      <c r="G7" s="278"/>
      <c r="J7" s="168"/>
      <c r="Y7" s="123"/>
      <c r="Z7" s="135"/>
      <c r="AA7" s="55"/>
      <c r="AB7" s="135"/>
      <c r="AC7" s="55"/>
    </row>
    <row r="8" spans="1:29" ht="15" customHeight="1">
      <c r="A8" s="17" t="s">
        <v>77</v>
      </c>
      <c r="B8" s="143">
        <f>SUM(C134,I134,O134)</f>
        <v>6646614.0000000009</v>
      </c>
      <c r="C8" s="180" t="s">
        <v>125</v>
      </c>
      <c r="D8" s="362">
        <f>Assumptions!$L$41</f>
        <v>5</v>
      </c>
      <c r="E8" s="274"/>
      <c r="F8" s="361"/>
      <c r="J8" s="168"/>
      <c r="Y8" s="123"/>
      <c r="Z8" s="135"/>
      <c r="AA8" s="55"/>
      <c r="AB8" s="135"/>
      <c r="AC8" s="55"/>
    </row>
    <row r="9" spans="1:29" ht="15" customHeight="1">
      <c r="A9" s="17" t="s">
        <v>389</v>
      </c>
      <c r="B9" s="143">
        <f>SUM(C135,I135,O135)</f>
        <v>0</v>
      </c>
      <c r="C9" s="272" t="s">
        <v>390</v>
      </c>
      <c r="D9" s="170">
        <f>SUM(B$164,H$164,N$164)</f>
        <v>0</v>
      </c>
      <c r="J9" s="168"/>
      <c r="Y9" s="123"/>
      <c r="Z9" s="135"/>
      <c r="AA9" s="55"/>
      <c r="AB9" s="135"/>
      <c r="AC9" s="55"/>
    </row>
    <row r="10" spans="1:29" ht="15" customHeight="1">
      <c r="A10" s="17" t="s">
        <v>391</v>
      </c>
      <c r="B10" s="143">
        <f t="shared" ref="B10:B23" si="0">SUM(C136,I136,O136)</f>
        <v>808909.2</v>
      </c>
      <c r="C10" s="180" t="s">
        <v>392</v>
      </c>
      <c r="D10" s="170">
        <f>SUM(B$175,H$175,N$175)</f>
        <v>210132791.0445002</v>
      </c>
      <c r="J10" s="168"/>
      <c r="Y10" s="123"/>
      <c r="Z10" s="135"/>
      <c r="AA10" s="55"/>
      <c r="AB10" s="135"/>
      <c r="AC10" s="55"/>
    </row>
    <row r="11" spans="1:29" ht="15" customHeight="1" thickBot="1">
      <c r="A11" s="17" t="s">
        <v>393</v>
      </c>
      <c r="B11" s="143">
        <f t="shared" si="0"/>
        <v>2480000</v>
      </c>
      <c r="C11" s="180" t="s">
        <v>394</v>
      </c>
      <c r="D11" s="543" t="str">
        <f>IF(OR(B35="YES",H35="YES",N35="YES"),"YES","NO")</f>
        <v>NO</v>
      </c>
      <c r="J11" s="168"/>
      <c r="Y11" s="123"/>
      <c r="Z11" s="135"/>
      <c r="AA11" s="55"/>
      <c r="AB11" s="135"/>
      <c r="AC11" s="55"/>
    </row>
    <row r="12" spans="1:29" ht="15" customHeight="1">
      <c r="A12" s="17" t="s">
        <v>79</v>
      </c>
      <c r="B12" s="143">
        <f t="shared" si="0"/>
        <v>2658645.6000000006</v>
      </c>
      <c r="C12" s="749" t="s">
        <v>395</v>
      </c>
      <c r="D12" s="757"/>
      <c r="E12" s="758"/>
      <c r="G12" s="124"/>
      <c r="H12" s="124"/>
      <c r="J12" s="117"/>
      <c r="Y12" s="123"/>
      <c r="Z12" s="135"/>
      <c r="AA12" s="55"/>
      <c r="AB12" s="135"/>
      <c r="AC12" s="55"/>
    </row>
    <row r="13" spans="1:29" ht="15" customHeight="1">
      <c r="A13" s="377" t="s">
        <v>83</v>
      </c>
      <c r="B13" s="143">
        <f t="shared" si="0"/>
        <v>1993984.2000000002</v>
      </c>
      <c r="C13" s="844"/>
      <c r="D13" s="541" t="s">
        <v>12</v>
      </c>
      <c r="E13" s="542" t="s">
        <v>396</v>
      </c>
      <c r="G13" s="289"/>
      <c r="H13" s="554"/>
      <c r="Y13" s="123"/>
      <c r="Z13" s="135"/>
      <c r="AA13" s="55"/>
      <c r="AB13" s="135"/>
      <c r="AC13" s="55"/>
    </row>
    <row r="14" spans="1:29" ht="15" customHeight="1">
      <c r="A14" s="377" t="s">
        <v>84</v>
      </c>
      <c r="B14" s="143">
        <f t="shared" si="0"/>
        <v>20222.73</v>
      </c>
      <c r="C14" s="845" t="s">
        <v>9</v>
      </c>
      <c r="D14" s="546">
        <f>SUM(B157,H157,N157)</f>
        <v>94815466.08806023</v>
      </c>
      <c r="E14" s="759">
        <f>D14/$D$17</f>
        <v>0.51020649417536224</v>
      </c>
      <c r="G14" s="283"/>
      <c r="H14" s="130"/>
      <c r="Y14" s="123"/>
      <c r="Z14" s="135"/>
      <c r="AA14" s="55"/>
      <c r="AB14" s="135"/>
      <c r="AC14" s="55"/>
    </row>
    <row r="15" spans="1:29" ht="15" customHeight="1">
      <c r="A15" s="377" t="s">
        <v>85</v>
      </c>
      <c r="B15" s="143">
        <f t="shared" si="0"/>
        <v>2658645.6000000006</v>
      </c>
      <c r="C15" s="846" t="s">
        <v>11</v>
      </c>
      <c r="D15" s="546">
        <f>SUM(B158,H158,N158)</f>
        <v>87521968.696670979</v>
      </c>
      <c r="E15" s="759">
        <f>D15/$D$17</f>
        <v>0.47095984077725744</v>
      </c>
      <c r="G15" s="283"/>
      <c r="H15" s="130"/>
      <c r="Y15" s="123"/>
      <c r="Z15" s="135"/>
      <c r="AA15" s="55"/>
      <c r="AB15" s="135"/>
      <c r="AC15" s="55"/>
    </row>
    <row r="16" spans="1:29" ht="15" customHeight="1">
      <c r="A16" s="377" t="s">
        <v>86</v>
      </c>
      <c r="B16" s="143">
        <f t="shared" si="0"/>
        <v>4652629.8000000007</v>
      </c>
      <c r="C16" s="847" t="s">
        <v>10</v>
      </c>
      <c r="D16" s="547">
        <f>-B25</f>
        <v>3500000</v>
      </c>
      <c r="E16" s="759">
        <f>D16/$D$17</f>
        <v>1.8833665047380255E-2</v>
      </c>
      <c r="Y16" s="123"/>
      <c r="Z16" s="135"/>
      <c r="AA16" s="55"/>
      <c r="AB16" s="135"/>
      <c r="AC16" s="55"/>
    </row>
    <row r="17" spans="1:29" ht="15" customHeight="1" thickBot="1">
      <c r="A17" s="377" t="s">
        <v>88</v>
      </c>
      <c r="B17" s="143">
        <f t="shared" si="0"/>
        <v>2658645.6000000006</v>
      </c>
      <c r="C17" s="848" t="s">
        <v>397</v>
      </c>
      <c r="D17" s="552">
        <f>SUM(D14:D16)</f>
        <v>185837434.78473121</v>
      </c>
      <c r="E17" s="561">
        <f>SUM(E14:E16)</f>
        <v>0.99999999999999989</v>
      </c>
      <c r="Y17" s="123"/>
      <c r="Z17" s="135"/>
      <c r="AA17" s="55"/>
      <c r="AB17" s="135"/>
      <c r="AC17" s="55"/>
    </row>
    <row r="18" spans="1:29" ht="15" customHeight="1" thickTop="1" thickBot="1">
      <c r="A18" s="377" t="s">
        <v>93</v>
      </c>
      <c r="B18" s="143">
        <f t="shared" si="0"/>
        <v>6646614.0000000009</v>
      </c>
      <c r="C18" s="849" t="s">
        <v>398</v>
      </c>
      <c r="D18" s="550" t="str">
        <f>IF(B29=D17,"YES","NO")</f>
        <v>YES</v>
      </c>
      <c r="E18" s="551"/>
      <c r="G18" s="356"/>
      <c r="Y18" s="123"/>
      <c r="Z18" s="135"/>
      <c r="AA18" s="55"/>
      <c r="AB18" s="135"/>
      <c r="AC18" s="55"/>
    </row>
    <row r="19" spans="1:29" ht="15" customHeight="1">
      <c r="A19" s="377" t="s">
        <v>97</v>
      </c>
      <c r="B19" s="143">
        <f t="shared" si="0"/>
        <v>1993984.2000000002</v>
      </c>
      <c r="C19" s="854" t="s">
        <v>399</v>
      </c>
      <c r="D19" s="853"/>
      <c r="G19" s="124"/>
      <c r="H19" s="124"/>
      <c r="Y19" s="123"/>
      <c r="Z19" s="135"/>
      <c r="AA19" s="55"/>
      <c r="AB19" s="135"/>
      <c r="AC19" s="55"/>
    </row>
    <row r="20" spans="1:29" ht="15" customHeight="1">
      <c r="A20" s="377" t="s">
        <v>100</v>
      </c>
      <c r="B20" s="143">
        <f t="shared" si="0"/>
        <v>500000</v>
      </c>
      <c r="C20" s="377" t="s">
        <v>400</v>
      </c>
      <c r="D20" s="413">
        <f ca="1">'3-G DRAW'!B50</f>
        <v>132911122.44895762</v>
      </c>
      <c r="F20" s="363"/>
      <c r="G20" s="12"/>
      <c r="H20" s="556"/>
      <c r="Y20" s="123"/>
      <c r="Z20" s="135"/>
      <c r="AA20" s="55"/>
      <c r="AB20" s="135"/>
      <c r="AC20" s="55"/>
    </row>
    <row r="21" spans="1:29" ht="15" customHeight="1">
      <c r="A21" s="377" t="s">
        <v>103</v>
      </c>
      <c r="B21" s="143">
        <f t="shared" si="0"/>
        <v>3160908.5625</v>
      </c>
      <c r="C21" s="377" t="s">
        <v>401</v>
      </c>
      <c r="D21" s="549">
        <f ca="1">(D20+D15)/D15</f>
        <v>2.5186029796655283</v>
      </c>
      <c r="G21" s="12"/>
      <c r="H21" s="556"/>
      <c r="Y21" s="123"/>
      <c r="Z21" s="135"/>
      <c r="AA21" s="55"/>
      <c r="AB21" s="135"/>
      <c r="AC21" s="55"/>
    </row>
    <row r="22" spans="1:29" ht="15" customHeight="1">
      <c r="A22" s="377" t="s">
        <v>106</v>
      </c>
      <c r="B22" s="143">
        <f t="shared" si="0"/>
        <v>7024241.25</v>
      </c>
      <c r="C22" s="860" t="s">
        <v>402</v>
      </c>
      <c r="D22" s="861">
        <f ca="1">'3-G DRAW'!B59</f>
        <v>5.8945241142523086E-2</v>
      </c>
      <c r="G22" s="12"/>
      <c r="H22" s="556"/>
      <c r="Y22" s="123"/>
      <c r="Z22" s="135"/>
      <c r="AA22" s="55"/>
      <c r="AB22" s="135"/>
      <c r="AC22" s="55"/>
    </row>
    <row r="23" spans="1:29" ht="15" customHeight="1">
      <c r="A23" s="377" t="s">
        <v>403</v>
      </c>
      <c r="B23" s="143">
        <f t="shared" si="0"/>
        <v>316090.85625000001</v>
      </c>
      <c r="C23" s="860" t="s">
        <v>404</v>
      </c>
      <c r="D23" s="861">
        <f ca="1">'3-G DRAW'!B55</f>
        <v>5.1178941409691925E-2</v>
      </c>
      <c r="G23" s="12"/>
      <c r="H23" s="556"/>
      <c r="Y23" s="123"/>
      <c r="Z23" s="135"/>
      <c r="AA23" s="55"/>
      <c r="AB23" s="135"/>
      <c r="AC23" s="55"/>
    </row>
    <row r="24" spans="1:29" ht="15" customHeight="1">
      <c r="A24" s="377" t="s">
        <v>112</v>
      </c>
      <c r="B24" s="143">
        <f>SUM(C150,I150,O150)</f>
        <v>635019.18598125014</v>
      </c>
      <c r="C24" s="860" t="s">
        <v>405</v>
      </c>
      <c r="D24" s="865">
        <f>IF(OR(B$35="YES",H35="YES",N35="YES"),"-",D5/B28)</f>
        <v>4.6457366722312508E-2</v>
      </c>
      <c r="E24" s="18"/>
      <c r="G24" s="328"/>
      <c r="H24" s="560"/>
      <c r="Y24" s="123"/>
      <c r="Z24" s="135"/>
      <c r="AA24" s="55"/>
      <c r="AB24" s="135"/>
      <c r="AC24" s="55"/>
    </row>
    <row r="25" spans="1:29" ht="15" customHeight="1">
      <c r="A25" s="17" t="s">
        <v>165</v>
      </c>
      <c r="B25" s="143">
        <f>SUM(C151,I151,O151)</f>
        <v>-3500000</v>
      </c>
      <c r="C25" s="860" t="s">
        <v>158</v>
      </c>
      <c r="D25" s="865">
        <f>SUM(D9,D10)/B28</f>
        <v>1.152439109898548</v>
      </c>
      <c r="F25" s="348"/>
      <c r="G25" s="124"/>
      <c r="H25" s="124"/>
      <c r="Y25" s="123"/>
      <c r="Z25" s="135"/>
      <c r="AA25" s="55"/>
      <c r="AB25" s="135"/>
      <c r="AC25" s="55"/>
    </row>
    <row r="26" spans="1:29" ht="15" customHeight="1" thickBot="1">
      <c r="A26" s="408" t="s">
        <v>38</v>
      </c>
      <c r="B26" s="756">
        <f>SUM(C152,I152,O152)</f>
        <v>465000</v>
      </c>
      <c r="C26" s="863" t="s">
        <v>406</v>
      </c>
      <c r="D26" s="864">
        <f>IF((D5/D14)=0,"-",D5/D14)</f>
        <v>8.9341089850600977E-2</v>
      </c>
      <c r="G26" s="12"/>
      <c r="H26" s="557"/>
      <c r="Y26" s="123"/>
      <c r="Z26" s="135"/>
      <c r="AA26" s="55"/>
      <c r="AB26" s="135"/>
      <c r="AC26" s="55"/>
    </row>
    <row r="27" spans="1:29" ht="15" customHeight="1" thickBot="1">
      <c r="A27" s="762" t="s">
        <v>407</v>
      </c>
      <c r="B27" s="763">
        <f>SUM(C153,I153,O153)</f>
        <v>7585000</v>
      </c>
      <c r="G27" s="328"/>
      <c r="H27" s="558"/>
      <c r="Y27" s="123"/>
      <c r="Z27" s="135"/>
      <c r="AA27" s="55"/>
      <c r="AB27" s="135"/>
      <c r="AC27" s="55"/>
    </row>
    <row r="28" spans="1:29" ht="15" customHeight="1" thickTop="1">
      <c r="A28" s="760" t="s">
        <v>408</v>
      </c>
      <c r="B28" s="761">
        <f>SUM(B7:B27)</f>
        <v>182337434.78473121</v>
      </c>
      <c r="C28" s="328"/>
      <c r="D28" s="851"/>
      <c r="G28" s="328"/>
      <c r="H28" s="558"/>
      <c r="Y28" s="123"/>
      <c r="Z28" s="135"/>
      <c r="AA28" s="55"/>
      <c r="AB28" s="135"/>
      <c r="AC28" s="55"/>
    </row>
    <row r="29" spans="1:29" ht="15" customHeight="1" thickBot="1">
      <c r="A29" s="850" t="s">
        <v>409</v>
      </c>
      <c r="B29" s="862">
        <f>B28-B25</f>
        <v>185837434.78473121</v>
      </c>
      <c r="C29" s="12"/>
      <c r="D29" s="852"/>
      <c r="E29" s="12"/>
      <c r="G29" s="12"/>
      <c r="H29" s="132"/>
      <c r="Y29" s="123"/>
      <c r="Z29" s="135"/>
      <c r="AA29" s="55"/>
      <c r="AB29" s="135"/>
      <c r="AC29" s="55"/>
    </row>
    <row r="30" spans="1:29" ht="15" customHeight="1">
      <c r="A30" s="328"/>
      <c r="B30" s="843"/>
      <c r="G30" s="12"/>
      <c r="H30" s="548"/>
      <c r="Y30" s="123"/>
      <c r="Z30" s="135"/>
      <c r="AA30" s="55"/>
      <c r="AB30" s="135"/>
      <c r="AC30" s="55"/>
    </row>
    <row r="31" spans="1:29" ht="15" customHeight="1">
      <c r="A31" s="328"/>
      <c r="B31" s="843"/>
      <c r="E31" s="131"/>
      <c r="Y31" s="123"/>
      <c r="Z31" s="135"/>
      <c r="AA31" s="55"/>
      <c r="AB31" s="135"/>
      <c r="AC31" s="55"/>
    </row>
    <row r="32" spans="1:29" ht="15" customHeight="1">
      <c r="E32" s="376"/>
      <c r="Y32" s="123"/>
      <c r="Z32" s="135"/>
      <c r="AA32" s="55"/>
      <c r="AB32" s="135"/>
      <c r="AC32" s="55"/>
    </row>
    <row r="33" spans="1:29" ht="24.95" customHeight="1" thickBot="1">
      <c r="A33" s="169" t="s">
        <v>410</v>
      </c>
      <c r="M33" s="293"/>
      <c r="AB33" s="55"/>
      <c r="AC33" s="136"/>
    </row>
    <row r="34" spans="1:29" ht="20.25" customHeight="1">
      <c r="A34" s="1001" t="s">
        <v>219</v>
      </c>
      <c r="B34" s="1002" t="s">
        <v>65</v>
      </c>
      <c r="C34" s="1003" t="s">
        <v>411</v>
      </c>
      <c r="D34" s="1004">
        <f>IFERROR(INDEX('Building Configuration'!$B$2:$AA$34,MATCH(B$34,'Building Configuration'!$D$2:$D$34,0),MATCH("Total",'Building Configuration'!$B$2:$AA$2,0)),0)</f>
        <v>443107.60000000003</v>
      </c>
      <c r="E34" s="1005"/>
      <c r="G34" s="1001" t="s">
        <v>219</v>
      </c>
      <c r="H34" s="1002"/>
      <c r="I34" s="1003" t="s">
        <v>411</v>
      </c>
      <c r="J34" s="1004">
        <f>IFERROR(INDEX('Building Configuration'!$B$2:$AA$34,MATCH(H$34,'Building Configuration'!$D$2:$D$34,0),MATCH("Total",'Building Configuration'!$B$2:$AA$2,0)),0)</f>
        <v>0</v>
      </c>
      <c r="K34" s="1005"/>
      <c r="L34" s="123"/>
      <c r="M34" s="1001" t="s">
        <v>219</v>
      </c>
      <c r="N34" s="1002"/>
      <c r="O34" s="1003" t="s">
        <v>411</v>
      </c>
      <c r="P34" s="1004">
        <f>IFERROR(INDEX('Building Configuration'!$B$2:$AA$34,MATCH(N$34,'Building Configuration'!$D$2:$D$34,0),MATCH("Total",'Building Configuration'!$B$2:$AA$2,0)),0)</f>
        <v>0</v>
      </c>
      <c r="Q34" s="1005"/>
      <c r="R34" s="123"/>
      <c r="S34" s="304"/>
      <c r="T34" s="285"/>
      <c r="V34" s="168"/>
      <c r="W34" s="123"/>
      <c r="X34" s="124"/>
    </row>
    <row r="35" spans="1:29" ht="15" customHeight="1">
      <c r="A35" s="6" t="s">
        <v>412</v>
      </c>
      <c r="B35" s="137" t="str">
        <f>IF(OR(D$37&gt;0,D$39&gt;0,D$43&gt;0),"YES","NO")</f>
        <v>NO</v>
      </c>
      <c r="D35" s="119"/>
      <c r="E35" s="103"/>
      <c r="G35" s="6" t="s">
        <v>412</v>
      </c>
      <c r="H35" s="137" t="str">
        <f>IF(OR(J$37&gt;0,J$39&gt;0,J$43&gt;0),"YES","NO")</f>
        <v>NO</v>
      </c>
      <c r="J35" s="119"/>
      <c r="K35" s="103"/>
      <c r="L35" s="123"/>
      <c r="M35" s="6" t="s">
        <v>412</v>
      </c>
      <c r="N35" s="137" t="str">
        <f>IF(OR(P$37&gt;0,P$39&gt;0,P$43&gt;0),"YES","NO")</f>
        <v>NO</v>
      </c>
      <c r="P35" s="119"/>
      <c r="Q35" s="103"/>
      <c r="R35" s="123"/>
      <c r="S35" s="123"/>
      <c r="T35" s="137"/>
      <c r="V35" s="168"/>
      <c r="W35" s="123"/>
      <c r="X35" s="124"/>
    </row>
    <row r="36" spans="1:29" ht="15" customHeight="1">
      <c r="A36" s="6" t="s">
        <v>222</v>
      </c>
      <c r="B36" s="118" t="str">
        <f>IFERROR(INDEX('Building Configuration'!$B$2:$AA$34,MATCH(B$34,'Building Configuration'!$D$2:$D$34,0),MATCH(A36,'Building Configuration'!$B$2:$AA$2,0)),"-")</f>
        <v>-</v>
      </c>
      <c r="C36" s="5" t="s">
        <v>231</v>
      </c>
      <c r="D36" s="119">
        <f>IFERROR(INDEX('Building Configuration'!$B$2:$AA$34,MATCH(B$34,'Building Configuration'!$D$2:$D$34,0),MATCH(B36,'Building Configuration'!$B$2:$AA$2,0)),0)</f>
        <v>0</v>
      </c>
      <c r="E36" s="103"/>
      <c r="G36" s="6" t="s">
        <v>222</v>
      </c>
      <c r="H36" s="118" t="str">
        <f>IFERROR(INDEX('Building Configuration'!$B$2:$AA$34,MATCH(H$34,'Building Configuration'!$D$2:$D$34,0),MATCH(G36,'Building Configuration'!$B$2:$AA$2,0)),"-")</f>
        <v>-</v>
      </c>
      <c r="I36" s="5" t="s">
        <v>231</v>
      </c>
      <c r="J36" s="119">
        <f>IFERROR(INDEX('Building Configuration'!$B$2:$AA$34,MATCH(H$34,'Building Configuration'!$D$2:$D$34,0),MATCH(H36,'Building Configuration'!$B$2:$AA$2,0)),0)</f>
        <v>0</v>
      </c>
      <c r="K36" s="103"/>
      <c r="L36" s="123"/>
      <c r="M36" s="6" t="s">
        <v>222</v>
      </c>
      <c r="N36" s="118" t="str">
        <f>IFERROR(INDEX('Building Configuration'!$B$2:$AA$34,MATCH(N$34,'Building Configuration'!$D$2:$D$34,0),MATCH(M36,'Building Configuration'!$B$2:$AA$2,0)),"-")</f>
        <v>-</v>
      </c>
      <c r="O36" s="5" t="s">
        <v>231</v>
      </c>
      <c r="P36" s="119">
        <f>IFERROR(INDEX('Building Configuration'!$B$2:$AA$34,MATCH(N$34,'Building Configuration'!$D$2:$D$34,0),MATCH(N36,'Building Configuration'!$B$2:$AA$2,0)),0)</f>
        <v>0</v>
      </c>
      <c r="Q36" s="103"/>
      <c r="R36" s="123"/>
      <c r="S36" s="123"/>
      <c r="T36" s="118"/>
      <c r="V36" s="168"/>
      <c r="W36" s="123"/>
      <c r="X36" s="124"/>
    </row>
    <row r="37" spans="1:29" ht="15" customHeight="1">
      <c r="A37" s="6" t="s">
        <v>223</v>
      </c>
      <c r="B37" s="118" t="str">
        <f>IFERROR(INDEX('Building Configuration'!$B$2:$AA$34,MATCH(B$34,'Building Configuration'!$D$2:$D$34,0),MATCH(A37,'Building Configuration'!$B$2:$AA$2,0)),"-")</f>
        <v>-</v>
      </c>
      <c r="C37" s="5" t="s">
        <v>413</v>
      </c>
      <c r="D37" s="119">
        <f>IFERROR(INDEX('Building Configuration'!$B$2:$AA$34,MATCH(B$34,'Building Configuration'!$D$2:$D$34,0),MATCH(B37,'Building Configuration'!$B$2:$AA$2,0)),0)</f>
        <v>0</v>
      </c>
      <c r="E37" s="103"/>
      <c r="G37" s="6" t="s">
        <v>223</v>
      </c>
      <c r="H37" s="118" t="str">
        <f>IFERROR(INDEX('Building Configuration'!$B$2:$AA$34,MATCH(H$34,'Building Configuration'!$D$2:$D$34,0),MATCH(G37,'Building Configuration'!$B$2:$AA$2,0)),"-")</f>
        <v>-</v>
      </c>
      <c r="I37" s="5" t="s">
        <v>413</v>
      </c>
      <c r="J37" s="119">
        <f>IFERROR(INDEX('Building Configuration'!$B$2:$AA$34,MATCH(H$34,'Building Configuration'!$D$2:$D$34,0),MATCH(H37,'Building Configuration'!$B$2:$AA$2,0)),0)</f>
        <v>0</v>
      </c>
      <c r="K37" s="103"/>
      <c r="L37" s="123"/>
      <c r="M37" s="6" t="s">
        <v>223</v>
      </c>
      <c r="N37" s="118" t="str">
        <f>IFERROR(INDEX('Building Configuration'!$B$2:$AA$34,MATCH(N$34,'Building Configuration'!$D$2:$D$34,0),MATCH(M37,'Building Configuration'!$B$2:$AA$2,0)),"-")</f>
        <v>-</v>
      </c>
      <c r="O37" s="5" t="s">
        <v>413</v>
      </c>
      <c r="P37" s="119">
        <f>IFERROR(INDEX('Building Configuration'!$B$2:$AA$34,MATCH(N$34,'Building Configuration'!$D$2:$D$34,0),MATCH(N37,'Building Configuration'!$B$2:$AA$2,0)),0)</f>
        <v>0</v>
      </c>
      <c r="Q37" s="103"/>
      <c r="R37" s="123"/>
      <c r="S37" s="123"/>
      <c r="T37" s="118"/>
      <c r="V37" s="168"/>
      <c r="W37" s="123"/>
      <c r="X37" s="124"/>
    </row>
    <row r="38" spans="1:29" ht="15" customHeight="1">
      <c r="A38" s="6" t="s">
        <v>224</v>
      </c>
      <c r="B38" s="118" t="str">
        <f>IFERROR(INDEX('Building Configuration'!$B$2:$AA$34,MATCH(B$34,'Building Configuration'!$D$2:$D$34,0),MATCH(A38,'Building Configuration'!$B$2:$AA$2,0)),"-")</f>
        <v>-</v>
      </c>
      <c r="C38" s="5" t="s">
        <v>233</v>
      </c>
      <c r="D38" s="119">
        <f>IFERROR(INDEX('Building Configuration'!$B$2:$AA$34,MATCH(B$34,'Building Configuration'!$D$2:$D$34,0),MATCH(B38,'Building Configuration'!$B$2:$AA$2,0)),0)</f>
        <v>0</v>
      </c>
      <c r="E38" s="103"/>
      <c r="G38" s="6" t="s">
        <v>224</v>
      </c>
      <c r="H38" s="118" t="str">
        <f>IFERROR(INDEX('Building Configuration'!$B$2:$AA$34,MATCH(H$34,'Building Configuration'!$D$2:$D$34,0),MATCH(G38,'Building Configuration'!$B$2:$AA$2,0)),"-")</f>
        <v>-</v>
      </c>
      <c r="I38" s="5" t="s">
        <v>233</v>
      </c>
      <c r="J38" s="119">
        <f>IFERROR(INDEX('Building Configuration'!$B$2:$AA$34,MATCH(H$34,'Building Configuration'!$D$2:$D$34,0),MATCH(H38,'Building Configuration'!$B$2:$AA$2,0)),0)</f>
        <v>0</v>
      </c>
      <c r="K38" s="103"/>
      <c r="L38" s="123"/>
      <c r="M38" s="6" t="s">
        <v>224</v>
      </c>
      <c r="N38" s="118" t="str">
        <f>IFERROR(INDEX('Building Configuration'!$B$2:$AA$34,MATCH(N$34,'Building Configuration'!$D$2:$D$34,0),MATCH(M38,'Building Configuration'!$B$2:$AA$2,0)),"-")</f>
        <v>-</v>
      </c>
      <c r="O38" s="5" t="s">
        <v>233</v>
      </c>
      <c r="P38" s="119">
        <f>IFERROR(INDEX('Building Configuration'!$B$2:$AA$34,MATCH(N$34,'Building Configuration'!$D$2:$D$34,0),MATCH(N38,'Building Configuration'!$B$2:$AA$2,0)),0)</f>
        <v>0</v>
      </c>
      <c r="Q38" s="103"/>
      <c r="R38" s="123"/>
      <c r="S38" s="123"/>
      <c r="T38" s="118"/>
      <c r="V38" s="168"/>
      <c r="W38" s="123"/>
      <c r="X38" s="124"/>
      <c r="Z38" s="168"/>
    </row>
    <row r="39" spans="1:29" ht="15" customHeight="1">
      <c r="A39" s="6" t="s">
        <v>225</v>
      </c>
      <c r="B39" s="118" t="str">
        <f>IFERROR(INDEX('Building Configuration'!$B$2:$AA$34,MATCH(B$34,'Building Configuration'!$D$2:$D$34,0),MATCH(A39,'Building Configuration'!$B$2:$AA$2,0)),"-")</f>
        <v>-</v>
      </c>
      <c r="C39" s="5" t="s">
        <v>414</v>
      </c>
      <c r="D39" s="119">
        <f>IFERROR(INDEX('Building Configuration'!$B$2:$AA$34,MATCH(B$34,'Building Configuration'!$D$2:$D$34,0),MATCH(B39,'Building Configuration'!$B$2:$AA$2,0)),0)</f>
        <v>0</v>
      </c>
      <c r="E39" s="103"/>
      <c r="G39" s="6" t="s">
        <v>225</v>
      </c>
      <c r="H39" s="118" t="str">
        <f>IFERROR(INDEX('Building Configuration'!$B$2:$AA$34,MATCH(H$34,'Building Configuration'!$D$2:$D$34,0),MATCH(G39,'Building Configuration'!$B$2:$AA$2,0)),"-")</f>
        <v>-</v>
      </c>
      <c r="I39" s="5" t="s">
        <v>414</v>
      </c>
      <c r="J39" s="119">
        <f>IFERROR(INDEX('Building Configuration'!$B$2:$AA$34,MATCH(H$34,'Building Configuration'!$D$2:$D$34,0),MATCH(H39,'Building Configuration'!$B$2:$AA$2,0)),0)</f>
        <v>0</v>
      </c>
      <c r="K39" s="103"/>
      <c r="L39" s="123"/>
      <c r="M39" s="6" t="s">
        <v>225</v>
      </c>
      <c r="N39" s="118" t="str">
        <f>IFERROR(INDEX('Building Configuration'!$B$2:$AA$34,MATCH(N$34,'Building Configuration'!$D$2:$D$34,0),MATCH(M39,'Building Configuration'!$B$2:$AA$2,0)),"-")</f>
        <v>-</v>
      </c>
      <c r="O39" s="5" t="s">
        <v>414</v>
      </c>
      <c r="P39" s="119">
        <f>IFERROR(INDEX('Building Configuration'!$B$2:$AA$34,MATCH(N$34,'Building Configuration'!$D$2:$D$34,0),MATCH(N39,'Building Configuration'!$B$2:$AA$2,0)),0)</f>
        <v>0</v>
      </c>
      <c r="Q39" s="103"/>
      <c r="R39" s="123"/>
      <c r="S39" s="123"/>
      <c r="T39" s="118"/>
      <c r="V39" s="168"/>
      <c r="W39" s="123"/>
      <c r="X39" s="124"/>
      <c r="Z39" s="168"/>
    </row>
    <row r="40" spans="1:29" ht="15" customHeight="1">
      <c r="A40" s="6" t="s">
        <v>226</v>
      </c>
      <c r="B40" s="118" t="str">
        <f>IFERROR(INDEX('Building Configuration'!$B$2:$AA$34,MATCH(B$34,'Building Configuration'!$D$2:$D$34,0),MATCH(A40,'Building Configuration'!$B$2:$AA$2,0)),"-")</f>
        <v>-</v>
      </c>
      <c r="C40" s="5" t="s">
        <v>59</v>
      </c>
      <c r="D40" s="119">
        <f>IFERROR(INDEX('Building Configuration'!$B$2:$AA$34,MATCH(B$34,'Building Configuration'!$D$2:$D$34,0),MATCH(B40,'Building Configuration'!$B$2:$AA$2,0)),0)</f>
        <v>0</v>
      </c>
      <c r="E40" s="103"/>
      <c r="G40" s="6" t="s">
        <v>226</v>
      </c>
      <c r="H40" s="118" t="str">
        <f>IFERROR(INDEX('Building Configuration'!$B$2:$AA$34,MATCH(H$34,'Building Configuration'!$D$2:$D$34,0),MATCH(G40,'Building Configuration'!$B$2:$AA$2,0)),"-")</f>
        <v>-</v>
      </c>
      <c r="I40" s="5" t="s">
        <v>59</v>
      </c>
      <c r="J40" s="119">
        <f>IFERROR(INDEX('Building Configuration'!$B$2:$AA$34,MATCH(H$34,'Building Configuration'!$D$2:$D$34,0),MATCH(H40,'Building Configuration'!$B$2:$AA$2,0)),0)</f>
        <v>0</v>
      </c>
      <c r="K40" s="103"/>
      <c r="L40" s="123"/>
      <c r="M40" s="6" t="s">
        <v>226</v>
      </c>
      <c r="N40" s="118" t="str">
        <f>IFERROR(INDEX('Building Configuration'!$B$2:$AA$34,MATCH(N$34,'Building Configuration'!$D$2:$D$34,0),MATCH(M40,'Building Configuration'!$B$2:$AA$2,0)),"-")</f>
        <v>-</v>
      </c>
      <c r="O40" s="5" t="s">
        <v>59</v>
      </c>
      <c r="P40" s="119">
        <f>IFERROR(INDEX('Building Configuration'!$B$2:$AA$34,MATCH(N$34,'Building Configuration'!$D$2:$D$34,0),MATCH(N40,'Building Configuration'!$B$2:$AA$2,0)),0)</f>
        <v>0</v>
      </c>
      <c r="Q40" s="103"/>
      <c r="R40" s="123"/>
      <c r="S40" s="123"/>
      <c r="T40" s="118"/>
      <c r="V40" s="168"/>
      <c r="W40" s="123"/>
      <c r="X40" s="124"/>
      <c r="Z40" s="168"/>
    </row>
    <row r="41" spans="1:29" ht="15" customHeight="1">
      <c r="A41" s="6" t="s">
        <v>227</v>
      </c>
      <c r="B41" s="118" t="str">
        <f>IFERROR(INDEX('Building Configuration'!$B$2:$AA$34,MATCH(B$34,'Building Configuration'!$D$2:$D$34,0),MATCH(A41,'Building Configuration'!$B$2:$AA$2,0)),"-")</f>
        <v>-</v>
      </c>
      <c r="C41" s="5" t="s">
        <v>415</v>
      </c>
      <c r="D41" s="119">
        <f>IFERROR(INDEX('Building Configuration'!$B$2:$AA$34,MATCH(B$34,'Building Configuration'!$D$2:$D$34,0),MATCH(B41,'Building Configuration'!$B$2:$AA$2,0)),0)</f>
        <v>0</v>
      </c>
      <c r="E41" s="103"/>
      <c r="G41" s="6" t="s">
        <v>227</v>
      </c>
      <c r="H41" s="118" t="str">
        <f>IFERROR(INDEX('Building Configuration'!$B$2:$AA$34,MATCH(H$34,'Building Configuration'!$D$2:$D$34,0),MATCH(G41,'Building Configuration'!$B$2:$AA$2,0)),"-")</f>
        <v>-</v>
      </c>
      <c r="I41" s="5" t="s">
        <v>415</v>
      </c>
      <c r="J41" s="119">
        <f>IFERROR(INDEX('Building Configuration'!$B$2:$AA$34,MATCH(H$34,'Building Configuration'!$D$2:$D$34,0),MATCH(H41,'Building Configuration'!$B$2:$AA$2,0)),0)</f>
        <v>0</v>
      </c>
      <c r="K41" s="103"/>
      <c r="L41" s="123"/>
      <c r="M41" s="6" t="s">
        <v>227</v>
      </c>
      <c r="N41" s="118" t="str">
        <f>IFERROR(INDEX('Building Configuration'!$B$2:$AA$34,MATCH(N$34,'Building Configuration'!$D$2:$D$34,0),MATCH(M41,'Building Configuration'!$B$2:$AA$2,0)),"-")</f>
        <v>-</v>
      </c>
      <c r="O41" s="5" t="s">
        <v>415</v>
      </c>
      <c r="P41" s="119">
        <f>IFERROR(INDEX('Building Configuration'!$B$2:$AA$34,MATCH(N$34,'Building Configuration'!$D$2:$D$34,0),MATCH(N41,'Building Configuration'!$B$2:$AA$2,0)),0)</f>
        <v>0</v>
      </c>
      <c r="Q41" s="103"/>
      <c r="R41" s="123"/>
      <c r="S41" s="123"/>
      <c r="T41" s="118"/>
      <c r="V41" s="168"/>
      <c r="W41" s="123"/>
      <c r="X41" s="124"/>
      <c r="Z41" s="168"/>
    </row>
    <row r="42" spans="1:29" ht="15" customHeight="1">
      <c r="A42" s="6" t="s">
        <v>228</v>
      </c>
      <c r="B42" s="118" t="str">
        <f>IFERROR(INDEX('Building Configuration'!$B$2:$AA$34,MATCH(B$34,'Building Configuration'!$D$2:$D$34,0),MATCH(A42,'Building Configuration'!$B$2:$AA$2,0)),"-")</f>
        <v>Laboratory</v>
      </c>
      <c r="C42" s="5" t="s">
        <v>416</v>
      </c>
      <c r="D42" s="119">
        <f>IFERROR(INDEX('Building Configuration'!$B$2:$AA$34,MATCH(B$34,'Building Configuration'!$D$2:$D$34,0),MATCH(B42,'Building Configuration'!$B$2:$AA$2,0)),0)</f>
        <v>312188.5</v>
      </c>
      <c r="E42" s="103"/>
      <c r="G42" s="6" t="s">
        <v>228</v>
      </c>
      <c r="H42" s="118" t="str">
        <f>IFERROR(INDEX('Building Configuration'!$B$2:$AA$34,MATCH(H$34,'Building Configuration'!$D$2:$D$34,0),MATCH(G42,'Building Configuration'!$B$2:$AA$2,0)),"-")</f>
        <v>-</v>
      </c>
      <c r="I42" s="5" t="s">
        <v>416</v>
      </c>
      <c r="J42" s="119">
        <f>IFERROR(INDEX('Building Configuration'!$B$2:$AA$34,MATCH(H$34,'Building Configuration'!$D$2:$D$34,0),MATCH(H42,'Building Configuration'!$B$2:$AA$2,0)),0)</f>
        <v>0</v>
      </c>
      <c r="K42" s="103"/>
      <c r="L42" s="123"/>
      <c r="M42" s="6" t="s">
        <v>228</v>
      </c>
      <c r="N42" s="118" t="str">
        <f>IFERROR(INDEX('Building Configuration'!$B$2:$AA$34,MATCH(N$34,'Building Configuration'!$D$2:$D$34,0),MATCH(M42,'Building Configuration'!$B$2:$AA$2,0)),"-")</f>
        <v>-</v>
      </c>
      <c r="O42" s="5" t="s">
        <v>416</v>
      </c>
      <c r="P42" s="119">
        <f>IFERROR(INDEX('Building Configuration'!$B$2:$AA$34,MATCH(N$34,'Building Configuration'!$D$2:$D$34,0),MATCH(N42,'Building Configuration'!$B$2:$AA$2,0)),0)</f>
        <v>0</v>
      </c>
      <c r="Q42" s="103"/>
      <c r="R42" s="123"/>
      <c r="S42" s="123"/>
      <c r="T42" s="118"/>
      <c r="V42" s="168"/>
      <c r="W42" s="123"/>
      <c r="X42" s="124"/>
      <c r="Z42" s="168"/>
    </row>
    <row r="43" spans="1:29" ht="15" customHeight="1">
      <c r="A43" s="6" t="s">
        <v>229</v>
      </c>
      <c r="B43" s="118" t="str">
        <f>IFERROR(INDEX('Building Configuration'!$B$2:$AA$34,MATCH(B$34,'Building Configuration'!$D$2:$D$34,0),MATCH(A43,'Building Configuration'!$B$2:$AA$2,0)),"-")</f>
        <v>-</v>
      </c>
      <c r="C43" s="5" t="s">
        <v>229</v>
      </c>
      <c r="D43" s="119">
        <f>IFERROR(INDEX('Building Configuration'!$B$2:$AA$34,MATCH(B$34,'Building Configuration'!$D$2:$D$34,0),MATCH(B43,'Building Configuration'!$B$2:$AA$2,0)),0)</f>
        <v>0</v>
      </c>
      <c r="E43" s="103"/>
      <c r="G43" s="6" t="s">
        <v>229</v>
      </c>
      <c r="H43" s="118" t="str">
        <f>IFERROR(INDEX('Building Configuration'!$B$2:$AA$34,MATCH(H$34,'Building Configuration'!$D$2:$D$34,0),MATCH(G43,'Building Configuration'!$B$2:$AA$2,0)),"-")</f>
        <v>-</v>
      </c>
      <c r="I43" s="5" t="s">
        <v>229</v>
      </c>
      <c r="J43" s="119">
        <f>IFERROR(INDEX('Building Configuration'!$B$2:$AA$34,MATCH(H$34,'Building Configuration'!$D$2:$D$34,0),MATCH(H43,'Building Configuration'!$B$2:$AA$2,0)),0)</f>
        <v>0</v>
      </c>
      <c r="K43" s="103"/>
      <c r="L43" s="123"/>
      <c r="M43" s="6" t="s">
        <v>229</v>
      </c>
      <c r="N43" s="118" t="str">
        <f>IFERROR(INDEX('Building Configuration'!$B$2:$AA$34,MATCH(N$34,'Building Configuration'!$D$2:$D$34,0),MATCH(M43,'Building Configuration'!$B$2:$AA$2,0)),"-")</f>
        <v>-</v>
      </c>
      <c r="O43" s="5" t="s">
        <v>229</v>
      </c>
      <c r="P43" s="119">
        <f>IFERROR(INDEX('Building Configuration'!$B$2:$AA$34,MATCH(N$34,'Building Configuration'!$D$2:$D$34,0),MATCH(N43,'Building Configuration'!$B$2:$AA$2,0)),0)</f>
        <v>0</v>
      </c>
      <c r="Q43" s="103"/>
      <c r="R43" s="123"/>
      <c r="S43" s="123"/>
      <c r="T43" s="118"/>
      <c r="V43" s="168"/>
      <c r="W43" s="123"/>
      <c r="X43" s="124"/>
      <c r="Z43" s="168"/>
    </row>
    <row r="44" spans="1:29" ht="15" customHeight="1">
      <c r="A44" s="6" t="s">
        <v>230</v>
      </c>
      <c r="B44" s="118" t="str">
        <f>IFERROR(INDEX('Building Configuration'!$B$2:$AA$34,MATCH(B$34,'Building Configuration'!$D$2:$D$34,0),MATCH(A44,'Building Configuration'!$B$2:$AA$2,0)),"-")</f>
        <v>-</v>
      </c>
      <c r="C44" s="5" t="s">
        <v>230</v>
      </c>
      <c r="D44" s="119">
        <f>IFERROR(INDEX('Building Configuration'!$B$2:$AA$34,MATCH(B$34,'Building Configuration'!$D$2:$D$34,0),MATCH(B44,'Building Configuration'!$B$2:$AA$2,0)),0)</f>
        <v>0</v>
      </c>
      <c r="E44" s="103"/>
      <c r="G44" s="6" t="s">
        <v>230</v>
      </c>
      <c r="H44" s="118" t="str">
        <f>IFERROR(INDEX('Building Configuration'!$B$2:$AA$34,MATCH(H$34,'Building Configuration'!$D$2:$D$34,0),MATCH(G44,'Building Configuration'!$B$2:$AA$2,0)),"-")</f>
        <v>-</v>
      </c>
      <c r="I44" s="5" t="s">
        <v>230</v>
      </c>
      <c r="J44" s="119">
        <f>IFERROR(INDEX('Building Configuration'!$B$2:$AA$34,MATCH(H$34,'Building Configuration'!$D$2:$D$34,0),MATCH(H44,'Building Configuration'!$B$2:$AA$2,0)),0)</f>
        <v>0</v>
      </c>
      <c r="K44" s="103"/>
      <c r="L44" s="123"/>
      <c r="M44" s="6" t="s">
        <v>230</v>
      </c>
      <c r="N44" s="118" t="str">
        <f>IFERROR(INDEX('Building Configuration'!$B$2:$AA$34,MATCH(N$34,'Building Configuration'!$D$2:$D$34,0),MATCH(M44,'Building Configuration'!$B$2:$AA$2,0)),"-")</f>
        <v>-</v>
      </c>
      <c r="O44" s="5" t="s">
        <v>230</v>
      </c>
      <c r="P44" s="119">
        <f>IFERROR(INDEX('Building Configuration'!$B$2:$AA$34,MATCH(N$34,'Building Configuration'!$D$2:$D$34,0),MATCH(N44,'Building Configuration'!$B$2:$AA$2,0)),0)</f>
        <v>0</v>
      </c>
      <c r="Q44" s="103"/>
      <c r="R44" s="123"/>
      <c r="S44" s="123"/>
      <c r="T44" s="118"/>
      <c r="V44" s="168"/>
      <c r="W44" s="123"/>
      <c r="X44" s="124"/>
      <c r="Z44" s="168"/>
    </row>
    <row r="45" spans="1:29" ht="15" customHeight="1">
      <c r="A45" s="6" t="s">
        <v>417</v>
      </c>
      <c r="B45" s="118" t="str">
        <f>IFERROR(IF(INDEX('Building Configuration'!$B$2:$AA$34,MATCH(B$34,'Building Configuration'!$D$2:$D$34,0),MATCH(C45,'Building Configuration'!$B$2:$AA$2,0))&gt;0,"YES","NO"),"-")</f>
        <v>YES</v>
      </c>
      <c r="C45" s="5" t="s">
        <v>116</v>
      </c>
      <c r="D45" s="119">
        <f>IFERROR(INDEX('Building Configuration'!$B$2:$AA$34,MATCH(B$34,'Building Configuration'!$D$2:$D$34,0),MATCH(C45,'Building Configuration'!$B$2:$AA$2,0)),0)</f>
        <v>130919.1</v>
      </c>
      <c r="E45" s="65"/>
      <c r="G45" s="6" t="s">
        <v>417</v>
      </c>
      <c r="H45" s="118" t="str">
        <f>IFERROR(IF(INDEX('Building Configuration'!$B$2:$AA$34,MATCH(H$34,'Building Configuration'!$D$2:$D$34,0),MATCH(I45,'Building Configuration'!$B$2:$AA$2,0))&gt;0,"YES","NO"),"-")</f>
        <v>-</v>
      </c>
      <c r="I45" s="5" t="s">
        <v>116</v>
      </c>
      <c r="J45" s="119">
        <f>IFERROR(INDEX('Building Configuration'!$B$2:$AA$34,MATCH(H$34,'Building Configuration'!$D$2:$D$34,0),MATCH(I45,'Building Configuration'!$B$2:$AA$2,0)),0)</f>
        <v>0</v>
      </c>
      <c r="K45" s="65"/>
      <c r="L45" s="55"/>
      <c r="M45" s="6" t="s">
        <v>417</v>
      </c>
      <c r="N45" s="118" t="str">
        <f>IFERROR(IF(INDEX('Building Configuration'!$B$2:$AA$34,MATCH(N$34,'Building Configuration'!$D$2:$D$34,0),MATCH(O45,'Building Configuration'!$B$2:$AA$2,0))&gt;0,"YES","NO"),"-")</f>
        <v>-</v>
      </c>
      <c r="O45" s="5" t="s">
        <v>116</v>
      </c>
      <c r="P45" s="119">
        <f>IFERROR(INDEX('Building Configuration'!$B$2:$AA$34,MATCH(N$34,'Building Configuration'!$D$2:$D$34,0),MATCH(O45,'Building Configuration'!$B$2:$AA$2,0)),0)</f>
        <v>0</v>
      </c>
      <c r="Q45" s="65"/>
      <c r="R45" s="55"/>
      <c r="S45" s="123"/>
      <c r="T45" s="118"/>
      <c r="V45" s="168"/>
      <c r="W45" s="55"/>
      <c r="X45" s="99"/>
      <c r="Z45" s="117"/>
    </row>
    <row r="46" spans="1:29" ht="15" customHeight="1">
      <c r="A46" s="6" t="s">
        <v>418</v>
      </c>
      <c r="B46" s="161">
        <v>0</v>
      </c>
      <c r="C46" s="162">
        <f>100%-B46</f>
        <v>1</v>
      </c>
      <c r="D46" s="119"/>
      <c r="E46" s="65"/>
      <c r="G46" s="6" t="s">
        <v>418</v>
      </c>
      <c r="H46" s="161">
        <v>1</v>
      </c>
      <c r="I46" s="162">
        <f>100%-H46</f>
        <v>0</v>
      </c>
      <c r="J46" s="119"/>
      <c r="K46" s="65"/>
      <c r="L46" s="55"/>
      <c r="M46" s="6" t="s">
        <v>418</v>
      </c>
      <c r="N46" s="161">
        <v>1</v>
      </c>
      <c r="O46" s="162">
        <f>100%-N46</f>
        <v>0</v>
      </c>
      <c r="P46" s="119"/>
      <c r="Q46" s="65"/>
      <c r="R46" s="55"/>
      <c r="S46" s="123"/>
      <c r="T46" s="294"/>
      <c r="U46" s="305"/>
      <c r="V46" s="168"/>
      <c r="W46" s="55"/>
      <c r="X46" s="99"/>
    </row>
    <row r="47" spans="1:29" ht="15" customHeight="1">
      <c r="A47" s="6"/>
      <c r="B47" s="118"/>
      <c r="D47" s="119"/>
      <c r="E47" s="65"/>
      <c r="G47" s="6"/>
      <c r="H47" s="118"/>
      <c r="J47" s="119"/>
      <c r="K47" s="65"/>
      <c r="L47" s="55"/>
      <c r="M47" s="6"/>
      <c r="N47" s="118"/>
      <c r="P47" s="119"/>
      <c r="Q47" s="65"/>
      <c r="R47" s="55"/>
      <c r="S47" s="123"/>
      <c r="T47" s="118"/>
      <c r="V47" s="168"/>
      <c r="W47" s="55"/>
      <c r="X47" s="99"/>
    </row>
    <row r="48" spans="1:29" ht="15" customHeight="1">
      <c r="A48" s="104" t="s">
        <v>222</v>
      </c>
      <c r="B48" s="105" t="str">
        <f>B$36</f>
        <v>-</v>
      </c>
      <c r="C48" s="166" t="s">
        <v>419</v>
      </c>
      <c r="D48" s="111">
        <f>D$36*E$48</f>
        <v>0</v>
      </c>
      <c r="E48" s="106">
        <f>Assumptions!$Y$28</f>
        <v>0.77</v>
      </c>
      <c r="F48" s="99"/>
      <c r="G48" s="104" t="s">
        <v>222</v>
      </c>
      <c r="H48" s="105" t="str">
        <f>H$36</f>
        <v>-</v>
      </c>
      <c r="I48" s="166" t="s">
        <v>419</v>
      </c>
      <c r="J48" s="111">
        <f>J$36*K$48</f>
        <v>0</v>
      </c>
      <c r="K48" s="106">
        <f>Assumptions!$Y$28</f>
        <v>0.77</v>
      </c>
      <c r="L48" s="55"/>
      <c r="M48" s="104" t="s">
        <v>222</v>
      </c>
      <c r="N48" s="105" t="str">
        <f>N$36</f>
        <v>-</v>
      </c>
      <c r="O48" s="166" t="s">
        <v>419</v>
      </c>
      <c r="P48" s="111">
        <f>P$36*Q$48</f>
        <v>0</v>
      </c>
      <c r="Q48" s="106">
        <f>Assumptions!$Y$28</f>
        <v>0.77</v>
      </c>
      <c r="R48" s="55"/>
      <c r="S48" s="123"/>
      <c r="T48" s="99"/>
      <c r="U48" s="135"/>
      <c r="V48" s="295"/>
      <c r="W48" s="55"/>
      <c r="X48" s="99"/>
    </row>
    <row r="49" spans="1:24" ht="15" customHeight="1">
      <c r="A49" s="104" t="s">
        <v>420</v>
      </c>
      <c r="B49" s="160">
        <v>0</v>
      </c>
      <c r="C49" s="113" t="str">
        <f>IF(C55&gt;D48,"# of Units Over Available Area","# of Units Within Available Area")</f>
        <v># of Units Within Available Area</v>
      </c>
      <c r="D49" s="112" t="s">
        <v>421</v>
      </c>
      <c r="E49" s="120">
        <v>0</v>
      </c>
      <c r="F49" s="101"/>
      <c r="G49" s="104" t="s">
        <v>420</v>
      </c>
      <c r="H49" s="160">
        <v>0</v>
      </c>
      <c r="I49" s="113" t="str">
        <f>IF(I55&gt;J48,"# of Units Over Available Area","# of Units Within Available Area")</f>
        <v># of Units Within Available Area</v>
      </c>
      <c r="J49" s="112" t="s">
        <v>421</v>
      </c>
      <c r="K49" s="120">
        <v>0</v>
      </c>
      <c r="L49" s="102"/>
      <c r="M49" s="104" t="s">
        <v>420</v>
      </c>
      <c r="N49" s="160">
        <v>0</v>
      </c>
      <c r="O49" s="113" t="str">
        <f>IF(O55&gt;P48,"# of Units Over Available Area","# of Units Within Available Area")</f>
        <v># of Units Within Available Area</v>
      </c>
      <c r="P49" s="112" t="s">
        <v>421</v>
      </c>
      <c r="Q49" s="120">
        <v>0</v>
      </c>
      <c r="R49" s="102"/>
      <c r="S49" s="123"/>
      <c r="T49" s="296"/>
      <c r="U49" s="297"/>
      <c r="V49" s="112"/>
      <c r="W49" s="102"/>
      <c r="X49" s="99"/>
    </row>
    <row r="50" spans="1:24" ht="15" customHeight="1">
      <c r="A50" s="107" t="s">
        <v>308</v>
      </c>
      <c r="B50" s="200" t="s">
        <v>422</v>
      </c>
      <c r="C50" s="109" t="s">
        <v>419</v>
      </c>
      <c r="D50" s="108" t="s">
        <v>423</v>
      </c>
      <c r="E50" s="110" t="s">
        <v>424</v>
      </c>
      <c r="F50" s="99"/>
      <c r="G50" s="107" t="s">
        <v>308</v>
      </c>
      <c r="H50" s="200" t="s">
        <v>422</v>
      </c>
      <c r="I50" s="109" t="s">
        <v>419</v>
      </c>
      <c r="J50" s="108" t="s">
        <v>423</v>
      </c>
      <c r="K50" s="110" t="s">
        <v>424</v>
      </c>
      <c r="L50" s="124"/>
      <c r="M50" s="107" t="s">
        <v>308</v>
      </c>
      <c r="N50" s="200" t="s">
        <v>422</v>
      </c>
      <c r="O50" s="109" t="s">
        <v>419</v>
      </c>
      <c r="P50" s="108" t="s">
        <v>423</v>
      </c>
      <c r="Q50" s="110" t="s">
        <v>424</v>
      </c>
      <c r="R50" s="124"/>
      <c r="S50" s="123"/>
      <c r="T50" s="306"/>
      <c r="U50" s="276"/>
      <c r="V50" s="124"/>
      <c r="W50" s="124"/>
      <c r="X50" s="99"/>
    </row>
    <row r="51" spans="1:24" ht="15" customHeight="1">
      <c r="A51" s="31" t="str">
        <f>Assumptions!$W$5</f>
        <v>Studio</v>
      </c>
      <c r="B51" s="76">
        <f>B$49*INDEX(Assumptions!$Y$5:$Y$8,MATCH(A51,Assumptions!$W$5:$W$8,0))</f>
        <v>0</v>
      </c>
      <c r="C51" s="32">
        <f>Assumptions!$R$15</f>
        <v>550</v>
      </c>
      <c r="D51" s="42">
        <f>Assumptions!$R$16*(1+E$49)</f>
        <v>3</v>
      </c>
      <c r="E51" s="43">
        <f>12*B51*C51*D51</f>
        <v>0</v>
      </c>
      <c r="F51" s="99"/>
      <c r="G51" s="31" t="str">
        <f>Assumptions!$W$5</f>
        <v>Studio</v>
      </c>
      <c r="H51" s="76">
        <f>H$49*INDEX(Assumptions!$Y$5:$Y$8,MATCH(G51,Assumptions!$W$5:$W$8,0))</f>
        <v>0</v>
      </c>
      <c r="I51" s="32">
        <f>Assumptions!$R$15</f>
        <v>550</v>
      </c>
      <c r="J51" s="42">
        <f>Assumptions!$R$16*(1+K$49)</f>
        <v>3</v>
      </c>
      <c r="K51" s="43">
        <f>12*H51*I51*J51</f>
        <v>0</v>
      </c>
      <c r="L51" s="125"/>
      <c r="M51" s="31" t="str">
        <f>Assumptions!$W$5</f>
        <v>Studio</v>
      </c>
      <c r="N51" s="76">
        <f>N$49*INDEX(Assumptions!$Y$5:$Y$8,MATCH(M51,Assumptions!$W$5:$W$8,0))</f>
        <v>0</v>
      </c>
      <c r="O51" s="32">
        <f>Assumptions!$R$15</f>
        <v>550</v>
      </c>
      <c r="P51" s="42">
        <f>Assumptions!$R$16*(1+Q$49)</f>
        <v>3</v>
      </c>
      <c r="Q51" s="43">
        <f>12*N51*O51*P51</f>
        <v>0</v>
      </c>
      <c r="R51" s="125"/>
      <c r="S51" s="307"/>
      <c r="T51" s="100"/>
      <c r="U51" s="308"/>
      <c r="V51" s="309"/>
      <c r="W51" s="125"/>
      <c r="X51" s="99"/>
    </row>
    <row r="52" spans="1:24" ht="15" customHeight="1">
      <c r="A52" s="31" t="str">
        <f>Assumptions!$W$6</f>
        <v>1BR</v>
      </c>
      <c r="B52" s="76">
        <f>B$49*INDEX(Assumptions!$Y$5:$Y$8,MATCH(A52,Assumptions!$W$5:$W$8,0))</f>
        <v>0</v>
      </c>
      <c r="C52" s="378">
        <f>Assumptions!$R$18</f>
        <v>800</v>
      </c>
      <c r="D52" s="379">
        <f>Assumptions!$R$19*(1+E$49)</f>
        <v>2.4</v>
      </c>
      <c r="E52" s="380">
        <f>12*B52*C52*D52</f>
        <v>0</v>
      </c>
      <c r="F52" s="99"/>
      <c r="G52" s="31" t="str">
        <f>Assumptions!$W$6</f>
        <v>1BR</v>
      </c>
      <c r="H52" s="76">
        <f>H$49*INDEX(Assumptions!$Y$5:$Y$8,MATCH(G52,Assumptions!$W$5:$W$8,0))</f>
        <v>0</v>
      </c>
      <c r="I52" s="378">
        <f>Assumptions!$R$18</f>
        <v>800</v>
      </c>
      <c r="J52" s="379">
        <f>Assumptions!$R$19*(1+K$49)</f>
        <v>2.4</v>
      </c>
      <c r="K52" s="380">
        <f>12*H52*I52*J52</f>
        <v>0</v>
      </c>
      <c r="L52" s="125"/>
      <c r="M52" s="31" t="str">
        <f>Assumptions!$W$6</f>
        <v>1BR</v>
      </c>
      <c r="N52" s="76">
        <f>N$49*INDEX(Assumptions!$Y$5:$Y$8,MATCH(M52,Assumptions!$W$5:$W$8,0))</f>
        <v>0</v>
      </c>
      <c r="O52" s="378">
        <f>Assumptions!$R$18</f>
        <v>800</v>
      </c>
      <c r="P52" s="379">
        <f>Assumptions!$R$19*(1+Q$49)</f>
        <v>2.4</v>
      </c>
      <c r="Q52" s="380">
        <f>12*N52*O52*P52</f>
        <v>0</v>
      </c>
      <c r="R52" s="125"/>
      <c r="S52" s="307"/>
      <c r="T52" s="100"/>
      <c r="U52" s="308"/>
      <c r="V52" s="309"/>
      <c r="W52" s="125"/>
      <c r="X52" s="99"/>
    </row>
    <row r="53" spans="1:24" ht="15" customHeight="1">
      <c r="A53" s="31" t="str">
        <f>Assumptions!$W$7</f>
        <v>2BR</v>
      </c>
      <c r="B53" s="76">
        <f>B$49*INDEX(Assumptions!$Y$5:$Y$8,MATCH(A53,Assumptions!$W$5:$W$8,0))</f>
        <v>0</v>
      </c>
      <c r="C53" s="32">
        <f>Assumptions!$R$21</f>
        <v>1200</v>
      </c>
      <c r="D53" s="379">
        <f>Assumptions!$R$22*(1+E$49)</f>
        <v>2.2000000000000002</v>
      </c>
      <c r="E53" s="380">
        <f>12*B53*C53*D53</f>
        <v>0</v>
      </c>
      <c r="F53" s="100"/>
      <c r="G53" s="31" t="str">
        <f>Assumptions!$W$7</f>
        <v>2BR</v>
      </c>
      <c r="H53" s="76">
        <f>H$49*INDEX(Assumptions!$Y$5:$Y$8,MATCH(G53,Assumptions!$W$5:$W$8,0))</f>
        <v>0</v>
      </c>
      <c r="I53" s="32">
        <f>Assumptions!$R$21</f>
        <v>1200</v>
      </c>
      <c r="J53" s="379">
        <f>Assumptions!$R$22*(1+K$49)</f>
        <v>2.2000000000000002</v>
      </c>
      <c r="K53" s="380">
        <f>12*H53*I53*J53</f>
        <v>0</v>
      </c>
      <c r="L53" s="125"/>
      <c r="M53" s="31" t="str">
        <f>Assumptions!$W$7</f>
        <v>2BR</v>
      </c>
      <c r="N53" s="76">
        <f>N$49*INDEX(Assumptions!$Y$5:$Y$8,MATCH(M53,Assumptions!$W$5:$W$8,0))</f>
        <v>0</v>
      </c>
      <c r="O53" s="32">
        <f>Assumptions!$R$21</f>
        <v>1200</v>
      </c>
      <c r="P53" s="379">
        <f>Assumptions!$R$22*(1+Q$49)</f>
        <v>2.2000000000000002</v>
      </c>
      <c r="Q53" s="380">
        <f>12*N53*O53*P53</f>
        <v>0</v>
      </c>
      <c r="R53" s="125"/>
      <c r="S53" s="307"/>
      <c r="T53" s="100"/>
      <c r="U53" s="308"/>
      <c r="V53" s="309"/>
      <c r="W53" s="125"/>
    </row>
    <row r="54" spans="1:24" ht="15" customHeight="1" thickBot="1">
      <c r="A54" s="31" t="str">
        <f>Assumptions!$W$8</f>
        <v>3BR</v>
      </c>
      <c r="B54" s="76">
        <f>B$49*INDEX(Assumptions!$Y$5:$Y$8,MATCH(A54,Assumptions!$W$5:$W$8,0))</f>
        <v>0</v>
      </c>
      <c r="C54" s="378">
        <f>Assumptions!$R$24</f>
        <v>2000</v>
      </c>
      <c r="D54" s="379">
        <f>Assumptions!$R$25*(1+E$49)</f>
        <v>2.5</v>
      </c>
      <c r="E54" s="380">
        <f>12*B54*C54*D54</f>
        <v>0</v>
      </c>
      <c r="G54" s="31" t="str">
        <f>Assumptions!$W$8</f>
        <v>3BR</v>
      </c>
      <c r="H54" s="76">
        <f>H$49*INDEX(Assumptions!$Y$5:$Y$8,MATCH(G54,Assumptions!$W$5:$W$8,0))</f>
        <v>0</v>
      </c>
      <c r="I54" s="378">
        <f>Assumptions!$R$24</f>
        <v>2000</v>
      </c>
      <c r="J54" s="379">
        <f>Assumptions!$R$25*(1+K$49)</f>
        <v>2.5</v>
      </c>
      <c r="K54" s="380">
        <f>12*H54*I54*J54</f>
        <v>0</v>
      </c>
      <c r="L54" s="125"/>
      <c r="M54" s="31" t="str">
        <f>Assumptions!$W$8</f>
        <v>3BR</v>
      </c>
      <c r="N54" s="76">
        <f>N$49*INDEX(Assumptions!$Y$5:$Y$8,MATCH(M54,Assumptions!$W$5:$W$8,0))</f>
        <v>0</v>
      </c>
      <c r="O54" s="378">
        <f>Assumptions!$R$24</f>
        <v>2000</v>
      </c>
      <c r="P54" s="379">
        <f>Assumptions!$R$25*(1+Q$49)</f>
        <v>2.5</v>
      </c>
      <c r="Q54" s="380">
        <f>12*N54*O54*P54</f>
        <v>0</v>
      </c>
      <c r="R54" s="125"/>
      <c r="S54" s="307"/>
      <c r="T54" s="100"/>
      <c r="U54" s="308"/>
      <c r="V54" s="309"/>
      <c r="W54" s="125"/>
    </row>
    <row r="55" spans="1:24" ht="15" customHeight="1" thickTop="1" thickBot="1">
      <c r="A55" s="7" t="s">
        <v>425</v>
      </c>
      <c r="B55" s="8">
        <f>SUM(B51:B54)</f>
        <v>0</v>
      </c>
      <c r="C55" s="9">
        <f>SUMPRODUCT(B51:B54,C51:C54)</f>
        <v>0</v>
      </c>
      <c r="D55" s="61"/>
      <c r="E55" s="62">
        <f>SUM(E51:E54)</f>
        <v>0</v>
      </c>
      <c r="F55" s="100"/>
      <c r="G55" s="7" t="s">
        <v>425</v>
      </c>
      <c r="H55" s="8">
        <f>SUM(H51:H54)</f>
        <v>0</v>
      </c>
      <c r="I55" s="9">
        <f>SUMPRODUCT(H51:H54,I51:I54)</f>
        <v>0</v>
      </c>
      <c r="J55" s="61"/>
      <c r="K55" s="62">
        <f>SUM(K51:K54)</f>
        <v>0</v>
      </c>
      <c r="L55" s="122"/>
      <c r="M55" s="7" t="s">
        <v>425</v>
      </c>
      <c r="N55" s="8">
        <f>SUM(N51:N54)</f>
        <v>0</v>
      </c>
      <c r="O55" s="9">
        <f>SUMPRODUCT(N51:N54,O51:O54)</f>
        <v>0</v>
      </c>
      <c r="P55" s="61"/>
      <c r="Q55" s="62">
        <f>SUM(Q51:Q54)</f>
        <v>0</v>
      </c>
      <c r="R55" s="122"/>
      <c r="S55" s="12"/>
      <c r="T55" s="310"/>
      <c r="U55" s="311"/>
      <c r="V55" s="312"/>
      <c r="W55" s="122"/>
    </row>
    <row r="56" spans="1:24" ht="15" customHeight="1" thickTop="1" thickBot="1">
      <c r="A56" s="10" t="s">
        <v>426</v>
      </c>
      <c r="B56" s="60"/>
      <c r="C56" s="11">
        <f>IFERROR(C55/B55,0)</f>
        <v>0</v>
      </c>
      <c r="D56" s="63">
        <f>IFERROR((E55/12)/C55,0)</f>
        <v>0</v>
      </c>
      <c r="E56" s="64"/>
      <c r="G56" s="10" t="s">
        <v>426</v>
      </c>
      <c r="H56" s="60"/>
      <c r="I56" s="11">
        <f>IFERROR(I55/H55,0)</f>
        <v>0</v>
      </c>
      <c r="J56" s="63">
        <f>IFERROR((K55/12)/I55,0)</f>
        <v>0</v>
      </c>
      <c r="K56" s="64"/>
      <c r="L56" s="12"/>
      <c r="M56" s="10" t="s">
        <v>426</v>
      </c>
      <c r="N56" s="60"/>
      <c r="O56" s="11">
        <f>IFERROR(O55/N55,0)</f>
        <v>0</v>
      </c>
      <c r="P56" s="63">
        <f>IFERROR((Q55/12)/O55,0)</f>
        <v>0</v>
      </c>
      <c r="Q56" s="64"/>
      <c r="R56" s="12"/>
      <c r="S56" s="12"/>
      <c r="T56" s="313"/>
      <c r="U56" s="314"/>
      <c r="V56" s="315"/>
      <c r="W56" s="12"/>
      <c r="X56" s="100"/>
    </row>
    <row r="57" spans="1:24" ht="15" customHeight="1">
      <c r="A57" s="104" t="s">
        <v>223</v>
      </c>
      <c r="B57" s="105" t="str">
        <f>B$37</f>
        <v>-</v>
      </c>
      <c r="C57" s="166" t="s">
        <v>419</v>
      </c>
      <c r="D57" s="165">
        <f>D$37*E$57</f>
        <v>0</v>
      </c>
      <c r="E57" s="106">
        <f>Assumptions!$Y$28</f>
        <v>0.77</v>
      </c>
      <c r="G57" s="104" t="s">
        <v>223</v>
      </c>
      <c r="H57" s="105" t="str">
        <f>H$37</f>
        <v>-</v>
      </c>
      <c r="I57" s="166" t="s">
        <v>419</v>
      </c>
      <c r="J57" s="165">
        <f>J$37*K$57</f>
        <v>0</v>
      </c>
      <c r="K57" s="106">
        <f>Assumptions!$Y$28</f>
        <v>0.77</v>
      </c>
      <c r="L57" s="55"/>
      <c r="M57" s="104" t="s">
        <v>223</v>
      </c>
      <c r="N57" s="105" t="str">
        <f>N$37</f>
        <v>-</v>
      </c>
      <c r="O57" s="166" t="s">
        <v>419</v>
      </c>
      <c r="P57" s="165">
        <f>P$37*Q$57</f>
        <v>0</v>
      </c>
      <c r="Q57" s="106">
        <f>Assumptions!$Y$28</f>
        <v>0.77</v>
      </c>
      <c r="R57" s="55"/>
      <c r="S57" s="123"/>
      <c r="T57" s="99"/>
      <c r="U57" s="135"/>
      <c r="V57" s="298"/>
      <c r="W57" s="55"/>
      <c r="X57" s="100"/>
    </row>
    <row r="58" spans="1:24" ht="15" customHeight="1">
      <c r="A58" s="104" t="s">
        <v>420</v>
      </c>
      <c r="B58" s="160">
        <v>0</v>
      </c>
      <c r="C58" s="113" t="str">
        <f>IF(C63&gt;D57,"# of Units Over Available Area","# of Units Within Available Area")</f>
        <v># of Units Within Available Area</v>
      </c>
      <c r="D58" s="158"/>
      <c r="E58" s="159"/>
      <c r="G58" s="104" t="s">
        <v>420</v>
      </c>
      <c r="H58" s="160">
        <v>0</v>
      </c>
      <c r="I58" s="113" t="str">
        <f>IF(I63&gt;J57,"# of Units Over Available Area","# of Units Within Available Area")</f>
        <v># of Units Within Available Area</v>
      </c>
      <c r="J58" s="158"/>
      <c r="K58" s="159"/>
      <c r="L58" s="102"/>
      <c r="M58" s="104" t="s">
        <v>420</v>
      </c>
      <c r="N58" s="160">
        <v>0</v>
      </c>
      <c r="O58" s="113" t="str">
        <f>IF(O63&gt;P57,"# of Units Over Available Area","# of Units Within Available Area")</f>
        <v># of Units Within Available Area</v>
      </c>
      <c r="P58" s="158"/>
      <c r="Q58" s="159"/>
      <c r="R58" s="102"/>
      <c r="S58" s="123"/>
      <c r="T58" s="296"/>
      <c r="U58" s="297"/>
      <c r="V58" s="112"/>
      <c r="W58" s="102"/>
      <c r="X58" s="100"/>
    </row>
    <row r="59" spans="1:24" ht="15" customHeight="1">
      <c r="A59" s="107" t="s">
        <v>308</v>
      </c>
      <c r="B59" s="108" t="s">
        <v>427</v>
      </c>
      <c r="C59" s="109" t="s">
        <v>428</v>
      </c>
      <c r="D59" s="108" t="s">
        <v>74</v>
      </c>
      <c r="E59" s="110" t="s">
        <v>429</v>
      </c>
      <c r="G59" s="107" t="s">
        <v>308</v>
      </c>
      <c r="H59" s="108" t="s">
        <v>427</v>
      </c>
      <c r="I59" s="109" t="s">
        <v>428</v>
      </c>
      <c r="J59" s="108" t="s">
        <v>74</v>
      </c>
      <c r="K59" s="110" t="s">
        <v>429</v>
      </c>
      <c r="L59" s="124"/>
      <c r="M59" s="107" t="s">
        <v>308</v>
      </c>
      <c r="N59" s="108" t="s">
        <v>427</v>
      </c>
      <c r="O59" s="109" t="s">
        <v>428</v>
      </c>
      <c r="P59" s="108" t="s">
        <v>74</v>
      </c>
      <c r="Q59" s="110" t="s">
        <v>429</v>
      </c>
      <c r="R59" s="124"/>
      <c r="S59" s="123"/>
      <c r="T59" s="124"/>
      <c r="U59" s="276"/>
      <c r="V59" s="124"/>
      <c r="W59" s="124"/>
      <c r="X59" s="100"/>
    </row>
    <row r="60" spans="1:24" ht="15" customHeight="1">
      <c r="A60" s="31" t="str">
        <f>Assumptions!$W$15</f>
        <v>1BR</v>
      </c>
      <c r="B60" s="76">
        <f>B$58*INDEX(Assumptions!$Y$10:$Y$12,MATCH(A60,Assumptions!$W$10:$W$12,0))</f>
        <v>0</v>
      </c>
      <c r="C60" s="32">
        <f>Assumptions!$S$18</f>
        <v>1000</v>
      </c>
      <c r="D60" s="379">
        <f>Assumptions!$S$19</f>
        <v>400</v>
      </c>
      <c r="E60" s="380">
        <f>B60*C60*D60</f>
        <v>0</v>
      </c>
      <c r="G60" s="31" t="str">
        <f>Assumptions!$W$15</f>
        <v>1BR</v>
      </c>
      <c r="H60" s="76">
        <f>H$58*INDEX(Assumptions!$Y$10:$Y$12,MATCH(G60,Assumptions!$W$10:$W$12,0))</f>
        <v>0</v>
      </c>
      <c r="I60" s="32">
        <f>Assumptions!$S$18</f>
        <v>1000</v>
      </c>
      <c r="J60" s="379">
        <f>Assumptions!$S$19</f>
        <v>400</v>
      </c>
      <c r="K60" s="380">
        <f>H60*I60*J60</f>
        <v>0</v>
      </c>
      <c r="L60" s="124"/>
      <c r="M60" s="31" t="str">
        <f>Assumptions!$W$15</f>
        <v>1BR</v>
      </c>
      <c r="N60" s="76">
        <f>N$58*INDEX(Assumptions!$Y$10:$Y$12,MATCH(M60,Assumptions!$W$10:$W$12,0))</f>
        <v>0</v>
      </c>
      <c r="O60" s="32">
        <f>Assumptions!$S$18</f>
        <v>1000</v>
      </c>
      <c r="P60" s="379">
        <f>Assumptions!$S$19</f>
        <v>400</v>
      </c>
      <c r="Q60" s="380">
        <f>N60*O60*P60</f>
        <v>0</v>
      </c>
      <c r="R60" s="124"/>
      <c r="S60" s="307"/>
      <c r="T60" s="100"/>
      <c r="U60" s="308"/>
      <c r="V60" s="309"/>
      <c r="W60" s="125"/>
      <c r="X60" s="100"/>
    </row>
    <row r="61" spans="1:24" ht="15" customHeight="1">
      <c r="A61" s="31" t="str">
        <f>Assumptions!$W$16</f>
        <v>2BR</v>
      </c>
      <c r="B61" s="76">
        <f>B$58*INDEX(Assumptions!$Y$10:$Y$12,MATCH(A61,Assumptions!$W$10:$W$12,0))</f>
        <v>0</v>
      </c>
      <c r="C61" s="32">
        <f>Assumptions!$S$21</f>
        <v>1500</v>
      </c>
      <c r="D61" s="379">
        <f>Assumptions!$S$22</f>
        <v>370</v>
      </c>
      <c r="E61" s="380">
        <f>B61*C61*D61</f>
        <v>0</v>
      </c>
      <c r="G61" s="31" t="str">
        <f>Assumptions!$W$16</f>
        <v>2BR</v>
      </c>
      <c r="H61" s="76">
        <f>H$58*INDEX(Assumptions!$Y$10:$Y$12,MATCH(G61,Assumptions!$W$10:$W$12,0))</f>
        <v>0</v>
      </c>
      <c r="I61" s="32">
        <f>Assumptions!$S$21</f>
        <v>1500</v>
      </c>
      <c r="J61" s="379">
        <f>Assumptions!$S$22</f>
        <v>370</v>
      </c>
      <c r="K61" s="380">
        <f>H61*I61*J61</f>
        <v>0</v>
      </c>
      <c r="L61" s="125"/>
      <c r="M61" s="31" t="str">
        <f>Assumptions!$W$16</f>
        <v>2BR</v>
      </c>
      <c r="N61" s="76">
        <f>N$58*INDEX(Assumptions!$Y$10:$Y$12,MATCH(M61,Assumptions!$W$10:$W$12,0))</f>
        <v>0</v>
      </c>
      <c r="O61" s="32">
        <f>Assumptions!$S$21</f>
        <v>1500</v>
      </c>
      <c r="P61" s="379">
        <f>Assumptions!$S$22</f>
        <v>370</v>
      </c>
      <c r="Q61" s="380">
        <f>N61*O61*P61</f>
        <v>0</v>
      </c>
      <c r="R61" s="125"/>
      <c r="S61" s="307"/>
      <c r="T61" s="100"/>
      <c r="U61" s="308"/>
      <c r="V61" s="309"/>
      <c r="W61" s="125"/>
      <c r="X61" s="100"/>
    </row>
    <row r="62" spans="1:24" ht="15" customHeight="1" thickBot="1">
      <c r="A62" s="31" t="str">
        <f>Assumptions!$W$17</f>
        <v>3BR</v>
      </c>
      <c r="B62" s="76">
        <f>B$58*INDEX(Assumptions!$Y$10:$Y$12,MATCH(A62,Assumptions!$W$10:$W$12,0))</f>
        <v>0</v>
      </c>
      <c r="C62" s="378">
        <f>Assumptions!$S$24</f>
        <v>2300</v>
      </c>
      <c r="D62" s="379">
        <f>Assumptions!$S$25</f>
        <v>340</v>
      </c>
      <c r="E62" s="380">
        <f>B62*C62*D62</f>
        <v>0</v>
      </c>
      <c r="G62" s="31" t="str">
        <f>Assumptions!$W$17</f>
        <v>3BR</v>
      </c>
      <c r="H62" s="76">
        <f>H$58*INDEX(Assumptions!$Y$10:$Y$12,MATCH(G62,Assumptions!$W$10:$W$12,0))</f>
        <v>0</v>
      </c>
      <c r="I62" s="378">
        <f>Assumptions!$S$24</f>
        <v>2300</v>
      </c>
      <c r="J62" s="379">
        <f>Assumptions!$S$25</f>
        <v>340</v>
      </c>
      <c r="K62" s="380">
        <f>H62*I62*J62</f>
        <v>0</v>
      </c>
      <c r="L62" s="125"/>
      <c r="M62" s="31" t="str">
        <f>Assumptions!$W$17</f>
        <v>3BR</v>
      </c>
      <c r="N62" s="76">
        <f>N$58*INDEX(Assumptions!$Y$10:$Y$12,MATCH(M62,Assumptions!$W$10:$W$12,0))</f>
        <v>0</v>
      </c>
      <c r="O62" s="378">
        <f>Assumptions!$S$24</f>
        <v>2300</v>
      </c>
      <c r="P62" s="379">
        <f>Assumptions!$S$25</f>
        <v>340</v>
      </c>
      <c r="Q62" s="380">
        <f>N62*O62*P62</f>
        <v>0</v>
      </c>
      <c r="R62" s="125"/>
      <c r="S62" s="307"/>
      <c r="T62" s="100"/>
      <c r="U62" s="308"/>
      <c r="V62" s="309"/>
      <c r="W62" s="125"/>
      <c r="X62" s="100"/>
    </row>
    <row r="63" spans="1:24" ht="15" customHeight="1" thickTop="1" thickBot="1">
      <c r="A63" s="7" t="s">
        <v>425</v>
      </c>
      <c r="B63" s="8">
        <f>SUM(B61:B62)</f>
        <v>0</v>
      </c>
      <c r="C63" s="9">
        <f>SUMPRODUCT(B60:B62,C60:C62)</f>
        <v>0</v>
      </c>
      <c r="D63" s="61"/>
      <c r="E63" s="62">
        <f>SUM(E60:E62)</f>
        <v>0</v>
      </c>
      <c r="G63" s="7" t="s">
        <v>425</v>
      </c>
      <c r="H63" s="8">
        <f>SUM(H61:H62)</f>
        <v>0</v>
      </c>
      <c r="I63" s="9">
        <f>SUMPRODUCT(H60:H62,I60:I62)</f>
        <v>0</v>
      </c>
      <c r="J63" s="61"/>
      <c r="K63" s="62">
        <f>SUM(K60:K62)</f>
        <v>0</v>
      </c>
      <c r="L63" s="122"/>
      <c r="M63" s="7" t="s">
        <v>425</v>
      </c>
      <c r="N63" s="8">
        <f>SUM(N61:N62)</f>
        <v>0</v>
      </c>
      <c r="O63" s="9">
        <f>SUMPRODUCT(N60:N62,O60:O62)</f>
        <v>0</v>
      </c>
      <c r="P63" s="61"/>
      <c r="Q63" s="62">
        <f>SUM(Q60:Q62)</f>
        <v>0</v>
      </c>
      <c r="R63" s="122"/>
      <c r="S63" s="12"/>
      <c r="T63" s="310"/>
      <c r="U63" s="311"/>
      <c r="V63" s="312"/>
      <c r="W63" s="122"/>
      <c r="X63" s="100"/>
    </row>
    <row r="64" spans="1:24" ht="15" customHeight="1" thickTop="1" thickBot="1">
      <c r="A64" s="10" t="s">
        <v>426</v>
      </c>
      <c r="B64" s="60"/>
      <c r="C64" s="11">
        <f>IFERROR(C63/B63,0)</f>
        <v>0</v>
      </c>
      <c r="D64" s="63">
        <f>IFERROR((E63/12)/C63,0)</f>
        <v>0</v>
      </c>
      <c r="E64" s="64"/>
      <c r="G64" s="10" t="s">
        <v>426</v>
      </c>
      <c r="H64" s="60"/>
      <c r="I64" s="11">
        <f>IFERROR(I63/H63,0)</f>
        <v>0</v>
      </c>
      <c r="J64" s="63">
        <f>IFERROR((K63/12)/I63,0)</f>
        <v>0</v>
      </c>
      <c r="K64" s="64"/>
      <c r="L64" s="12"/>
      <c r="M64" s="10" t="s">
        <v>426</v>
      </c>
      <c r="N64" s="60"/>
      <c r="O64" s="11">
        <f>IFERROR(O63/N63,0)</f>
        <v>0</v>
      </c>
      <c r="P64" s="63">
        <f>IFERROR((Q63/12)/O63,0)</f>
        <v>0</v>
      </c>
      <c r="Q64" s="64"/>
      <c r="R64" s="12"/>
      <c r="S64" s="12"/>
      <c r="T64" s="313"/>
      <c r="U64" s="314"/>
      <c r="V64" s="315"/>
      <c r="W64" s="12"/>
      <c r="X64" s="100"/>
    </row>
    <row r="65" spans="1:24" ht="15" customHeight="1">
      <c r="A65" s="104" t="s">
        <v>224</v>
      </c>
      <c r="B65" s="105" t="str">
        <f>B$38</f>
        <v>-</v>
      </c>
      <c r="C65" s="166" t="s">
        <v>419</v>
      </c>
      <c r="D65" s="111">
        <f>D$38*E$65</f>
        <v>0</v>
      </c>
      <c r="E65" s="106">
        <f>Assumptions!$Y$28</f>
        <v>0.77</v>
      </c>
      <c r="G65" s="104" t="s">
        <v>224</v>
      </c>
      <c r="H65" s="105" t="str">
        <f>H$38</f>
        <v>-</v>
      </c>
      <c r="I65" s="166" t="s">
        <v>419</v>
      </c>
      <c r="J65" s="111">
        <f>J$38*K$65</f>
        <v>0</v>
      </c>
      <c r="K65" s="106">
        <f>Assumptions!$Y$28</f>
        <v>0.77</v>
      </c>
      <c r="L65" s="12"/>
      <c r="M65" s="104" t="s">
        <v>224</v>
      </c>
      <c r="N65" s="105" t="str">
        <f>N$38</f>
        <v>-</v>
      </c>
      <c r="O65" s="166" t="s">
        <v>419</v>
      </c>
      <c r="P65" s="111">
        <f>P$38*Q$65</f>
        <v>0</v>
      </c>
      <c r="Q65" s="106">
        <f>Assumptions!$Y$28</f>
        <v>0.77</v>
      </c>
      <c r="R65" s="12"/>
      <c r="S65" s="123"/>
      <c r="T65" s="99"/>
      <c r="U65" s="135"/>
      <c r="V65" s="295"/>
      <c r="W65" s="55"/>
      <c r="X65" s="100"/>
    </row>
    <row r="66" spans="1:24" ht="15" customHeight="1">
      <c r="A66" s="104" t="s">
        <v>420</v>
      </c>
      <c r="B66" s="160">
        <v>0</v>
      </c>
      <c r="C66" s="113" t="str">
        <f>IF(C72&gt;D65,"# of Units Over Available Area","# of Units Within Available Area")</f>
        <v># of Units Within Available Area</v>
      </c>
      <c r="D66" s="112" t="s">
        <v>421</v>
      </c>
      <c r="E66" s="120">
        <v>0</v>
      </c>
      <c r="G66" s="104" t="s">
        <v>420</v>
      </c>
      <c r="H66" s="160">
        <v>0</v>
      </c>
      <c r="I66" s="113" t="str">
        <f>IF(I72&gt;J65,"# of Units Over Available Area","# of Units Within Available Area")</f>
        <v># of Units Within Available Area</v>
      </c>
      <c r="J66" s="112" t="s">
        <v>421</v>
      </c>
      <c r="K66" s="120">
        <v>0</v>
      </c>
      <c r="L66" s="12"/>
      <c r="M66" s="104" t="s">
        <v>420</v>
      </c>
      <c r="N66" s="160">
        <v>0</v>
      </c>
      <c r="O66" s="113" t="str">
        <f>IF(O72&gt;P65,"# of Units Over Available Area","# of Units Within Available Area")</f>
        <v># of Units Within Available Area</v>
      </c>
      <c r="P66" s="112" t="s">
        <v>421</v>
      </c>
      <c r="Q66" s="120">
        <v>0</v>
      </c>
      <c r="R66" s="12"/>
      <c r="S66" s="123"/>
      <c r="T66" s="296"/>
      <c r="U66" s="297"/>
      <c r="V66" s="112"/>
      <c r="W66" s="102"/>
      <c r="X66" s="100"/>
    </row>
    <row r="67" spans="1:24" ht="15" customHeight="1">
      <c r="A67" s="107" t="s">
        <v>308</v>
      </c>
      <c r="B67" s="108" t="s">
        <v>427</v>
      </c>
      <c r="C67" s="109" t="s">
        <v>428</v>
      </c>
      <c r="D67" s="108" t="s">
        <v>423</v>
      </c>
      <c r="E67" s="110" t="s">
        <v>424</v>
      </c>
      <c r="G67" s="107" t="s">
        <v>308</v>
      </c>
      <c r="H67" s="108" t="s">
        <v>427</v>
      </c>
      <c r="I67" s="109" t="s">
        <v>428</v>
      </c>
      <c r="J67" s="108" t="s">
        <v>423</v>
      </c>
      <c r="K67" s="110" t="s">
        <v>424</v>
      </c>
      <c r="L67" s="12"/>
      <c r="M67" s="107" t="s">
        <v>308</v>
      </c>
      <c r="N67" s="108" t="s">
        <v>427</v>
      </c>
      <c r="O67" s="109" t="s">
        <v>428</v>
      </c>
      <c r="P67" s="108" t="s">
        <v>423</v>
      </c>
      <c r="Q67" s="110" t="s">
        <v>424</v>
      </c>
      <c r="R67" s="12"/>
      <c r="S67" s="123"/>
      <c r="T67" s="124"/>
      <c r="U67" s="276"/>
      <c r="V67" s="124"/>
      <c r="W67" s="124"/>
      <c r="X67" s="100"/>
    </row>
    <row r="68" spans="1:24" ht="15" customHeight="1">
      <c r="A68" s="31" t="str">
        <f>Assumptions!$W$14</f>
        <v>Studio</v>
      </c>
      <c r="B68" s="76">
        <f>B$66*INDEX(Assumptions!$Y$14:$Y$17,MATCH(A68,Assumptions!$W$14:$W$17,0))</f>
        <v>0</v>
      </c>
      <c r="C68" s="32">
        <f>Assumptions!$R$28</f>
        <v>550</v>
      </c>
      <c r="D68" s="42">
        <f>Assumptions!$R29*(1+E$66)</f>
        <v>2.4</v>
      </c>
      <c r="E68" s="43">
        <f>12*B68*C68*D68</f>
        <v>0</v>
      </c>
      <c r="G68" s="31" t="str">
        <f>Assumptions!$W$14</f>
        <v>Studio</v>
      </c>
      <c r="H68" s="76">
        <f>H$66*INDEX(Assumptions!$Y$14:$Y$17,MATCH(G68,Assumptions!$W$14:$W$17,0))</f>
        <v>0</v>
      </c>
      <c r="I68" s="32">
        <f>Assumptions!$R$28</f>
        <v>550</v>
      </c>
      <c r="J68" s="42">
        <f>Assumptions!$R29*(1+K$66)</f>
        <v>2.4</v>
      </c>
      <c r="K68" s="43">
        <f>12*H68*I68*J68</f>
        <v>0</v>
      </c>
      <c r="L68" s="12"/>
      <c r="M68" s="31" t="str">
        <f>Assumptions!$W$14</f>
        <v>Studio</v>
      </c>
      <c r="N68" s="76">
        <f>N$66*INDEX(Assumptions!$Y$14:$Y$17,MATCH(M68,Assumptions!$W$14:$W$17,0))</f>
        <v>0</v>
      </c>
      <c r="O68" s="32">
        <f>Assumptions!$R$28</f>
        <v>550</v>
      </c>
      <c r="P68" s="42">
        <f>Assumptions!$R29*(1+Q$66)</f>
        <v>2.4</v>
      </c>
      <c r="Q68" s="43">
        <f>12*N68*O68*P68</f>
        <v>0</v>
      </c>
      <c r="R68" s="12"/>
      <c r="S68" s="307"/>
      <c r="T68" s="100"/>
      <c r="U68" s="308"/>
      <c r="V68" s="309"/>
      <c r="W68" s="125"/>
      <c r="X68" s="100"/>
    </row>
    <row r="69" spans="1:24" ht="15" customHeight="1">
      <c r="A69" s="31" t="str">
        <f>Assumptions!$W$15</f>
        <v>1BR</v>
      </c>
      <c r="B69" s="76">
        <f>B$66*INDEX(Assumptions!$Y$14:$Y$17,MATCH(A69,Assumptions!$W$14:$W$17,0))</f>
        <v>0</v>
      </c>
      <c r="C69" s="32">
        <f>Assumptions!$R$31</f>
        <v>800</v>
      </c>
      <c r="D69" s="42">
        <f>Assumptions!$R32*(1+E$66)</f>
        <v>2.0487500000000001</v>
      </c>
      <c r="E69" s="43">
        <f>12*B69*C69*D69</f>
        <v>0</v>
      </c>
      <c r="G69" s="31" t="str">
        <f>Assumptions!$W$15</f>
        <v>1BR</v>
      </c>
      <c r="H69" s="76">
        <f>H$66*INDEX(Assumptions!$Y$14:$Y$17,MATCH(G69,Assumptions!$W$14:$W$17,0))</f>
        <v>0</v>
      </c>
      <c r="I69" s="32">
        <f>Assumptions!$R$31</f>
        <v>800</v>
      </c>
      <c r="J69" s="42">
        <f>Assumptions!$R32*(1+K$66)</f>
        <v>2.0487500000000001</v>
      </c>
      <c r="K69" s="43">
        <f>12*H69*I69*J69</f>
        <v>0</v>
      </c>
      <c r="L69" s="12"/>
      <c r="M69" s="31" t="str">
        <f>Assumptions!$W$15</f>
        <v>1BR</v>
      </c>
      <c r="N69" s="76">
        <f>N$66*INDEX(Assumptions!$Y$14:$Y$17,MATCH(M69,Assumptions!$W$14:$W$17,0))</f>
        <v>0</v>
      </c>
      <c r="O69" s="32">
        <f>Assumptions!$R$31</f>
        <v>800</v>
      </c>
      <c r="P69" s="42">
        <f>Assumptions!$R32*(1+Q$66)</f>
        <v>2.0487500000000001</v>
      </c>
      <c r="Q69" s="43">
        <f>12*N69*O69*P69</f>
        <v>0</v>
      </c>
      <c r="R69" s="12"/>
      <c r="S69" s="307"/>
      <c r="T69" s="100"/>
      <c r="U69" s="308"/>
      <c r="V69" s="309"/>
      <c r="W69" s="125"/>
      <c r="X69" s="100"/>
    </row>
    <row r="70" spans="1:24" ht="15" customHeight="1">
      <c r="A70" s="31" t="str">
        <f>Assumptions!$W$16</f>
        <v>2BR</v>
      </c>
      <c r="B70" s="76">
        <f>B$66*INDEX(Assumptions!$Y$14:$Y$17,MATCH(A70,Assumptions!$W$14:$W$17,0))</f>
        <v>0</v>
      </c>
      <c r="C70" s="378">
        <f>Assumptions!$R$34</f>
        <v>1200</v>
      </c>
      <c r="D70" s="379">
        <f>Assumptions!$R$36*(1+E$66)</f>
        <v>1.5083333333333333</v>
      </c>
      <c r="E70" s="380">
        <f>12*B70*C70*D70</f>
        <v>0</v>
      </c>
      <c r="G70" s="31" t="str">
        <f>Assumptions!$W$16</f>
        <v>2BR</v>
      </c>
      <c r="H70" s="76">
        <f>H$66*INDEX(Assumptions!$Y$14:$Y$17,MATCH(G70,Assumptions!$W$14:$W$17,0))</f>
        <v>0</v>
      </c>
      <c r="I70" s="378">
        <f>Assumptions!$R$34</f>
        <v>1200</v>
      </c>
      <c r="J70" s="379">
        <f>Assumptions!$R$36*(1+K$66)</f>
        <v>1.5083333333333333</v>
      </c>
      <c r="K70" s="380">
        <f>12*H70*I70*J70</f>
        <v>0</v>
      </c>
      <c r="L70" s="12"/>
      <c r="M70" s="31" t="str">
        <f>Assumptions!$W$16</f>
        <v>2BR</v>
      </c>
      <c r="N70" s="76">
        <f>N$66*INDEX(Assumptions!$Y$14:$Y$17,MATCH(M70,Assumptions!$W$14:$W$17,0))</f>
        <v>0</v>
      </c>
      <c r="O70" s="378">
        <f>Assumptions!$R$34</f>
        <v>1200</v>
      </c>
      <c r="P70" s="379">
        <f>Assumptions!$R$36*(1+Q$66)</f>
        <v>1.5083333333333333</v>
      </c>
      <c r="Q70" s="380">
        <f>12*N70*O70*P70</f>
        <v>0</v>
      </c>
      <c r="R70" s="12"/>
      <c r="S70" s="307"/>
      <c r="T70" s="100"/>
      <c r="U70" s="308"/>
      <c r="V70" s="309"/>
      <c r="W70" s="125"/>
      <c r="X70" s="100"/>
    </row>
    <row r="71" spans="1:24" ht="15" customHeight="1" thickBot="1">
      <c r="A71" s="31" t="str">
        <f>Assumptions!$W$17</f>
        <v>3BR</v>
      </c>
      <c r="B71" s="76">
        <f>B$66*INDEX(Assumptions!$Y$14:$Y$17,MATCH(A71,Assumptions!$W$14:$W$17,0))</f>
        <v>0</v>
      </c>
      <c r="C71" s="32">
        <f>Assumptions!$R$38</f>
        <v>2000</v>
      </c>
      <c r="D71" s="379">
        <f>Assumptions!$R$39*(1+E$66)</f>
        <v>1.5145</v>
      </c>
      <c r="E71" s="380">
        <f>12*B71*C71*D71</f>
        <v>0</v>
      </c>
      <c r="G71" s="31" t="str">
        <f>Assumptions!$W$17</f>
        <v>3BR</v>
      </c>
      <c r="H71" s="76">
        <f>H$66*INDEX(Assumptions!$Y$14:$Y$17,MATCH(G71,Assumptions!$W$14:$W$17,0))</f>
        <v>0</v>
      </c>
      <c r="I71" s="32">
        <f>Assumptions!$R$38</f>
        <v>2000</v>
      </c>
      <c r="J71" s="379">
        <f>Assumptions!$R$39*(1+K$66)</f>
        <v>1.5145</v>
      </c>
      <c r="K71" s="380">
        <f>12*H71*I71*J71</f>
        <v>0</v>
      </c>
      <c r="L71" s="12"/>
      <c r="M71" s="31" t="str">
        <f>Assumptions!$W$17</f>
        <v>3BR</v>
      </c>
      <c r="N71" s="76">
        <f>N$66*INDEX(Assumptions!$Y$14:$Y$17,MATCH(M71,Assumptions!$W$14:$W$17,0))</f>
        <v>0</v>
      </c>
      <c r="O71" s="32">
        <f>Assumptions!$R$38</f>
        <v>2000</v>
      </c>
      <c r="P71" s="379">
        <f>Assumptions!$R$39*(1+Q$66)</f>
        <v>1.5145</v>
      </c>
      <c r="Q71" s="380">
        <f>12*N71*O71*P71</f>
        <v>0</v>
      </c>
      <c r="R71" s="12"/>
      <c r="S71" s="307"/>
      <c r="T71" s="100"/>
      <c r="U71" s="308"/>
      <c r="V71" s="309"/>
      <c r="W71" s="125"/>
      <c r="X71" s="100"/>
    </row>
    <row r="72" spans="1:24" ht="15" customHeight="1" thickTop="1" thickBot="1">
      <c r="A72" s="7" t="s">
        <v>425</v>
      </c>
      <c r="B72" s="8">
        <f>SUM(B68:B71)</f>
        <v>0</v>
      </c>
      <c r="C72" s="9">
        <f>SUMPRODUCT(B68:B71,C68:C71)</f>
        <v>0</v>
      </c>
      <c r="D72" s="61"/>
      <c r="E72" s="62">
        <f>SUM(E68:E71)</f>
        <v>0</v>
      </c>
      <c r="G72" s="7" t="s">
        <v>425</v>
      </c>
      <c r="H72" s="8">
        <f>SUM(H68:H71)</f>
        <v>0</v>
      </c>
      <c r="I72" s="9">
        <f>SUMPRODUCT(H68:H71,I68:I71)</f>
        <v>0</v>
      </c>
      <c r="J72" s="61"/>
      <c r="K72" s="62">
        <f>SUM(K68:K71)</f>
        <v>0</v>
      </c>
      <c r="L72" s="12"/>
      <c r="M72" s="7" t="s">
        <v>425</v>
      </c>
      <c r="N72" s="8">
        <f>SUM(N68:N71)</f>
        <v>0</v>
      </c>
      <c r="O72" s="9">
        <f>SUMPRODUCT(N68:N71,O68:O71)</f>
        <v>0</v>
      </c>
      <c r="P72" s="61"/>
      <c r="Q72" s="62">
        <f>SUM(Q68:Q71)</f>
        <v>0</v>
      </c>
      <c r="R72" s="12"/>
      <c r="S72" s="12"/>
      <c r="T72" s="310"/>
      <c r="U72" s="311"/>
      <c r="V72" s="312"/>
      <c r="W72" s="122"/>
      <c r="X72" s="100"/>
    </row>
    <row r="73" spans="1:24" ht="15" customHeight="1" thickTop="1" thickBot="1">
      <c r="A73" s="10" t="s">
        <v>426</v>
      </c>
      <c r="B73" s="60"/>
      <c r="C73" s="11">
        <f>IFERROR(C72/B72,0)</f>
        <v>0</v>
      </c>
      <c r="D73" s="63">
        <f>IFERROR((E72/12)/C72,0)</f>
        <v>0</v>
      </c>
      <c r="E73" s="64"/>
      <c r="G73" s="10" t="s">
        <v>426</v>
      </c>
      <c r="H73" s="60"/>
      <c r="I73" s="11">
        <f>IFERROR(I72/H72,0)</f>
        <v>0</v>
      </c>
      <c r="J73" s="63">
        <f>IFERROR((K72/12)/I72,0)</f>
        <v>0</v>
      </c>
      <c r="K73" s="64"/>
      <c r="L73" s="12"/>
      <c r="M73" s="10" t="s">
        <v>426</v>
      </c>
      <c r="N73" s="60"/>
      <c r="O73" s="11">
        <f>IFERROR(O72/N72,0)</f>
        <v>0</v>
      </c>
      <c r="P73" s="63">
        <f>IFERROR((Q72/12)/O72,0)</f>
        <v>0</v>
      </c>
      <c r="Q73" s="64"/>
      <c r="R73" s="12"/>
      <c r="S73" s="12"/>
      <c r="T73" s="313"/>
      <c r="U73" s="314"/>
      <c r="V73" s="315"/>
      <c r="W73" s="12"/>
      <c r="X73" s="100"/>
    </row>
    <row r="74" spans="1:24" ht="15" customHeight="1">
      <c r="A74" s="104" t="s">
        <v>225</v>
      </c>
      <c r="B74" s="105" t="str">
        <f>B$39</f>
        <v>-</v>
      </c>
      <c r="C74" s="166" t="s">
        <v>419</v>
      </c>
      <c r="D74" s="111">
        <f>D$39*E$74</f>
        <v>0</v>
      </c>
      <c r="E74" s="106">
        <f>Assumptions!$Y$28</f>
        <v>0.77</v>
      </c>
      <c r="G74" s="104" t="s">
        <v>225</v>
      </c>
      <c r="H74" s="105" t="str">
        <f>H$39</f>
        <v>-</v>
      </c>
      <c r="I74" s="166" t="s">
        <v>419</v>
      </c>
      <c r="J74" s="111">
        <f>J$39*K$74</f>
        <v>0</v>
      </c>
      <c r="K74" s="106">
        <f>Assumptions!$Y$28</f>
        <v>0.77</v>
      </c>
      <c r="L74" s="12"/>
      <c r="M74" s="104" t="s">
        <v>225</v>
      </c>
      <c r="N74" s="105" t="str">
        <f>N$39</f>
        <v>-</v>
      </c>
      <c r="O74" s="166" t="s">
        <v>419</v>
      </c>
      <c r="P74" s="111">
        <f>P$39*Q$74</f>
        <v>0</v>
      </c>
      <c r="Q74" s="106">
        <f>Assumptions!$Y$28</f>
        <v>0.77</v>
      </c>
      <c r="R74" s="12"/>
      <c r="S74" s="123"/>
      <c r="T74" s="99"/>
      <c r="U74" s="135"/>
      <c r="V74" s="295"/>
      <c r="W74" s="55"/>
      <c r="X74" s="100"/>
    </row>
    <row r="75" spans="1:24" ht="15" customHeight="1">
      <c r="A75" s="104" t="s">
        <v>420</v>
      </c>
      <c r="B75" s="160">
        <v>0</v>
      </c>
      <c r="C75" s="113" t="str">
        <f>IF(C80&gt;D74,"# of Units Over Available Area","# of Units Within Available Area")</f>
        <v># of Units Within Available Area</v>
      </c>
      <c r="D75" s="158"/>
      <c r="E75" s="159"/>
      <c r="G75" s="104" t="s">
        <v>420</v>
      </c>
      <c r="H75" s="160">
        <v>0</v>
      </c>
      <c r="I75" s="113" t="str">
        <f>IF(I80&gt;J74,"# of Units Over Available Area","# of Units Within Available Area")</f>
        <v># of Units Within Available Area</v>
      </c>
      <c r="J75" s="158"/>
      <c r="K75" s="159"/>
      <c r="L75" s="12"/>
      <c r="M75" s="104" t="s">
        <v>420</v>
      </c>
      <c r="N75" s="160">
        <v>0</v>
      </c>
      <c r="O75" s="113" t="str">
        <f>IF(O80&gt;P74,"# of Units Over Available Area","# of Units Within Available Area")</f>
        <v># of Units Within Available Area</v>
      </c>
      <c r="P75" s="158"/>
      <c r="Q75" s="159"/>
      <c r="R75" s="12"/>
      <c r="S75" s="123"/>
      <c r="T75" s="296"/>
      <c r="U75" s="297"/>
      <c r="V75" s="112"/>
      <c r="W75" s="102"/>
      <c r="X75" s="100"/>
    </row>
    <row r="76" spans="1:24" ht="15" customHeight="1">
      <c r="A76" s="107" t="s">
        <v>308</v>
      </c>
      <c r="B76" s="108" t="s">
        <v>427</v>
      </c>
      <c r="C76" s="109" t="s">
        <v>428</v>
      </c>
      <c r="D76" s="108" t="s">
        <v>74</v>
      </c>
      <c r="E76" s="110" t="s">
        <v>429</v>
      </c>
      <c r="G76" s="107" t="s">
        <v>308</v>
      </c>
      <c r="H76" s="108" t="s">
        <v>427</v>
      </c>
      <c r="I76" s="109" t="s">
        <v>428</v>
      </c>
      <c r="J76" s="108" t="s">
        <v>74</v>
      </c>
      <c r="K76" s="110" t="s">
        <v>429</v>
      </c>
      <c r="L76" s="12"/>
      <c r="M76" s="107" t="s">
        <v>308</v>
      </c>
      <c r="N76" s="108" t="s">
        <v>427</v>
      </c>
      <c r="O76" s="109" t="s">
        <v>428</v>
      </c>
      <c r="P76" s="108" t="s">
        <v>74</v>
      </c>
      <c r="Q76" s="110" t="s">
        <v>429</v>
      </c>
      <c r="R76" s="12"/>
      <c r="S76" s="123"/>
      <c r="T76" s="124"/>
      <c r="U76" s="276"/>
      <c r="V76" s="124"/>
      <c r="W76" s="124"/>
      <c r="X76" s="100"/>
    </row>
    <row r="77" spans="1:24" ht="15" customHeight="1">
      <c r="A77" s="31" t="str">
        <f>Assumptions!$W$19</f>
        <v>1BR</v>
      </c>
      <c r="B77" s="76">
        <f>B$75*INDEX(Assumptions!$Y$19:$Y$21,MATCH(A77,Assumptions!$W$19:$W$21,0))</f>
        <v>0</v>
      </c>
      <c r="C77" s="32">
        <f>Assumptions!$S$18</f>
        <v>1000</v>
      </c>
      <c r="D77" s="379">
        <f>Assumptions!$S$32</f>
        <v>268</v>
      </c>
      <c r="E77" s="380">
        <f>B77*C77*D77</f>
        <v>0</v>
      </c>
      <c r="G77" s="31" t="str">
        <f>Assumptions!$W$19</f>
        <v>1BR</v>
      </c>
      <c r="H77" s="76">
        <f>H$75*INDEX(Assumptions!$Y$19:$Y$21,MATCH(G77,Assumptions!$W$19:$W$21,0))</f>
        <v>0</v>
      </c>
      <c r="I77" s="32">
        <f>Assumptions!$S$18</f>
        <v>1000</v>
      </c>
      <c r="J77" s="379">
        <f>Assumptions!$S$32</f>
        <v>268</v>
      </c>
      <c r="K77" s="380">
        <f>H77*I77*J77</f>
        <v>0</v>
      </c>
      <c r="L77" s="12"/>
      <c r="M77" s="31" t="str">
        <f>Assumptions!$W$19</f>
        <v>1BR</v>
      </c>
      <c r="N77" s="76">
        <f>N$75*INDEX(Assumptions!$Y$19:$Y$21,MATCH(M77,Assumptions!$W$19:$W$21,0))</f>
        <v>0</v>
      </c>
      <c r="O77" s="32">
        <f>Assumptions!$S$18</f>
        <v>1000</v>
      </c>
      <c r="P77" s="379">
        <f>Assumptions!$S$32</f>
        <v>268</v>
      </c>
      <c r="Q77" s="380">
        <f>N77*O77*P77</f>
        <v>0</v>
      </c>
      <c r="R77" s="12"/>
      <c r="S77" s="307"/>
      <c r="T77" s="100"/>
      <c r="U77" s="308"/>
      <c r="V77" s="309"/>
      <c r="W77" s="125"/>
      <c r="X77" s="100"/>
    </row>
    <row r="78" spans="1:24" ht="15" customHeight="1">
      <c r="A78" s="31" t="str">
        <f>Assumptions!$W$20</f>
        <v>2BR</v>
      </c>
      <c r="B78" s="76">
        <f>B$75*INDEX(Assumptions!$Y$19:$Y$21,MATCH(A78,Assumptions!$W$19:$W$21,0))</f>
        <v>0</v>
      </c>
      <c r="C78" s="32">
        <f>Assumptions!$S$21</f>
        <v>1500</v>
      </c>
      <c r="D78" s="379">
        <f>Assumptions!$S$36</f>
        <v>216</v>
      </c>
      <c r="E78" s="380">
        <f>B78*C78*D78</f>
        <v>0</v>
      </c>
      <c r="G78" s="31" t="str">
        <f>Assumptions!$W$20</f>
        <v>2BR</v>
      </c>
      <c r="H78" s="76">
        <f>H$75*INDEX(Assumptions!$Y$19:$Y$21,MATCH(G78,Assumptions!$W$19:$W$21,0))</f>
        <v>0</v>
      </c>
      <c r="I78" s="32">
        <f>Assumptions!$S$21</f>
        <v>1500</v>
      </c>
      <c r="J78" s="379">
        <f>Assumptions!$S$36</f>
        <v>216</v>
      </c>
      <c r="K78" s="380">
        <f>H78*I78*J78</f>
        <v>0</v>
      </c>
      <c r="L78" s="12"/>
      <c r="M78" s="31" t="str">
        <f>Assumptions!$W$20</f>
        <v>2BR</v>
      </c>
      <c r="N78" s="76">
        <f>N$75*INDEX(Assumptions!$Y$19:$Y$21,MATCH(M78,Assumptions!$W$19:$W$21,0))</f>
        <v>0</v>
      </c>
      <c r="O78" s="32">
        <f>Assumptions!$S$21</f>
        <v>1500</v>
      </c>
      <c r="P78" s="379">
        <f>Assumptions!$S$36</f>
        <v>216</v>
      </c>
      <c r="Q78" s="380">
        <f>N78*O78*P78</f>
        <v>0</v>
      </c>
      <c r="R78" s="12"/>
      <c r="S78" s="307"/>
      <c r="T78" s="100"/>
      <c r="U78" s="308"/>
      <c r="V78" s="309"/>
      <c r="W78" s="125"/>
      <c r="X78" s="100"/>
    </row>
    <row r="79" spans="1:24" ht="15" customHeight="1" thickBot="1">
      <c r="A79" s="31" t="str">
        <f>Assumptions!$W$21</f>
        <v>3BR</v>
      </c>
      <c r="B79" s="76">
        <f>B$75*INDEX(Assumptions!$Y$19:$Y$21,MATCH(A79,Assumptions!$W$19:$W$21,0))</f>
        <v>0</v>
      </c>
      <c r="C79" s="378">
        <f>Assumptions!$S$24</f>
        <v>2300</v>
      </c>
      <c r="D79" s="379">
        <f>Assumptions!$S$39</f>
        <v>174.34782608695653</v>
      </c>
      <c r="E79" s="380">
        <f>B79*C79*D79</f>
        <v>0</v>
      </c>
      <c r="G79" s="31" t="str">
        <f>Assumptions!$W$21</f>
        <v>3BR</v>
      </c>
      <c r="H79" s="76">
        <f>H$75*INDEX(Assumptions!$Y$19:$Y$21,MATCH(G79,Assumptions!$W$19:$W$21,0))</f>
        <v>0</v>
      </c>
      <c r="I79" s="378">
        <f>Assumptions!$S$24</f>
        <v>2300</v>
      </c>
      <c r="J79" s="379">
        <f>Assumptions!$S$39</f>
        <v>174.34782608695653</v>
      </c>
      <c r="K79" s="380">
        <f>H79*I79*J79</f>
        <v>0</v>
      </c>
      <c r="L79" s="12"/>
      <c r="M79" s="31" t="str">
        <f>Assumptions!$W$21</f>
        <v>3BR</v>
      </c>
      <c r="N79" s="76">
        <f>N$75*INDEX(Assumptions!$Y$19:$Y$21,MATCH(M79,Assumptions!$W$19:$W$21,0))</f>
        <v>0</v>
      </c>
      <c r="O79" s="378">
        <f>Assumptions!$S$24</f>
        <v>2300</v>
      </c>
      <c r="P79" s="379">
        <f>Assumptions!$S$39</f>
        <v>174.34782608695653</v>
      </c>
      <c r="Q79" s="380">
        <f>N79*O79*P79</f>
        <v>0</v>
      </c>
      <c r="R79" s="12"/>
      <c r="S79" s="307"/>
      <c r="T79" s="100"/>
      <c r="U79" s="308"/>
      <c r="V79" s="309"/>
      <c r="W79" s="125"/>
      <c r="X79" s="100"/>
    </row>
    <row r="80" spans="1:24" ht="15" customHeight="1" thickTop="1" thickBot="1">
      <c r="A80" s="7" t="s">
        <v>425</v>
      </c>
      <c r="B80" s="8">
        <f>SUM(B77:B79)</f>
        <v>0</v>
      </c>
      <c r="C80" s="9">
        <f>SUMPRODUCT(B77:B79,C77:C79)</f>
        <v>0</v>
      </c>
      <c r="D80" s="61"/>
      <c r="E80" s="62">
        <f>SUM(E77:E79)</f>
        <v>0</v>
      </c>
      <c r="G80" s="7" t="s">
        <v>425</v>
      </c>
      <c r="H80" s="8">
        <f>SUM(H77:H79)</f>
        <v>0</v>
      </c>
      <c r="I80" s="9">
        <f>SUMPRODUCT(H77:H79,I77:I79)</f>
        <v>0</v>
      </c>
      <c r="J80" s="61"/>
      <c r="K80" s="62">
        <f>SUM(K77:K79)</f>
        <v>0</v>
      </c>
      <c r="L80" s="12"/>
      <c r="M80" s="7" t="s">
        <v>425</v>
      </c>
      <c r="N80" s="8">
        <f>SUM(N77:N79)</f>
        <v>0</v>
      </c>
      <c r="O80" s="9">
        <f>SUMPRODUCT(N77:N79,O77:O79)</f>
        <v>0</v>
      </c>
      <c r="P80" s="61"/>
      <c r="Q80" s="62">
        <f>SUM(Q77:Q79)</f>
        <v>0</v>
      </c>
      <c r="R80" s="12"/>
      <c r="S80" s="12"/>
      <c r="T80" s="310"/>
      <c r="U80" s="311"/>
      <c r="V80" s="312"/>
      <c r="W80" s="122"/>
      <c r="X80" s="100"/>
    </row>
    <row r="81" spans="1:24" ht="15" customHeight="1" thickTop="1" thickBot="1">
      <c r="A81" s="10" t="s">
        <v>426</v>
      </c>
      <c r="B81" s="60"/>
      <c r="C81" s="11">
        <f>IFERROR(C80/B80,0)</f>
        <v>0</v>
      </c>
      <c r="D81" s="63">
        <f>IFERROR((E80/12)/C80,0)</f>
        <v>0</v>
      </c>
      <c r="E81" s="64"/>
      <c r="G81" s="10" t="s">
        <v>426</v>
      </c>
      <c r="H81" s="60"/>
      <c r="I81" s="11">
        <f>IFERROR(I80/H80,0)</f>
        <v>0</v>
      </c>
      <c r="J81" s="63">
        <f>IFERROR((K80/12)/I80,0)</f>
        <v>0</v>
      </c>
      <c r="K81" s="64"/>
      <c r="L81" s="12"/>
      <c r="M81" s="10" t="s">
        <v>426</v>
      </c>
      <c r="N81" s="60"/>
      <c r="O81" s="11">
        <f>IFERROR(O80/N80,0)</f>
        <v>0</v>
      </c>
      <c r="P81" s="63">
        <f>IFERROR((Q80/12)/O80,0)</f>
        <v>0</v>
      </c>
      <c r="Q81" s="64"/>
      <c r="R81" s="12"/>
      <c r="S81" s="12"/>
      <c r="T81" s="313"/>
      <c r="U81" s="314"/>
      <c r="V81" s="315"/>
      <c r="W81" s="12"/>
      <c r="X81" s="100"/>
    </row>
    <row r="82" spans="1:24" ht="15" customHeight="1">
      <c r="A82" s="104" t="s">
        <v>226</v>
      </c>
      <c r="B82" s="105" t="str">
        <f>B$38</f>
        <v>-</v>
      </c>
      <c r="C82" s="166" t="s">
        <v>419</v>
      </c>
      <c r="D82" s="111">
        <f>D$40*E$82</f>
        <v>0</v>
      </c>
      <c r="E82" s="106">
        <f>Assumptions!$Y$29</f>
        <v>0.8</v>
      </c>
      <c r="G82" s="104" t="s">
        <v>226</v>
      </c>
      <c r="H82" s="105" t="str">
        <f>H$38</f>
        <v>-</v>
      </c>
      <c r="I82" s="166" t="s">
        <v>419</v>
      </c>
      <c r="J82" s="111">
        <f>J$40*K$82</f>
        <v>0</v>
      </c>
      <c r="K82" s="106">
        <f>Assumptions!$Y$29</f>
        <v>0.8</v>
      </c>
      <c r="M82" s="104" t="s">
        <v>226</v>
      </c>
      <c r="N82" s="105" t="str">
        <f>N$38</f>
        <v>-</v>
      </c>
      <c r="O82" s="166" t="s">
        <v>419</v>
      </c>
      <c r="P82" s="111">
        <f>P$40*Q$82</f>
        <v>0</v>
      </c>
      <c r="Q82" s="106">
        <f>Assumptions!$Y$29</f>
        <v>0.8</v>
      </c>
      <c r="S82" s="123"/>
      <c r="T82" s="99"/>
      <c r="U82" s="135"/>
      <c r="V82" s="295"/>
      <c r="W82" s="55"/>
    </row>
    <row r="83" spans="1:24" ht="15" customHeight="1">
      <c r="A83" s="104" t="s">
        <v>430</v>
      </c>
      <c r="B83" s="160">
        <v>0</v>
      </c>
      <c r="C83" s="113" t="str">
        <f>IF(C88&gt;D82,"# of Units Over Available Area","# of Units Within Available Area")</f>
        <v># of Units Within Available Area</v>
      </c>
      <c r="D83" s="112" t="s">
        <v>421</v>
      </c>
      <c r="E83" s="120">
        <v>0.3</v>
      </c>
      <c r="G83" s="104" t="s">
        <v>430</v>
      </c>
      <c r="H83" s="160">
        <v>0</v>
      </c>
      <c r="I83" s="113" t="str">
        <f>IF(I88&gt;J82,"# of Units Over Available Area","# of Units Within Available Area")</f>
        <v># of Units Within Available Area</v>
      </c>
      <c r="J83" s="112" t="s">
        <v>421</v>
      </c>
      <c r="K83" s="120">
        <v>0.3</v>
      </c>
      <c r="M83" s="104" t="s">
        <v>430</v>
      </c>
      <c r="N83" s="160">
        <v>0</v>
      </c>
      <c r="O83" s="113" t="str">
        <f>IF(O88&gt;P82,"# of Units Over Available Area","# of Units Within Available Area")</f>
        <v># of Units Within Available Area</v>
      </c>
      <c r="P83" s="112" t="s">
        <v>421</v>
      </c>
      <c r="Q83" s="120">
        <v>0.3</v>
      </c>
      <c r="S83" s="123"/>
      <c r="T83" s="296"/>
      <c r="U83" s="297"/>
      <c r="V83" s="112"/>
      <c r="W83" s="102"/>
    </row>
    <row r="84" spans="1:24" ht="15" customHeight="1">
      <c r="A84" s="107" t="s">
        <v>431</v>
      </c>
      <c r="B84" s="108" t="s">
        <v>427</v>
      </c>
      <c r="C84" s="109" t="s">
        <v>428</v>
      </c>
      <c r="D84" s="108" t="s">
        <v>432</v>
      </c>
      <c r="E84" s="110" t="s">
        <v>433</v>
      </c>
      <c r="G84" s="107" t="s">
        <v>431</v>
      </c>
      <c r="H84" s="108" t="s">
        <v>427</v>
      </c>
      <c r="I84" s="109" t="s">
        <v>428</v>
      </c>
      <c r="J84" s="108" t="s">
        <v>432</v>
      </c>
      <c r="K84" s="110" t="s">
        <v>433</v>
      </c>
      <c r="M84" s="107" t="s">
        <v>431</v>
      </c>
      <c r="N84" s="108" t="s">
        <v>427</v>
      </c>
      <c r="O84" s="109" t="s">
        <v>428</v>
      </c>
      <c r="P84" s="108" t="s">
        <v>432</v>
      </c>
      <c r="Q84" s="110" t="s">
        <v>433</v>
      </c>
      <c r="S84" s="123"/>
      <c r="T84" s="124"/>
      <c r="U84" s="276"/>
      <c r="V84" s="124"/>
      <c r="W84" s="124"/>
    </row>
    <row r="85" spans="1:24" ht="15" customHeight="1">
      <c r="A85" s="31" t="str">
        <f>Assumptions!$W$23</f>
        <v>Studio</v>
      </c>
      <c r="B85" s="76">
        <f>B$83*INDEX(Assumptions!$Y$23:$Y$25,MATCH(A85,Assumptions!$W$23:$W$25,0))</f>
        <v>0</v>
      </c>
      <c r="C85" s="32">
        <f>Assumptions!$R$42</f>
        <v>500</v>
      </c>
      <c r="D85" s="42">
        <f>Assumptions!$R$43*(1+$E$83)</f>
        <v>3.9000000000000004</v>
      </c>
      <c r="E85" s="43">
        <f>12*B85*C85*D85</f>
        <v>0</v>
      </c>
      <c r="G85" s="31" t="str">
        <f>Assumptions!$W$23</f>
        <v>Studio</v>
      </c>
      <c r="H85" s="76">
        <f>H$83*INDEX(Assumptions!$Y$23:$Y$25,MATCH(G85,Assumptions!$W$23:$W$25,0))</f>
        <v>0</v>
      </c>
      <c r="I85" s="32">
        <f>Assumptions!$R$42</f>
        <v>500</v>
      </c>
      <c r="J85" s="42">
        <f>Assumptions!$R$43*(1+$E$83)</f>
        <v>3.9000000000000004</v>
      </c>
      <c r="K85" s="43">
        <f>12*H85*I85*J85</f>
        <v>0</v>
      </c>
      <c r="M85" s="31" t="str">
        <f>Assumptions!$W$23</f>
        <v>Studio</v>
      </c>
      <c r="N85" s="76">
        <f>N$83*INDEX(Assumptions!$Y$23:$Y$25,MATCH(M85,Assumptions!$W$23:$W$25,0))</f>
        <v>0</v>
      </c>
      <c r="O85" s="32">
        <f>Assumptions!$R$42</f>
        <v>500</v>
      </c>
      <c r="P85" s="42">
        <f>Assumptions!$R$43*(1+$E$83)</f>
        <v>3.9000000000000004</v>
      </c>
      <c r="Q85" s="43">
        <f>12*N85*O85*P85</f>
        <v>0</v>
      </c>
      <c r="S85" s="307"/>
      <c r="T85" s="100"/>
      <c r="U85" s="308"/>
      <c r="V85" s="309"/>
      <c r="W85" s="125"/>
    </row>
    <row r="86" spans="1:24" ht="15" customHeight="1">
      <c r="A86" s="31" t="str">
        <f>Assumptions!$W$24</f>
        <v>1BR</v>
      </c>
      <c r="B86" s="76">
        <f>B$83*INDEX(Assumptions!$Y$23:$Y$25,MATCH(A86,Assumptions!$W$23:$W$25,0))</f>
        <v>0</v>
      </c>
      <c r="C86" s="378">
        <f>Assumptions!$R$45</f>
        <v>700</v>
      </c>
      <c r="D86" s="42">
        <f>Assumptions!$R$46*(1+$E$83)</f>
        <v>3.25</v>
      </c>
      <c r="E86" s="380">
        <f>12*B86*C86*D86</f>
        <v>0</v>
      </c>
      <c r="G86" s="31" t="str">
        <f>Assumptions!$W$24</f>
        <v>1BR</v>
      </c>
      <c r="H86" s="76">
        <f>H$83*INDEX(Assumptions!$Y$23:$Y$25,MATCH(G86,Assumptions!$W$23:$W$25,0))</f>
        <v>0</v>
      </c>
      <c r="I86" s="378">
        <f>Assumptions!$R$45</f>
        <v>700</v>
      </c>
      <c r="J86" s="42">
        <f>Assumptions!$R$46*(1+$E$83)</f>
        <v>3.25</v>
      </c>
      <c r="K86" s="380">
        <f>12*H86*I86*J86</f>
        <v>0</v>
      </c>
      <c r="M86" s="31" t="str">
        <f>Assumptions!$W$24</f>
        <v>1BR</v>
      </c>
      <c r="N86" s="76">
        <f>N$83*INDEX(Assumptions!$Y$23:$Y$25,MATCH(M86,Assumptions!$W$23:$W$25,0))</f>
        <v>0</v>
      </c>
      <c r="O86" s="378">
        <f>Assumptions!$R$45</f>
        <v>700</v>
      </c>
      <c r="P86" s="42">
        <f>Assumptions!$R$46*(1+$E$83)</f>
        <v>3.25</v>
      </c>
      <c r="Q86" s="380">
        <f>12*N86*O86*P86</f>
        <v>0</v>
      </c>
      <c r="S86" s="307"/>
      <c r="T86" s="100"/>
      <c r="U86" s="308"/>
      <c r="V86" s="309"/>
      <c r="W86" s="125"/>
    </row>
    <row r="87" spans="1:24" ht="15" customHeight="1" thickBot="1">
      <c r="A87" s="31" t="str">
        <f>Assumptions!$W$25</f>
        <v>2BR</v>
      </c>
      <c r="B87" s="76">
        <f>B$83*INDEX(Assumptions!$Y$23:$Y$25,MATCH(A87,Assumptions!$W$23:$W$25,0))</f>
        <v>0</v>
      </c>
      <c r="C87" s="32">
        <f>Assumptions!$R$48</f>
        <v>1100</v>
      </c>
      <c r="D87" s="42">
        <f>Assumptions!$R$49*(1+$E$83)</f>
        <v>2.9899999999999998</v>
      </c>
      <c r="E87" s="380">
        <f>12*B87*C87*D87</f>
        <v>0</v>
      </c>
      <c r="G87" s="31" t="str">
        <f>Assumptions!$W$25</f>
        <v>2BR</v>
      </c>
      <c r="H87" s="76">
        <f>H$83*INDEX(Assumptions!$Y$23:$Y$25,MATCH(G87,Assumptions!$W$23:$W$25,0))</f>
        <v>0</v>
      </c>
      <c r="I87" s="32">
        <f>Assumptions!$R$48</f>
        <v>1100</v>
      </c>
      <c r="J87" s="42">
        <f>Assumptions!$R$49*(1+$E$83)</f>
        <v>2.9899999999999998</v>
      </c>
      <c r="K87" s="380">
        <f>12*H87*I87*J87</f>
        <v>0</v>
      </c>
      <c r="M87" s="31" t="str">
        <f>Assumptions!$W$25</f>
        <v>2BR</v>
      </c>
      <c r="N87" s="76">
        <f>N$83*INDEX(Assumptions!$Y$23:$Y$25,MATCH(M87,Assumptions!$W$23:$W$25,0))</f>
        <v>0</v>
      </c>
      <c r="O87" s="32">
        <f>Assumptions!$R$48</f>
        <v>1100</v>
      </c>
      <c r="P87" s="42">
        <f>Assumptions!$R$49*(1+$E$83)</f>
        <v>2.9899999999999998</v>
      </c>
      <c r="Q87" s="380">
        <f>12*N87*O87*P87</f>
        <v>0</v>
      </c>
      <c r="S87" s="307"/>
      <c r="T87" s="100"/>
      <c r="U87" s="308"/>
      <c r="V87" s="309"/>
      <c r="W87" s="125"/>
    </row>
    <row r="88" spans="1:24" ht="15" customHeight="1" thickTop="1" thickBot="1">
      <c r="A88" s="7" t="s">
        <v>425</v>
      </c>
      <c r="B88" s="8">
        <f>SUM(B85:B87)</f>
        <v>0</v>
      </c>
      <c r="C88" s="9">
        <f>SUMPRODUCT(B85:B87,C85:C87)</f>
        <v>0</v>
      </c>
      <c r="D88" s="61"/>
      <c r="E88" s="62">
        <f>SUM(E85:E87)</f>
        <v>0</v>
      </c>
      <c r="G88" s="7" t="s">
        <v>425</v>
      </c>
      <c r="H88" s="8">
        <f>SUM(H85:H87)</f>
        <v>0</v>
      </c>
      <c r="I88" s="9">
        <f>SUMPRODUCT(H85:H87,I85:I87)</f>
        <v>0</v>
      </c>
      <c r="J88" s="61"/>
      <c r="K88" s="62">
        <f>SUM(K85:K87)</f>
        <v>0</v>
      </c>
      <c r="M88" s="7" t="s">
        <v>425</v>
      </c>
      <c r="N88" s="8">
        <f>SUM(N85:N87)</f>
        <v>0</v>
      </c>
      <c r="O88" s="9">
        <f>SUMPRODUCT(N85:N87,O85:O87)</f>
        <v>0</v>
      </c>
      <c r="P88" s="61"/>
      <c r="Q88" s="62">
        <f>SUM(Q85:Q87)</f>
        <v>0</v>
      </c>
      <c r="S88" s="12"/>
      <c r="T88" s="310"/>
      <c r="U88" s="311"/>
      <c r="V88" s="312"/>
      <c r="W88" s="122"/>
    </row>
    <row r="89" spans="1:24" ht="15" customHeight="1" thickTop="1" thickBot="1">
      <c r="A89" s="10" t="s">
        <v>426</v>
      </c>
      <c r="B89" s="60"/>
      <c r="C89" s="11">
        <f>IFERROR(C88/B88,0)</f>
        <v>0</v>
      </c>
      <c r="D89" s="63">
        <f>IFERROR((E88/12)/C88,0)</f>
        <v>0</v>
      </c>
      <c r="E89" s="64"/>
      <c r="G89" s="10" t="s">
        <v>426</v>
      </c>
      <c r="H89" s="60"/>
      <c r="I89" s="11">
        <f>IFERROR(I88/H88,0)</f>
        <v>0</v>
      </c>
      <c r="J89" s="63">
        <f>IFERROR((K88/12)/I88,0)</f>
        <v>0</v>
      </c>
      <c r="K89" s="64"/>
      <c r="M89" s="10" t="s">
        <v>426</v>
      </c>
      <c r="N89" s="60"/>
      <c r="O89" s="11">
        <f>IFERROR(O88/N88,0)</f>
        <v>0</v>
      </c>
      <c r="P89" s="63">
        <f>IFERROR((Q88/12)/O88,0)</f>
        <v>0</v>
      </c>
      <c r="Q89" s="64"/>
      <c r="S89" s="12"/>
      <c r="T89" s="313"/>
      <c r="U89" s="314"/>
      <c r="V89" s="315"/>
      <c r="W89" s="12"/>
    </row>
    <row r="90" spans="1:24" ht="15" customHeight="1">
      <c r="A90" s="104" t="s">
        <v>434</v>
      </c>
      <c r="B90" s="116" t="str">
        <f>B$41</f>
        <v>-</v>
      </c>
      <c r="C90" s="114"/>
      <c r="D90" s="115"/>
      <c r="E90" s="121"/>
      <c r="G90" s="104" t="s">
        <v>434</v>
      </c>
      <c r="H90" s="116" t="str">
        <f>H$41</f>
        <v>-</v>
      </c>
      <c r="I90" s="114"/>
      <c r="J90" s="115"/>
      <c r="K90" s="121"/>
      <c r="L90" s="126"/>
      <c r="M90" s="104" t="s">
        <v>434</v>
      </c>
      <c r="N90" s="116" t="str">
        <f>N$41</f>
        <v>-</v>
      </c>
      <c r="O90" s="114"/>
      <c r="P90" s="115"/>
      <c r="Q90" s="121"/>
      <c r="R90" s="126"/>
      <c r="S90" s="123"/>
      <c r="T90" s="299"/>
      <c r="U90" s="300"/>
      <c r="V90" s="316"/>
      <c r="W90" s="126"/>
    </row>
    <row r="91" spans="1:24" ht="15" customHeight="1">
      <c r="A91" s="107" t="s">
        <v>33</v>
      </c>
      <c r="B91" s="108" t="s">
        <v>435</v>
      </c>
      <c r="C91" s="109" t="s">
        <v>436</v>
      </c>
      <c r="D91" s="108" t="s">
        <v>437</v>
      </c>
      <c r="E91" s="110" t="s">
        <v>433</v>
      </c>
      <c r="G91" s="107" t="s">
        <v>33</v>
      </c>
      <c r="H91" s="108" t="s">
        <v>435</v>
      </c>
      <c r="I91" s="109" t="s">
        <v>436</v>
      </c>
      <c r="J91" s="108" t="s">
        <v>437</v>
      </c>
      <c r="K91" s="110" t="s">
        <v>433</v>
      </c>
      <c r="L91" s="124"/>
      <c r="M91" s="107" t="s">
        <v>33</v>
      </c>
      <c r="N91" s="108" t="s">
        <v>435</v>
      </c>
      <c r="O91" s="109" t="s">
        <v>436</v>
      </c>
      <c r="P91" s="108" t="s">
        <v>437</v>
      </c>
      <c r="Q91" s="110" t="s">
        <v>433</v>
      </c>
      <c r="R91" s="124"/>
      <c r="S91" s="123"/>
      <c r="T91" s="124"/>
      <c r="U91" s="276"/>
      <c r="V91" s="124"/>
      <c r="W91" s="124"/>
    </row>
    <row r="92" spans="1:24" ht="15" customHeight="1">
      <c r="A92" s="56" t="s">
        <v>40</v>
      </c>
      <c r="B92" s="41">
        <f>IFERROR(IF(B$90=A92,D$41,0),0)</f>
        <v>0</v>
      </c>
      <c r="C92" s="57">
        <f>IFERROR(B92*INDEX(Assumptions!$Y$30:$Y$31,MATCH(A92,Assumptions!$W$30:$W$31,0)),0)</f>
        <v>0</v>
      </c>
      <c r="D92" s="58">
        <f>IF(C92&gt;0,INDEX(Assumptions!$R$5:$R$6,MATCH(A92,Assumptions!$Q$5:$Q$6,0)),0)</f>
        <v>0</v>
      </c>
      <c r="E92" s="59">
        <f>C92*D92</f>
        <v>0</v>
      </c>
      <c r="G92" s="56" t="s">
        <v>40</v>
      </c>
      <c r="H92" s="41">
        <f>IFERROR(IF(H$90=G92,J$41,0),0)</f>
        <v>0</v>
      </c>
      <c r="I92" s="57">
        <f>IFERROR(H92*INDEX(Assumptions!$Y$30:$Y$31,MATCH(G92,Assumptions!$W$30:$W$31,0)),0)</f>
        <v>0</v>
      </c>
      <c r="J92" s="58">
        <f>IF(I92&gt;0,INDEX(Assumptions!$R$5:$R$6,MATCH(G92,Assumptions!$Q$5:$Q$6,0)),0)</f>
        <v>0</v>
      </c>
      <c r="K92" s="59">
        <f>I92*J92</f>
        <v>0</v>
      </c>
      <c r="L92" s="127"/>
      <c r="M92" s="56" t="s">
        <v>40</v>
      </c>
      <c r="N92" s="41">
        <f>IFERROR(IF(N$90=M92,P$41,0),0)</f>
        <v>0</v>
      </c>
      <c r="O92" s="57">
        <f>IFERROR(N92*INDEX(Assumptions!$Y$30:$Y$31,MATCH(M92,Assumptions!$W$30:$W$31,0)),0)</f>
        <v>0</v>
      </c>
      <c r="P92" s="58">
        <f>IF(O92&gt;0,INDEX(Assumptions!$R$5:$R$6,MATCH(M92,Assumptions!$Q$5:$Q$6,0)),0)</f>
        <v>0</v>
      </c>
      <c r="Q92" s="59">
        <f>O92*P92</f>
        <v>0</v>
      </c>
      <c r="R92" s="127"/>
      <c r="S92" s="317"/>
      <c r="T92" s="100"/>
      <c r="U92" s="318"/>
      <c r="V92" s="319"/>
      <c r="W92" s="127"/>
    </row>
    <row r="93" spans="1:24" ht="15" customHeight="1" thickBot="1">
      <c r="A93" s="1006" t="s">
        <v>425</v>
      </c>
      <c r="B93" s="40">
        <f>SUM(B92:B92)</f>
        <v>0</v>
      </c>
      <c r="C93" s="40">
        <f>SUM(C92:C92)</f>
        <v>0</v>
      </c>
      <c r="D93" s="38">
        <f>IF(B93=0,0,E93/B93)</f>
        <v>0</v>
      </c>
      <c r="E93" s="39">
        <f>SUM(E92:E92)</f>
        <v>0</v>
      </c>
      <c r="G93" s="1006" t="s">
        <v>425</v>
      </c>
      <c r="H93" s="40">
        <f>SUM(H92:H92)</f>
        <v>0</v>
      </c>
      <c r="I93" s="40">
        <f>SUM(I92:I92)</f>
        <v>0</v>
      </c>
      <c r="J93" s="38">
        <f>IF(H93=0,0,K93/H93)</f>
        <v>0</v>
      </c>
      <c r="K93" s="39">
        <f>SUM(K92:K92)</f>
        <v>0</v>
      </c>
      <c r="L93" s="127"/>
      <c r="M93" s="1006" t="s">
        <v>425</v>
      </c>
      <c r="N93" s="40">
        <f>SUM(N92:N92)</f>
        <v>0</v>
      </c>
      <c r="O93" s="40">
        <f>SUM(O92:O92)</f>
        <v>0</v>
      </c>
      <c r="P93" s="38">
        <f>IF(N93=0,0,Q93/N93)</f>
        <v>0</v>
      </c>
      <c r="Q93" s="39">
        <f>SUM(Q92:Q92)</f>
        <v>0</v>
      </c>
      <c r="R93" s="127"/>
      <c r="S93" s="12"/>
      <c r="T93" s="320"/>
      <c r="U93" s="320"/>
      <c r="V93" s="319"/>
      <c r="W93" s="127"/>
    </row>
    <row r="94" spans="1:24" ht="15" customHeight="1">
      <c r="A94" s="104" t="s">
        <v>438</v>
      </c>
      <c r="B94" s="116" t="str">
        <f>B$42</f>
        <v>Laboratory</v>
      </c>
      <c r="C94" s="114"/>
      <c r="D94" s="115"/>
      <c r="E94" s="121"/>
      <c r="G94" s="104" t="s">
        <v>438</v>
      </c>
      <c r="H94" s="116" t="str">
        <f>H$42</f>
        <v>-</v>
      </c>
      <c r="I94" s="114"/>
      <c r="J94" s="115"/>
      <c r="K94" s="121"/>
      <c r="L94" s="126"/>
      <c r="M94" s="104" t="s">
        <v>438</v>
      </c>
      <c r="N94" s="116" t="str">
        <f>N$42</f>
        <v>-</v>
      </c>
      <c r="O94" s="114"/>
      <c r="P94" s="115"/>
      <c r="Q94" s="121"/>
      <c r="R94" s="126"/>
      <c r="S94" s="123"/>
      <c r="T94" s="299"/>
      <c r="U94" s="300"/>
      <c r="V94" s="316"/>
      <c r="W94" s="126"/>
    </row>
    <row r="95" spans="1:24" ht="15" customHeight="1">
      <c r="A95" s="107" t="s">
        <v>33</v>
      </c>
      <c r="B95" s="108" t="s">
        <v>435</v>
      </c>
      <c r="C95" s="109" t="s">
        <v>436</v>
      </c>
      <c r="D95" s="108" t="s">
        <v>437</v>
      </c>
      <c r="E95" s="110" t="s">
        <v>433</v>
      </c>
      <c r="G95" s="107" t="s">
        <v>33</v>
      </c>
      <c r="H95" s="108" t="s">
        <v>435</v>
      </c>
      <c r="I95" s="109" t="s">
        <v>436</v>
      </c>
      <c r="J95" s="108" t="s">
        <v>437</v>
      </c>
      <c r="K95" s="110" t="s">
        <v>433</v>
      </c>
      <c r="L95" s="124"/>
      <c r="M95" s="107" t="s">
        <v>33</v>
      </c>
      <c r="N95" s="108" t="s">
        <v>435</v>
      </c>
      <c r="O95" s="109" t="s">
        <v>436</v>
      </c>
      <c r="P95" s="108" t="s">
        <v>437</v>
      </c>
      <c r="Q95" s="110" t="s">
        <v>433</v>
      </c>
      <c r="R95" s="124"/>
      <c r="S95" s="123"/>
      <c r="T95" s="124"/>
      <c r="U95" s="276"/>
      <c r="V95" s="124"/>
      <c r="W95" s="124"/>
    </row>
    <row r="96" spans="1:24" ht="15" customHeight="1" thickBot="1">
      <c r="A96" s="381" t="s">
        <v>44</v>
      </c>
      <c r="B96" s="382">
        <f>IFERROR(IF(B$94=A96,D$42,0),0)</f>
        <v>312188.5</v>
      </c>
      <c r="C96" s="383">
        <f>IFERROR(B96*INDEX(Assumptions!$Y$30:$Y$31,MATCH(A96,Assumptions!$W$30:$W$31,0)),0)</f>
        <v>234141.375</v>
      </c>
      <c r="D96" s="384">
        <f>IF(C96&gt;0,INDEX(Assumptions!$R$5:$R$6,MATCH(A96,Assumptions!$Q$5:$Q$6,0)),0)</f>
        <v>45</v>
      </c>
      <c r="E96" s="59">
        <f>C96*D96</f>
        <v>10536361.875</v>
      </c>
      <c r="G96" s="381" t="s">
        <v>44</v>
      </c>
      <c r="H96" s="382">
        <f>IFERROR(IF(H$94=G96,J$42,0),0)</f>
        <v>0</v>
      </c>
      <c r="I96" s="383">
        <f>IFERROR(H96*INDEX(Assumptions!$Y$30:$Y$31,MATCH(G96,Assumptions!$W$30:$W$31,0)),0)</f>
        <v>0</v>
      </c>
      <c r="J96" s="384">
        <f>IF(I96&gt;0,INDEX(Assumptions!$R$5:$R$6,MATCH(G96,Assumptions!$Q$5:$Q$6,0)),0)</f>
        <v>0</v>
      </c>
      <c r="K96" s="59">
        <f>I96*J96</f>
        <v>0</v>
      </c>
      <c r="L96" s="127"/>
      <c r="M96" s="381" t="s">
        <v>44</v>
      </c>
      <c r="N96" s="382">
        <f>IFERROR(IF(N$94=M96,P$42,0),0)</f>
        <v>0</v>
      </c>
      <c r="O96" s="383">
        <f>IFERROR(N96*INDEX(Assumptions!$Y$30:$Y$31,MATCH(M96,Assumptions!$W$30:$W$31,0)),0)</f>
        <v>0</v>
      </c>
      <c r="P96" s="384">
        <f>IF(O96&gt;0,INDEX(Assumptions!$R$5:$R$6,MATCH(M96,Assumptions!$Q$5:$Q$6,0)),0)</f>
        <v>0</v>
      </c>
      <c r="Q96" s="59">
        <f>O96*P96</f>
        <v>0</v>
      </c>
      <c r="R96" s="127"/>
      <c r="S96" s="317"/>
      <c r="T96" s="100"/>
      <c r="U96" s="318"/>
      <c r="V96" s="319"/>
      <c r="W96" s="127"/>
    </row>
    <row r="97" spans="1:23" ht="15" customHeight="1" thickTop="1" thickBot="1">
      <c r="A97" s="1006" t="s">
        <v>425</v>
      </c>
      <c r="B97" s="40">
        <f>SUM(B96:B96)</f>
        <v>312188.5</v>
      </c>
      <c r="C97" s="40">
        <f>SUM(C96:C96)</f>
        <v>234141.375</v>
      </c>
      <c r="D97" s="38">
        <f>IF(B97=0,0,E97/B97)</f>
        <v>33.75</v>
      </c>
      <c r="E97" s="39">
        <f>SUM(E96:E96)</f>
        <v>10536361.875</v>
      </c>
      <c r="G97" s="1006" t="s">
        <v>425</v>
      </c>
      <c r="H97" s="40">
        <f>SUM(H96:H96)</f>
        <v>0</v>
      </c>
      <c r="I97" s="40">
        <f>SUM(I96:I96)</f>
        <v>0</v>
      </c>
      <c r="J97" s="38">
        <f>IF(H97=0,0,K97/H97)</f>
        <v>0</v>
      </c>
      <c r="K97" s="39">
        <f>SUM(K96:K96)</f>
        <v>0</v>
      </c>
      <c r="L97" s="127"/>
      <c r="M97" s="1006" t="s">
        <v>425</v>
      </c>
      <c r="N97" s="40">
        <f>SUM(N96:N96)</f>
        <v>0</v>
      </c>
      <c r="O97" s="40">
        <f>SUM(O96:O96)</f>
        <v>0</v>
      </c>
      <c r="P97" s="38">
        <f>IF(N97=0,0,Q97/N97)</f>
        <v>0</v>
      </c>
      <c r="Q97" s="39">
        <f>SUM(Q96:Q96)</f>
        <v>0</v>
      </c>
      <c r="R97" s="127"/>
      <c r="S97" s="12"/>
      <c r="T97" s="320"/>
      <c r="U97" s="320"/>
      <c r="V97" s="319"/>
      <c r="W97" s="127"/>
    </row>
    <row r="98" spans="1:23" ht="15" customHeight="1">
      <c r="A98" s="104" t="s">
        <v>439</v>
      </c>
      <c r="B98" s="116" t="str">
        <f>B$43</f>
        <v>-</v>
      </c>
      <c r="C98" s="114"/>
      <c r="D98" s="115"/>
      <c r="E98" s="121"/>
      <c r="G98" s="104" t="s">
        <v>439</v>
      </c>
      <c r="H98" s="116" t="str">
        <f>H$43</f>
        <v>-</v>
      </c>
      <c r="I98" s="114"/>
      <c r="J98" s="115"/>
      <c r="K98" s="121"/>
      <c r="L98" s="126"/>
      <c r="M98" s="104" t="s">
        <v>439</v>
      </c>
      <c r="N98" s="116" t="str">
        <f>N$43</f>
        <v>-</v>
      </c>
      <c r="O98" s="114"/>
      <c r="P98" s="115"/>
      <c r="Q98" s="121"/>
      <c r="R98" s="126"/>
      <c r="S98" s="123"/>
      <c r="T98" s="299"/>
      <c r="U98" s="300"/>
      <c r="V98" s="316"/>
      <c r="W98" s="126"/>
    </row>
    <row r="99" spans="1:23" ht="15" customHeight="1">
      <c r="A99" s="107" t="s">
        <v>33</v>
      </c>
      <c r="B99" s="108" t="s">
        <v>435</v>
      </c>
      <c r="C99" s="109"/>
      <c r="D99" s="108" t="s">
        <v>74</v>
      </c>
      <c r="E99" s="110" t="s">
        <v>429</v>
      </c>
      <c r="G99" s="107" t="s">
        <v>33</v>
      </c>
      <c r="H99" s="108" t="s">
        <v>435</v>
      </c>
      <c r="I99" s="109"/>
      <c r="J99" s="108" t="s">
        <v>74</v>
      </c>
      <c r="K99" s="110" t="s">
        <v>429</v>
      </c>
      <c r="L99" s="124"/>
      <c r="M99" s="107" t="s">
        <v>33</v>
      </c>
      <c r="N99" s="108" t="s">
        <v>435</v>
      </c>
      <c r="O99" s="109"/>
      <c r="P99" s="108" t="s">
        <v>74</v>
      </c>
      <c r="Q99" s="110" t="s">
        <v>429</v>
      </c>
      <c r="R99" s="124"/>
      <c r="S99" s="123"/>
      <c r="T99" s="124"/>
      <c r="U99" s="276"/>
      <c r="V99" s="124"/>
      <c r="W99" s="124"/>
    </row>
    <row r="100" spans="1:23" ht="15" customHeight="1" thickBot="1">
      <c r="A100" s="381" t="s">
        <v>51</v>
      </c>
      <c r="B100" s="386">
        <f>IFERROR(IF(B$98=A100,D$43,0),0)</f>
        <v>0</v>
      </c>
      <c r="C100" s="383"/>
      <c r="D100" s="384">
        <f>Assumptions!$S$8</f>
        <v>500</v>
      </c>
      <c r="E100" s="385">
        <f>B100*D100</f>
        <v>0</v>
      </c>
      <c r="G100" s="381" t="s">
        <v>51</v>
      </c>
      <c r="H100" s="386">
        <f>IFERROR(IF(H$98=G100,J$43,0),0)</f>
        <v>0</v>
      </c>
      <c r="I100" s="383"/>
      <c r="J100" s="384">
        <f>Assumptions!$S$8</f>
        <v>500</v>
      </c>
      <c r="K100" s="385">
        <f>H100*J100</f>
        <v>0</v>
      </c>
      <c r="L100" s="127"/>
      <c r="M100" s="381" t="s">
        <v>51</v>
      </c>
      <c r="N100" s="386">
        <f>IFERROR(IF(N$98=M100,P$43,0),0)</f>
        <v>0</v>
      </c>
      <c r="O100" s="383"/>
      <c r="P100" s="384">
        <f>Assumptions!$S$8</f>
        <v>500</v>
      </c>
      <c r="Q100" s="385">
        <f>N100*P100</f>
        <v>0</v>
      </c>
      <c r="R100" s="127"/>
      <c r="S100" s="317"/>
      <c r="T100" s="100"/>
      <c r="U100" s="318"/>
      <c r="V100" s="319"/>
      <c r="W100" s="127"/>
    </row>
    <row r="101" spans="1:23" ht="15" customHeight="1" thickTop="1" thickBot="1">
      <c r="A101" s="1006" t="s">
        <v>425</v>
      </c>
      <c r="B101" s="40">
        <f>SUM(B100:B100)</f>
        <v>0</v>
      </c>
      <c r="C101" s="40"/>
      <c r="D101" s="38">
        <f>IF(B101=0,0,E101/B101)</f>
        <v>0</v>
      </c>
      <c r="E101" s="39">
        <f>SUM(E100:E100)</f>
        <v>0</v>
      </c>
      <c r="G101" s="1006" t="s">
        <v>425</v>
      </c>
      <c r="H101" s="40">
        <f>SUM(H100:H100)</f>
        <v>0</v>
      </c>
      <c r="I101" s="40"/>
      <c r="J101" s="38">
        <f>IF(H101=0,0,K101/H101)</f>
        <v>0</v>
      </c>
      <c r="K101" s="39">
        <f>SUM(K100:K100)</f>
        <v>0</v>
      </c>
      <c r="L101" s="127"/>
      <c r="M101" s="1006" t="s">
        <v>425</v>
      </c>
      <c r="N101" s="40">
        <f>SUM(N100:N100)</f>
        <v>0</v>
      </c>
      <c r="O101" s="40"/>
      <c r="P101" s="38">
        <f>IF(N101=0,0,Q101/N101)</f>
        <v>0</v>
      </c>
      <c r="Q101" s="39">
        <f>SUM(Q100:Q100)</f>
        <v>0</v>
      </c>
      <c r="R101" s="127"/>
      <c r="S101" s="12"/>
      <c r="T101" s="320"/>
      <c r="U101" s="320"/>
      <c r="V101" s="319"/>
      <c r="W101" s="127"/>
    </row>
    <row r="102" spans="1:23" ht="15" customHeight="1">
      <c r="A102" s="104" t="s">
        <v>440</v>
      </c>
      <c r="B102" s="116" t="str">
        <f>B$44</f>
        <v>-</v>
      </c>
      <c r="C102" s="114"/>
      <c r="D102" s="115"/>
      <c r="E102" s="121"/>
      <c r="G102" s="104" t="s">
        <v>440</v>
      </c>
      <c r="H102" s="116" t="str">
        <f>H$44</f>
        <v>-</v>
      </c>
      <c r="I102" s="114"/>
      <c r="J102" s="115"/>
      <c r="K102" s="121"/>
      <c r="L102" s="127"/>
      <c r="M102" s="104" t="s">
        <v>440</v>
      </c>
      <c r="N102" s="116" t="str">
        <f>N$44</f>
        <v>-</v>
      </c>
      <c r="O102" s="114"/>
      <c r="P102" s="115"/>
      <c r="Q102" s="121"/>
      <c r="R102" s="127"/>
      <c r="S102" s="123"/>
      <c r="T102" s="299"/>
      <c r="U102" s="300"/>
      <c r="V102" s="316"/>
      <c r="W102" s="126"/>
    </row>
    <row r="103" spans="1:23" ht="15" customHeight="1">
      <c r="A103" s="107" t="s">
        <v>33</v>
      </c>
      <c r="B103" s="108" t="s">
        <v>435</v>
      </c>
      <c r="C103" s="109" t="s">
        <v>441</v>
      </c>
      <c r="D103" s="108" t="s">
        <v>437</v>
      </c>
      <c r="E103" s="110" t="s">
        <v>433</v>
      </c>
      <c r="G103" s="107" t="s">
        <v>33</v>
      </c>
      <c r="H103" s="108" t="s">
        <v>435</v>
      </c>
      <c r="I103" s="109" t="s">
        <v>441</v>
      </c>
      <c r="J103" s="108" t="s">
        <v>437</v>
      </c>
      <c r="K103" s="110" t="s">
        <v>433</v>
      </c>
      <c r="L103" s="127"/>
      <c r="M103" s="107" t="s">
        <v>33</v>
      </c>
      <c r="N103" s="108" t="s">
        <v>435</v>
      </c>
      <c r="O103" s="109" t="s">
        <v>441</v>
      </c>
      <c r="P103" s="108" t="s">
        <v>437</v>
      </c>
      <c r="Q103" s="110" t="s">
        <v>433</v>
      </c>
      <c r="R103" s="127"/>
      <c r="S103" s="123"/>
      <c r="T103" s="124"/>
      <c r="U103" s="276"/>
      <c r="V103" s="124"/>
      <c r="W103" s="124"/>
    </row>
    <row r="104" spans="1:23" ht="15" customHeight="1" thickBot="1">
      <c r="A104" s="381" t="s">
        <v>48</v>
      </c>
      <c r="B104" s="386">
        <f>IFERROR(IF(B$102=A104,D$44,0),0)</f>
        <v>0</v>
      </c>
      <c r="C104" s="383">
        <f>IFERROR(B104*INDEX(Assumptions!$Y$32:$Y$32,MATCH(A104,Assumptions!$W$32:$W$32,0)),0)</f>
        <v>0</v>
      </c>
      <c r="D104" s="384">
        <f>IF(C104&gt;0,INDEX(Assumptions!$R$7:$R$7,MATCH(A104,Assumptions!$Q$7:$Q$7,0)),0)</f>
        <v>0</v>
      </c>
      <c r="E104" s="59">
        <f>C104*D104</f>
        <v>0</v>
      </c>
      <c r="G104" s="381" t="s">
        <v>48</v>
      </c>
      <c r="H104" s="386">
        <f>IFERROR(IF(H$102=G104,J$44,0),0)</f>
        <v>0</v>
      </c>
      <c r="I104" s="383">
        <f>IFERROR(H104*INDEX(Assumptions!$Y$32:$Y$32,MATCH(G104,Assumptions!$W$32:$W$32,0)),0)</f>
        <v>0</v>
      </c>
      <c r="J104" s="384">
        <f>IF(I104&gt;0,INDEX(Assumptions!$R$7:$R$7,MATCH(G104,Assumptions!$Q$7:$Q$7,0)),0)</f>
        <v>0</v>
      </c>
      <c r="K104" s="59">
        <f>I104*J104</f>
        <v>0</v>
      </c>
      <c r="L104" s="127"/>
      <c r="M104" s="381" t="s">
        <v>48</v>
      </c>
      <c r="N104" s="386">
        <f>IFERROR(IF(N$102=M104,P$44,0),0)</f>
        <v>0</v>
      </c>
      <c r="O104" s="383">
        <f>IFERROR(N104*INDEX(Assumptions!$Y$32:$Y$32,MATCH(M104,Assumptions!$W$32:$W$32,0)),0)</f>
        <v>0</v>
      </c>
      <c r="P104" s="384">
        <f>IF(O104&gt;0,INDEX(Assumptions!$R$7:$R$7,MATCH(M104,Assumptions!$Q$7:$Q$7,0)),0)</f>
        <v>0</v>
      </c>
      <c r="Q104" s="59">
        <f>O104*P104</f>
        <v>0</v>
      </c>
      <c r="R104" s="127"/>
      <c r="S104" s="317"/>
      <c r="T104" s="100"/>
      <c r="U104" s="318"/>
      <c r="V104" s="319"/>
      <c r="W104" s="127"/>
    </row>
    <row r="105" spans="1:23" ht="15" customHeight="1" thickTop="1" thickBot="1">
      <c r="A105" s="1006" t="s">
        <v>425</v>
      </c>
      <c r="B105" s="40">
        <f>SUM(B104)</f>
        <v>0</v>
      </c>
      <c r="C105" s="40">
        <f>SUM(C104)</f>
        <v>0</v>
      </c>
      <c r="D105" s="38">
        <f>IF(B105=0,0,E105/B105)</f>
        <v>0</v>
      </c>
      <c r="E105" s="39">
        <f>SUM(E104)</f>
        <v>0</v>
      </c>
      <c r="G105" s="1006" t="s">
        <v>425</v>
      </c>
      <c r="H105" s="40">
        <f>SUM(H104)</f>
        <v>0</v>
      </c>
      <c r="I105" s="40">
        <f>SUM(I104)</f>
        <v>0</v>
      </c>
      <c r="J105" s="38">
        <f>IF(H105=0,0,K105/H105)</f>
        <v>0</v>
      </c>
      <c r="K105" s="39">
        <f>SUM(K104)</f>
        <v>0</v>
      </c>
      <c r="L105" s="127"/>
      <c r="M105" s="1006" t="s">
        <v>425</v>
      </c>
      <c r="N105" s="40">
        <f>SUM(N104)</f>
        <v>0</v>
      </c>
      <c r="O105" s="40">
        <f>SUM(O104)</f>
        <v>0</v>
      </c>
      <c r="P105" s="38">
        <f>IF(N105=0,0,Q105/N105)</f>
        <v>0</v>
      </c>
      <c r="Q105" s="39">
        <f>SUM(Q104)</f>
        <v>0</v>
      </c>
      <c r="R105" s="127"/>
      <c r="S105" s="12"/>
      <c r="T105" s="320"/>
      <c r="U105" s="320"/>
      <c r="V105" s="319"/>
      <c r="W105" s="127"/>
    </row>
    <row r="106" spans="1:23" ht="15" customHeight="1">
      <c r="A106" s="1007" t="s">
        <v>418</v>
      </c>
      <c r="B106" s="1008" t="s">
        <v>435</v>
      </c>
      <c r="C106" s="1009" t="s">
        <v>442</v>
      </c>
      <c r="D106" s="1009" t="s">
        <v>443</v>
      </c>
      <c r="E106" s="1010" t="s">
        <v>433</v>
      </c>
      <c r="G106" s="1007" t="s">
        <v>418</v>
      </c>
      <c r="H106" s="1008" t="s">
        <v>435</v>
      </c>
      <c r="I106" s="1009" t="s">
        <v>442</v>
      </c>
      <c r="J106" s="1009" t="s">
        <v>443</v>
      </c>
      <c r="K106" s="1010" t="s">
        <v>433</v>
      </c>
      <c r="M106" s="1007" t="s">
        <v>418</v>
      </c>
      <c r="N106" s="1008" t="s">
        <v>435</v>
      </c>
      <c r="O106" s="1009" t="s">
        <v>442</v>
      </c>
      <c r="P106" s="1009" t="s">
        <v>443</v>
      </c>
      <c r="Q106" s="1010" t="s">
        <v>433</v>
      </c>
      <c r="S106" s="123"/>
      <c r="T106" s="124"/>
      <c r="U106" s="276"/>
      <c r="V106" s="276"/>
      <c r="W106" s="124"/>
    </row>
    <row r="107" spans="1:23" ht="15" customHeight="1" thickBot="1">
      <c r="A107" s="387"/>
      <c r="B107" s="388">
        <f>D45</f>
        <v>130919.1</v>
      </c>
      <c r="C107" s="389">
        <f>IF(B107=0,0,IFERROR((B107/Assumptions!$Y$35)-1,0))</f>
        <v>435.39699999999999</v>
      </c>
      <c r="D107" s="390"/>
      <c r="E107" s="385"/>
      <c r="G107" s="387"/>
      <c r="H107" s="388">
        <f>J45</f>
        <v>0</v>
      </c>
      <c r="I107" s="389">
        <f>IF(H107=0,0,IFERROR((H107/Assumptions!$Y$35)-1,0))</f>
        <v>0</v>
      </c>
      <c r="J107" s="390"/>
      <c r="K107" s="385"/>
      <c r="M107" s="387"/>
      <c r="N107" s="388">
        <f>P45</f>
        <v>0</v>
      </c>
      <c r="O107" s="389">
        <f>IF(N107=0,0,IFERROR((N107/Assumptions!$Y$35)-1,0))</f>
        <v>0</v>
      </c>
      <c r="P107" s="390"/>
      <c r="Q107" s="385"/>
      <c r="T107" s="83"/>
      <c r="U107" s="168"/>
      <c r="W107" s="127"/>
    </row>
    <row r="108" spans="1:23" ht="15" customHeight="1" thickTop="1">
      <c r="A108" s="163" t="s">
        <v>61</v>
      </c>
      <c r="B108" s="128">
        <f>IF(B34="Parking Lot",B107*50%,B$107*B46)</f>
        <v>0</v>
      </c>
      <c r="C108" s="259">
        <f>IF(B108=0,0,IFERROR((B108/Assumptions!$Y$35)-1,0))</f>
        <v>0</v>
      </c>
      <c r="D108" s="36">
        <f>Assumptions!$Y36</f>
        <v>300</v>
      </c>
      <c r="E108" s="59">
        <f>IF(OR(D$37&gt;0,D$39&gt;0,D$40&gt;0,D$43&gt;0),0,IF(B$58&gt;0,0,IF(C108&lt;0,0,C108*D108*12)))</f>
        <v>0</v>
      </c>
      <c r="G108" s="163" t="s">
        <v>61</v>
      </c>
      <c r="H108" s="128">
        <f>IF(H34="Parking Lot",H107*50%,H$107*H46)</f>
        <v>0</v>
      </c>
      <c r="I108" s="259">
        <f>IF(H108=0,0,IFERROR((H108/Assumptions!$Y$35)-1,0))</f>
        <v>0</v>
      </c>
      <c r="J108" s="36">
        <f>Assumptions!$Y36</f>
        <v>300</v>
      </c>
      <c r="K108" s="59">
        <f>IF(OR(J$37&gt;0,J$39&gt;0,J$40&gt;0,J$43&gt;0),0,IF(H$58&gt;0,0,IF(I108&lt;0,0,I108*J108*12)))</f>
        <v>0</v>
      </c>
      <c r="M108" s="163" t="s">
        <v>61</v>
      </c>
      <c r="N108" s="128">
        <f>IF(N34="Parking Lot",N107*50%,N$107*N46)</f>
        <v>0</v>
      </c>
      <c r="O108" s="259">
        <f>IF(N108=0,0,IFERROR((N108/Assumptions!$Y$35)-1,0))</f>
        <v>0</v>
      </c>
      <c r="P108" s="36">
        <f>Assumptions!$Y36</f>
        <v>300</v>
      </c>
      <c r="Q108" s="59">
        <f>IF(OR(P$37&gt;0,P$39&gt;0,P$40&gt;0,P$43&gt;0),0,IF(N$58&gt;0,0,IF(O108&lt;0,0,O108*P108*12)))</f>
        <v>0</v>
      </c>
      <c r="S108" s="321"/>
      <c r="T108" s="83"/>
      <c r="U108" s="168"/>
      <c r="V108" s="286"/>
      <c r="W108" s="127"/>
    </row>
    <row r="109" spans="1:23" ht="15" customHeight="1">
      <c r="A109" s="391" t="s">
        <v>239</v>
      </c>
      <c r="B109" s="392">
        <f>B107-B108-B110</f>
        <v>130919.1</v>
      </c>
      <c r="C109" s="393">
        <f>IF(B109=0,0,IFERROR((B109/Assumptions!$Y$35)-1,0))</f>
        <v>435.39699999999999</v>
      </c>
      <c r="D109" s="394">
        <f>Assumptions!$Y37</f>
        <v>250</v>
      </c>
      <c r="E109" s="59">
        <f>IF(OR(D$37&gt;0,D$39&gt;0,D$40&gt;0,D$43&gt;0),0,IF(B$58&gt;0,0,IF(C109&lt;0,0,C109*D109*12)))</f>
        <v>1306191</v>
      </c>
      <c r="G109" s="391" t="s">
        <v>239</v>
      </c>
      <c r="H109" s="392">
        <f>H107-H108-H110</f>
        <v>0</v>
      </c>
      <c r="I109" s="393">
        <f>IF(H109=0,0,IFERROR((H109/Assumptions!$Y$35)-1,0))</f>
        <v>0</v>
      </c>
      <c r="J109" s="394">
        <f>Assumptions!$Y37</f>
        <v>250</v>
      </c>
      <c r="K109" s="59">
        <f>IF(OR(J$37&gt;0,J$39&gt;0,J$40&gt;0,J$43&gt;0),0,IF(H$58&gt;0,0,IF(I109&lt;0,0,I109*J109*12)))</f>
        <v>0</v>
      </c>
      <c r="M109" s="391" t="s">
        <v>239</v>
      </c>
      <c r="N109" s="392">
        <f>N107-N108-N110</f>
        <v>0</v>
      </c>
      <c r="O109" s="393">
        <f>IF(N109=0,0,IFERROR((N109/Assumptions!$Y$35)-1,0))</f>
        <v>0</v>
      </c>
      <c r="P109" s="394">
        <f>Assumptions!$Y37</f>
        <v>250</v>
      </c>
      <c r="Q109" s="59">
        <f>IF(OR(P$37&gt;0,P$39&gt;0,P$40&gt;0,P$43&gt;0),0,IF(N$58&gt;0,0,IF(O109&lt;0,0,O109*P109*12)))</f>
        <v>0</v>
      </c>
      <c r="S109" s="203"/>
      <c r="T109" s="83"/>
      <c r="U109" s="168"/>
      <c r="V109" s="286"/>
      <c r="W109" s="127"/>
    </row>
    <row r="110" spans="1:23" ht="15" customHeight="1" thickBot="1">
      <c r="A110" s="395" t="s">
        <v>122</v>
      </c>
      <c r="B110" s="396">
        <v>0</v>
      </c>
      <c r="C110" s="397">
        <f>IF(B110=0,0,IFERROR((B110/Assumptions!$Y$35)-1,0))</f>
        <v>0</v>
      </c>
      <c r="D110" s="398">
        <f>Assumptions!$Y38</f>
        <v>50</v>
      </c>
      <c r="E110" s="39">
        <f>IF(OR(D$37&gt;0,D$39&gt;0,D$40&gt;0,D$43&gt;0),0,IF(B$58&gt;0,0,IF(C110&lt;0,0,C110*D110*12)))</f>
        <v>0</v>
      </c>
      <c r="G110" s="395" t="s">
        <v>122</v>
      </c>
      <c r="H110" s="396">
        <v>0</v>
      </c>
      <c r="I110" s="397">
        <f>IF(H110=0,0,IFERROR((H110/Assumptions!$Y$35)-1,0))</f>
        <v>0</v>
      </c>
      <c r="J110" s="398">
        <f>Assumptions!$Y38</f>
        <v>50</v>
      </c>
      <c r="K110" s="39">
        <f>IF(OR(J$37&gt;0,J$39&gt;0,J$40&gt;0,J$43&gt;0),0,IF(H$58&gt;0,0,IF(I110&lt;0,0,I110*J110*12)))</f>
        <v>0</v>
      </c>
      <c r="M110" s="395" t="s">
        <v>122</v>
      </c>
      <c r="N110" s="396">
        <v>0</v>
      </c>
      <c r="O110" s="397">
        <f>IF(N110=0,0,IFERROR((N110/Assumptions!$Y$35)-1,0))</f>
        <v>0</v>
      </c>
      <c r="P110" s="398">
        <f>Assumptions!$Y38</f>
        <v>50</v>
      </c>
      <c r="Q110" s="39">
        <f>IF(OR(P$37&gt;0,P$39&gt;0,P$40&gt;0,P$43&gt;0),0,IF(N$58&gt;0,0,IF(O110&lt;0,0,O110*P110*12)))</f>
        <v>0</v>
      </c>
      <c r="S110" s="203"/>
      <c r="T110" s="322"/>
      <c r="U110" s="168"/>
      <c r="V110" s="286"/>
      <c r="W110" s="127"/>
    </row>
    <row r="111" spans="1:23" ht="15" customHeight="1" thickBot="1">
      <c r="A111" s="203"/>
      <c r="B111" s="83"/>
      <c r="C111" s="204"/>
      <c r="D111" s="202"/>
      <c r="E111" s="127"/>
      <c r="G111" s="203"/>
      <c r="H111" s="83"/>
      <c r="I111" s="204"/>
      <c r="J111" s="202"/>
      <c r="K111" s="127"/>
      <c r="M111" s="203"/>
      <c r="N111" s="83"/>
      <c r="O111" s="204"/>
      <c r="P111" s="202"/>
      <c r="Q111" s="127"/>
      <c r="S111" s="203"/>
      <c r="T111" s="83"/>
      <c r="U111" s="301"/>
      <c r="V111" s="286"/>
      <c r="W111" s="127"/>
    </row>
    <row r="112" spans="1:23" ht="15" customHeight="1" thickBot="1">
      <c r="A112" s="1011" t="s">
        <v>444</v>
      </c>
      <c r="B112" s="80"/>
      <c r="C112" s="77" t="str">
        <f>B34</f>
        <v>Laboratory 2</v>
      </c>
      <c r="D112" s="77"/>
      <c r="E112" s="1012"/>
      <c r="F112" s="12"/>
      <c r="G112" s="1011" t="s">
        <v>444</v>
      </c>
      <c r="H112" s="80"/>
      <c r="I112" s="77">
        <f>H34</f>
        <v>0</v>
      </c>
      <c r="J112" s="77"/>
      <c r="K112" s="1012"/>
      <c r="L112" s="12"/>
      <c r="M112" s="1011" t="s">
        <v>444</v>
      </c>
      <c r="N112" s="80"/>
      <c r="O112" s="77">
        <f>N34</f>
        <v>0</v>
      </c>
      <c r="P112" s="77"/>
      <c r="Q112" s="1012"/>
      <c r="R112" s="12"/>
      <c r="S112" s="274"/>
      <c r="T112" s="274"/>
      <c r="U112" s="129"/>
      <c r="V112" s="129"/>
      <c r="W112" s="274"/>
    </row>
    <row r="113" spans="1:23" ht="13.5" thickBot="1">
      <c r="A113" s="1013" t="s">
        <v>445</v>
      </c>
      <c r="B113" s="78" t="s">
        <v>446</v>
      </c>
      <c r="C113" s="78" t="s">
        <v>447</v>
      </c>
      <c r="D113" s="78" t="s">
        <v>448</v>
      </c>
      <c r="E113" s="1014" t="s">
        <v>449</v>
      </c>
      <c r="F113" s="12"/>
      <c r="G113" s="1013" t="s">
        <v>445</v>
      </c>
      <c r="H113" s="78" t="s">
        <v>446</v>
      </c>
      <c r="I113" s="78" t="s">
        <v>447</v>
      </c>
      <c r="J113" s="78" t="s">
        <v>448</v>
      </c>
      <c r="K113" s="1014" t="s">
        <v>449</v>
      </c>
      <c r="L113" s="12"/>
      <c r="M113" s="1013" t="s">
        <v>445</v>
      </c>
      <c r="N113" s="78" t="s">
        <v>446</v>
      </c>
      <c r="O113" s="78" t="s">
        <v>447</v>
      </c>
      <c r="P113" s="78" t="s">
        <v>448</v>
      </c>
      <c r="Q113" s="1014" t="s">
        <v>449</v>
      </c>
      <c r="R113" s="12"/>
      <c r="S113" s="123"/>
      <c r="T113" s="124"/>
      <c r="U113" s="124"/>
      <c r="V113" s="124"/>
      <c r="W113" s="124"/>
    </row>
    <row r="114" spans="1:23" ht="12.6">
      <c r="A114" s="33" t="s">
        <v>450</v>
      </c>
      <c r="B114" s="34"/>
      <c r="C114" s="35"/>
      <c r="D114" s="82"/>
      <c r="E114" s="13">
        <f>SUM(E55,E72,E88)</f>
        <v>0</v>
      </c>
      <c r="F114" s="12"/>
      <c r="G114" s="33" t="s">
        <v>450</v>
      </c>
      <c r="H114" s="34"/>
      <c r="I114" s="35"/>
      <c r="J114" s="82"/>
      <c r="K114" s="13">
        <f>SUM(K55,K72,K88)</f>
        <v>0</v>
      </c>
      <c r="L114" s="12"/>
      <c r="M114" s="33" t="s">
        <v>450</v>
      </c>
      <c r="N114" s="34"/>
      <c r="O114" s="35"/>
      <c r="P114" s="82"/>
      <c r="Q114" s="13">
        <f>SUM(Q55,Q72,Q88)</f>
        <v>0</v>
      </c>
      <c r="R114" s="12"/>
      <c r="S114" s="12"/>
      <c r="T114" s="286"/>
      <c r="U114" s="323"/>
      <c r="V114" s="324"/>
      <c r="W114" s="286"/>
    </row>
    <row r="115" spans="1:23" ht="12.6">
      <c r="A115" s="91" t="s">
        <v>451</v>
      </c>
      <c r="B115" s="34"/>
      <c r="C115" s="35"/>
      <c r="D115" s="399"/>
      <c r="E115" s="92">
        <f>SUM(E93,E97)</f>
        <v>10536361.875</v>
      </c>
      <c r="F115" s="12"/>
      <c r="G115" s="91" t="s">
        <v>451</v>
      </c>
      <c r="H115" s="34"/>
      <c r="I115" s="35"/>
      <c r="J115" s="399"/>
      <c r="K115" s="92">
        <f>SUM(K93,K97)</f>
        <v>0</v>
      </c>
      <c r="L115" s="12"/>
      <c r="M115" s="91" t="s">
        <v>451</v>
      </c>
      <c r="N115" s="34"/>
      <c r="O115" s="35"/>
      <c r="P115" s="399"/>
      <c r="Q115" s="92">
        <f>SUM(Q93,Q97)</f>
        <v>0</v>
      </c>
      <c r="R115" s="12"/>
      <c r="S115" s="12"/>
      <c r="T115" s="286"/>
      <c r="U115" s="323"/>
      <c r="V115" s="324"/>
      <c r="W115" s="286"/>
    </row>
    <row r="116" spans="1:23" ht="12.6">
      <c r="A116" s="400" t="s">
        <v>452</v>
      </c>
      <c r="B116" s="1077"/>
      <c r="C116" s="1078"/>
      <c r="D116" s="401"/>
      <c r="E116" s="1015">
        <f>E105</f>
        <v>0</v>
      </c>
      <c r="F116" s="12"/>
      <c r="G116" s="400" t="s">
        <v>452</v>
      </c>
      <c r="H116" s="1077"/>
      <c r="I116" s="1078"/>
      <c r="J116" s="401"/>
      <c r="K116" s="1015">
        <f>K105</f>
        <v>0</v>
      </c>
      <c r="L116" s="12"/>
      <c r="M116" s="400" t="s">
        <v>452</v>
      </c>
      <c r="N116" s="1077"/>
      <c r="O116" s="1078"/>
      <c r="P116" s="401"/>
      <c r="Q116" s="1015">
        <f>Q105</f>
        <v>0</v>
      </c>
      <c r="R116" s="12"/>
      <c r="S116" s="325"/>
      <c r="T116" s="1079"/>
      <c r="U116" s="1079"/>
      <c r="V116" s="326"/>
      <c r="W116" s="286"/>
    </row>
    <row r="117" spans="1:23" ht="12.95">
      <c r="A117" s="402" t="s">
        <v>453</v>
      </c>
      <c r="B117" s="89"/>
      <c r="C117" s="89"/>
      <c r="D117" s="86"/>
      <c r="E117" s="403">
        <f>SUM(E114:E116)</f>
        <v>10536361.875</v>
      </c>
      <c r="F117" s="12"/>
      <c r="G117" s="402" t="s">
        <v>453</v>
      </c>
      <c r="H117" s="89"/>
      <c r="I117" s="89"/>
      <c r="J117" s="86"/>
      <c r="K117" s="403">
        <f>SUM(K114:K116)</f>
        <v>0</v>
      </c>
      <c r="L117" s="12"/>
      <c r="M117" s="402" t="s">
        <v>453</v>
      </c>
      <c r="N117" s="89"/>
      <c r="O117" s="89"/>
      <c r="P117" s="86"/>
      <c r="Q117" s="403">
        <f>SUM(Q114:Q116)</f>
        <v>0</v>
      </c>
      <c r="R117" s="12"/>
      <c r="S117" s="277"/>
      <c r="T117" s="302"/>
      <c r="U117" s="302"/>
      <c r="V117" s="167"/>
      <c r="W117" s="167"/>
    </row>
    <row r="118" spans="1:23" ht="12.95">
      <c r="A118" s="1071"/>
      <c r="B118" s="1072"/>
      <c r="C118" s="1072"/>
      <c r="D118" s="1072"/>
      <c r="E118" s="1073"/>
      <c r="F118" s="12"/>
      <c r="G118" s="1071"/>
      <c r="H118" s="1072"/>
      <c r="I118" s="1072"/>
      <c r="J118" s="1072"/>
      <c r="K118" s="1073"/>
      <c r="L118" s="12"/>
      <c r="M118" s="1071"/>
      <c r="N118" s="1072"/>
      <c r="O118" s="1072"/>
      <c r="P118" s="1072"/>
      <c r="Q118" s="1073"/>
      <c r="R118" s="12"/>
      <c r="S118" s="1074"/>
      <c r="T118" s="1074"/>
      <c r="U118" s="1074"/>
      <c r="V118" s="1074"/>
      <c r="W118" s="1074"/>
    </row>
    <row r="119" spans="1:23" ht="12.95">
      <c r="A119" s="95" t="s">
        <v>454</v>
      </c>
      <c r="B119" s="85"/>
      <c r="C119" s="85"/>
      <c r="D119" s="85"/>
      <c r="E119" s="96"/>
      <c r="F119" s="12"/>
      <c r="G119" s="95" t="s">
        <v>454</v>
      </c>
      <c r="H119" s="85"/>
      <c r="I119" s="85"/>
      <c r="J119" s="85"/>
      <c r="K119" s="96"/>
      <c r="L119" s="12"/>
      <c r="M119" s="95" t="s">
        <v>454</v>
      </c>
      <c r="N119" s="85"/>
      <c r="O119" s="85"/>
      <c r="P119" s="85"/>
      <c r="Q119" s="96"/>
      <c r="R119" s="12"/>
      <c r="S119" s="277"/>
      <c r="T119" s="167"/>
      <c r="U119" s="167"/>
      <c r="V119" s="167"/>
      <c r="W119" s="167"/>
    </row>
    <row r="120" spans="1:23" ht="12.6">
      <c r="A120" s="404" t="s">
        <v>455</v>
      </c>
      <c r="B120" s="394"/>
      <c r="C120" s="401"/>
      <c r="D120" s="401"/>
      <c r="E120" s="405">
        <f>E108</f>
        <v>0</v>
      </c>
      <c r="F120" s="12"/>
      <c r="G120" s="404" t="s">
        <v>455</v>
      </c>
      <c r="H120" s="394"/>
      <c r="I120" s="401"/>
      <c r="J120" s="401"/>
      <c r="K120" s="405">
        <f>K108</f>
        <v>0</v>
      </c>
      <c r="L120" s="12"/>
      <c r="M120" s="404" t="s">
        <v>455</v>
      </c>
      <c r="N120" s="394"/>
      <c r="O120" s="401"/>
      <c r="P120" s="401"/>
      <c r="Q120" s="405">
        <f>Q108</f>
        <v>0</v>
      </c>
      <c r="R120" s="12"/>
      <c r="S120" s="327"/>
      <c r="T120" s="286"/>
      <c r="U120" s="326"/>
      <c r="V120" s="326"/>
      <c r="W120" s="286"/>
    </row>
    <row r="121" spans="1:23" ht="12.6">
      <c r="A121" s="404" t="s">
        <v>456</v>
      </c>
      <c r="B121" s="394"/>
      <c r="C121" s="401"/>
      <c r="D121" s="401"/>
      <c r="E121" s="405">
        <f>E109</f>
        <v>1306191</v>
      </c>
      <c r="F121" s="12"/>
      <c r="G121" s="404" t="s">
        <v>456</v>
      </c>
      <c r="H121" s="394"/>
      <c r="I121" s="401"/>
      <c r="J121" s="401"/>
      <c r="K121" s="405">
        <f>K109</f>
        <v>0</v>
      </c>
      <c r="L121" s="12"/>
      <c r="M121" s="404" t="s">
        <v>456</v>
      </c>
      <c r="N121" s="394"/>
      <c r="O121" s="401"/>
      <c r="P121" s="401"/>
      <c r="Q121" s="405">
        <f>Q109</f>
        <v>0</v>
      </c>
      <c r="R121" s="12"/>
      <c r="S121" s="327"/>
      <c r="T121" s="286"/>
      <c r="U121" s="326"/>
      <c r="V121" s="326"/>
      <c r="W121" s="286"/>
    </row>
    <row r="122" spans="1:23" ht="12.6">
      <c r="A122" s="404" t="s">
        <v>457</v>
      </c>
      <c r="B122" s="394"/>
      <c r="C122" s="401"/>
      <c r="D122" s="401"/>
      <c r="E122" s="405">
        <f>E110</f>
        <v>0</v>
      </c>
      <c r="F122" s="12"/>
      <c r="G122" s="404" t="s">
        <v>457</v>
      </c>
      <c r="H122" s="394"/>
      <c r="I122" s="401"/>
      <c r="J122" s="401"/>
      <c r="K122" s="405">
        <f>K110</f>
        <v>0</v>
      </c>
      <c r="L122" s="12"/>
      <c r="M122" s="404" t="s">
        <v>457</v>
      </c>
      <c r="N122" s="394"/>
      <c r="O122" s="401"/>
      <c r="P122" s="401"/>
      <c r="Q122" s="405">
        <f>Q110</f>
        <v>0</v>
      </c>
      <c r="R122" s="12"/>
      <c r="S122" s="327"/>
      <c r="T122" s="286"/>
      <c r="U122" s="326"/>
      <c r="V122" s="326"/>
      <c r="W122" s="286"/>
    </row>
    <row r="123" spans="1:23" ht="12.6">
      <c r="A123" s="404" t="s">
        <v>458</v>
      </c>
      <c r="B123" s="401"/>
      <c r="C123" s="401"/>
      <c r="D123" s="401"/>
      <c r="E123" s="405">
        <f>Assumptions!$L$44*E117</f>
        <v>316090.85625000001</v>
      </c>
      <c r="F123" s="12"/>
      <c r="G123" s="404" t="s">
        <v>458</v>
      </c>
      <c r="H123" s="401"/>
      <c r="I123" s="401"/>
      <c r="J123" s="401"/>
      <c r="K123" s="405">
        <f>Assumptions!$L$44*K117</f>
        <v>0</v>
      </c>
      <c r="L123" s="12"/>
      <c r="M123" s="404" t="s">
        <v>458</v>
      </c>
      <c r="N123" s="401"/>
      <c r="O123" s="401"/>
      <c r="P123" s="401"/>
      <c r="Q123" s="405">
        <f>Assumptions!$L$44*Q117</f>
        <v>0</v>
      </c>
      <c r="R123" s="12"/>
      <c r="S123" s="327"/>
      <c r="T123" s="326"/>
      <c r="U123" s="326"/>
      <c r="V123" s="326"/>
      <c r="W123" s="286"/>
    </row>
    <row r="124" spans="1:23" ht="13.5" thickBot="1">
      <c r="A124" s="84" t="s">
        <v>459</v>
      </c>
      <c r="B124" s="72"/>
      <c r="C124" s="87"/>
      <c r="D124" s="406"/>
      <c r="E124" s="73">
        <f>SUM(E120:E123)</f>
        <v>1622281.85625</v>
      </c>
      <c r="F124" s="12"/>
      <c r="G124" s="84" t="s">
        <v>459</v>
      </c>
      <c r="H124" s="72"/>
      <c r="I124" s="87"/>
      <c r="J124" s="406"/>
      <c r="K124" s="73">
        <f>SUM(K120:K123)</f>
        <v>0</v>
      </c>
      <c r="L124" s="12"/>
      <c r="M124" s="84" t="s">
        <v>459</v>
      </c>
      <c r="N124" s="72"/>
      <c r="O124" s="87"/>
      <c r="P124" s="406"/>
      <c r="Q124" s="73">
        <f>SUM(Q120:Q123)</f>
        <v>0</v>
      </c>
      <c r="R124" s="12"/>
      <c r="S124" s="328"/>
      <c r="T124" s="167"/>
      <c r="U124" s="167"/>
      <c r="V124" s="167"/>
      <c r="W124" s="167"/>
    </row>
    <row r="125" spans="1:23" ht="14.1" thickTop="1" thickBot="1">
      <c r="A125" s="27">
        <v>0.05</v>
      </c>
      <c r="B125" s="74"/>
      <c r="C125" s="88"/>
      <c r="D125" s="94"/>
      <c r="E125" s="79">
        <f>-A125*E117</f>
        <v>-526818.09375</v>
      </c>
      <c r="F125" s="12"/>
      <c r="G125" s="27">
        <v>0.05</v>
      </c>
      <c r="H125" s="74"/>
      <c r="I125" s="88"/>
      <c r="J125" s="94"/>
      <c r="K125" s="79">
        <f>-G125*K117</f>
        <v>0</v>
      </c>
      <c r="L125" s="12"/>
      <c r="M125" s="27">
        <v>0.05</v>
      </c>
      <c r="N125" s="74"/>
      <c r="O125" s="88"/>
      <c r="P125" s="94"/>
      <c r="Q125" s="79">
        <f>-M125*Q117</f>
        <v>0</v>
      </c>
      <c r="R125" s="12"/>
      <c r="S125" s="329"/>
      <c r="T125" s="286"/>
      <c r="U125" s="286"/>
      <c r="V125" s="286"/>
      <c r="W125" s="286"/>
    </row>
    <row r="126" spans="1:23" ht="14.1" thickTop="1" thickBot="1">
      <c r="A126" s="1016" t="s">
        <v>460</v>
      </c>
      <c r="B126" s="14"/>
      <c r="C126" s="1017"/>
      <c r="D126" s="93"/>
      <c r="E126" s="1018">
        <f>E117+E124+E125</f>
        <v>11631825.637499999</v>
      </c>
      <c r="F126" s="12"/>
      <c r="G126" s="1016" t="s">
        <v>460</v>
      </c>
      <c r="H126" s="14"/>
      <c r="I126" s="1017"/>
      <c r="J126" s="93"/>
      <c r="K126" s="1018">
        <f>K117+K124+K125</f>
        <v>0</v>
      </c>
      <c r="L126" s="12"/>
      <c r="M126" s="1016" t="s">
        <v>460</v>
      </c>
      <c r="N126" s="14"/>
      <c r="O126" s="1017"/>
      <c r="P126" s="93"/>
      <c r="Q126" s="1018">
        <f>Q117+Q124+Q125</f>
        <v>0</v>
      </c>
      <c r="R126" s="12"/>
      <c r="S126" s="330"/>
      <c r="T126" s="167"/>
      <c r="U126" s="331"/>
      <c r="V126" s="331"/>
      <c r="W126" s="167"/>
    </row>
    <row r="127" spans="1:23" ht="13.5" thickBot="1">
      <c r="A127" s="6" t="s">
        <v>461</v>
      </c>
      <c r="B127" s="78" t="s">
        <v>462</v>
      </c>
      <c r="C127" s="78"/>
      <c r="D127" s="78"/>
      <c r="E127" s="15" t="s">
        <v>463</v>
      </c>
      <c r="F127" s="12"/>
      <c r="G127" s="6" t="s">
        <v>461</v>
      </c>
      <c r="H127" s="78" t="s">
        <v>462</v>
      </c>
      <c r="I127" s="78"/>
      <c r="J127" s="78"/>
      <c r="K127" s="15" t="s">
        <v>463</v>
      </c>
      <c r="L127" s="12"/>
      <c r="M127" s="6" t="s">
        <v>461</v>
      </c>
      <c r="N127" s="78" t="s">
        <v>462</v>
      </c>
      <c r="O127" s="78"/>
      <c r="P127" s="78"/>
      <c r="Q127" s="15" t="s">
        <v>463</v>
      </c>
      <c r="R127" s="12"/>
      <c r="S127" s="123"/>
      <c r="T127" s="124"/>
      <c r="U127" s="124"/>
      <c r="V127" s="124"/>
      <c r="W127" s="124"/>
    </row>
    <row r="128" spans="1:23" ht="13.5" thickBot="1">
      <c r="A128" s="97" t="s">
        <v>464</v>
      </c>
      <c r="B128" s="90"/>
      <c r="C128" s="16"/>
      <c r="D128" s="16"/>
      <c r="E128" s="98">
        <f>-0.3*E117</f>
        <v>-3160908.5625</v>
      </c>
      <c r="F128" s="12"/>
      <c r="G128" s="97" t="s">
        <v>464</v>
      </c>
      <c r="H128" s="90"/>
      <c r="I128" s="16"/>
      <c r="J128" s="16"/>
      <c r="K128" s="98">
        <f>-0.3*K117</f>
        <v>0</v>
      </c>
      <c r="L128" s="12"/>
      <c r="M128" s="97" t="s">
        <v>464</v>
      </c>
      <c r="N128" s="90"/>
      <c r="O128" s="16"/>
      <c r="P128" s="16"/>
      <c r="Q128" s="98">
        <f>-0.3*Q117</f>
        <v>0</v>
      </c>
      <c r="R128" s="12"/>
      <c r="S128" s="289"/>
      <c r="T128" s="332"/>
      <c r="U128" s="333"/>
      <c r="V128" s="333"/>
      <c r="W128" s="333"/>
    </row>
    <row r="129" spans="1:25" ht="13.5" thickBot="1">
      <c r="A129" s="1019" t="s">
        <v>465</v>
      </c>
      <c r="B129" s="81"/>
      <c r="C129" s="81"/>
      <c r="D129" s="81"/>
      <c r="E129" s="1020">
        <f>E126+E128</f>
        <v>8470917.0749999993</v>
      </c>
      <c r="F129" s="12"/>
      <c r="G129" s="1019" t="s">
        <v>465</v>
      </c>
      <c r="H129" s="81"/>
      <c r="I129" s="81"/>
      <c r="J129" s="81"/>
      <c r="K129" s="1020">
        <f>K126+K128</f>
        <v>0</v>
      </c>
      <c r="L129" s="12"/>
      <c r="M129" s="1019" t="s">
        <v>465</v>
      </c>
      <c r="N129" s="81"/>
      <c r="O129" s="81"/>
      <c r="P129" s="81"/>
      <c r="Q129" s="1020">
        <f>Q126+Q128</f>
        <v>0</v>
      </c>
      <c r="R129" s="12"/>
      <c r="S129" s="118"/>
      <c r="T129" s="334"/>
      <c r="U129" s="334"/>
      <c r="V129" s="334"/>
      <c r="W129" s="335"/>
    </row>
    <row r="130" spans="1:25" ht="12.6">
      <c r="F130" s="12"/>
      <c r="L130" s="12"/>
      <c r="R130" s="12"/>
    </row>
    <row r="131" spans="1:25" ht="12.95">
      <c r="A131" s="734" t="s">
        <v>383</v>
      </c>
      <c r="B131" s="734"/>
      <c r="C131" s="734"/>
      <c r="F131" s="12"/>
      <c r="G131" s="734" t="s">
        <v>383</v>
      </c>
      <c r="H131" s="734"/>
      <c r="I131" s="734"/>
      <c r="L131" s="12"/>
      <c r="M131" s="734" t="s">
        <v>383</v>
      </c>
      <c r="N131" s="734"/>
      <c r="O131" s="734"/>
      <c r="R131" s="12"/>
      <c r="S131" s="274"/>
      <c r="T131" s="274"/>
      <c r="U131" s="274"/>
    </row>
    <row r="132" spans="1:25" ht="12.95">
      <c r="A132" s="735"/>
      <c r="B132" s="736" t="s">
        <v>466</v>
      </c>
      <c r="C132" s="736" t="s">
        <v>467</v>
      </c>
      <c r="F132" s="83"/>
      <c r="G132" s="735"/>
      <c r="H132" s="736" t="s">
        <v>466</v>
      </c>
      <c r="I132" s="736" t="s">
        <v>467</v>
      </c>
      <c r="L132" s="83"/>
      <c r="M132" s="735"/>
      <c r="N132" s="736" t="s">
        <v>466</v>
      </c>
      <c r="O132" s="736" t="s">
        <v>467</v>
      </c>
      <c r="R132" s="83"/>
      <c r="S132" s="274"/>
      <c r="T132" s="282"/>
      <c r="U132" s="282"/>
    </row>
    <row r="133" spans="1:25" ht="12.75" customHeight="1">
      <c r="A133" s="737" t="s">
        <v>387</v>
      </c>
      <c r="B133" s="738">
        <f>IFERROR(INDEX(Assumptions!$D$4:$E$16,MATCH('3-G Financial'!B$34,Assumptions!$D$4:$D$16,0),2),0)</f>
        <v>300</v>
      </c>
      <c r="C133" s="739">
        <f>B133*D34</f>
        <v>132932280.00000001</v>
      </c>
      <c r="F133" s="12"/>
      <c r="G133" s="737" t="s">
        <v>387</v>
      </c>
      <c r="H133" s="738">
        <f>IFERROR(INDEX(Assumptions!$D$4:$E$16,MATCH('3-G Financial'!H$34,Assumptions!$D$4:$D$16,0),2),0)</f>
        <v>0</v>
      </c>
      <c r="I133" s="739">
        <f>H133*J34</f>
        <v>0</v>
      </c>
      <c r="L133" s="12"/>
      <c r="M133" s="737" t="s">
        <v>387</v>
      </c>
      <c r="N133" s="738">
        <f>IFERROR(INDEX(Assumptions!$D$4:$E$16,MATCH('3-G Financial'!N$34,Assumptions!$D$4:$D$16,0),2),0)</f>
        <v>0</v>
      </c>
      <c r="O133" s="739">
        <f>N133*P34</f>
        <v>0</v>
      </c>
      <c r="R133" s="12"/>
      <c r="S133" s="177"/>
      <c r="T133" s="336"/>
      <c r="U133" s="286"/>
    </row>
    <row r="134" spans="1:25" ht="12.75" customHeight="1">
      <c r="A134" s="737" t="s">
        <v>77</v>
      </c>
      <c r="B134" s="562">
        <f>Assumptions!$E$19</f>
        <v>0.05</v>
      </c>
      <c r="C134" s="740">
        <f>B134*C133</f>
        <v>6646614.0000000009</v>
      </c>
      <c r="F134" s="12"/>
      <c r="G134" s="737" t="s">
        <v>77</v>
      </c>
      <c r="H134" s="562">
        <f>Assumptions!$E$19</f>
        <v>0.05</v>
      </c>
      <c r="I134" s="740">
        <f>H134*I133</f>
        <v>0</v>
      </c>
      <c r="L134" s="12"/>
      <c r="M134" s="737" t="s">
        <v>77</v>
      </c>
      <c r="N134" s="562">
        <f>Assumptions!$E$19</f>
        <v>0.05</v>
      </c>
      <c r="O134" s="740">
        <f>N134*O133</f>
        <v>0</v>
      </c>
      <c r="R134" s="12"/>
      <c r="S134" s="177"/>
      <c r="T134" s="337"/>
      <c r="U134" s="290"/>
      <c r="Y134" s="12"/>
    </row>
    <row r="135" spans="1:25" ht="12.75" customHeight="1">
      <c r="A135" s="737" t="s">
        <v>389</v>
      </c>
      <c r="B135" s="407" t="s">
        <v>101</v>
      </c>
      <c r="C135" s="741">
        <v>0</v>
      </c>
      <c r="F135" s="12"/>
      <c r="G135" s="737" t="s">
        <v>389</v>
      </c>
      <c r="H135" s="407" t="s">
        <v>101</v>
      </c>
      <c r="I135" s="741">
        <v>0</v>
      </c>
      <c r="L135" s="12"/>
      <c r="M135" s="737" t="s">
        <v>389</v>
      </c>
      <c r="N135" s="407" t="s">
        <v>101</v>
      </c>
      <c r="O135" s="741">
        <v>0</v>
      </c>
      <c r="R135" s="12"/>
      <c r="S135" s="177"/>
      <c r="T135" s="338"/>
      <c r="U135" s="339"/>
      <c r="Y135" s="12"/>
    </row>
    <row r="136" spans="1:25" ht="12.75" customHeight="1">
      <c r="A136" s="737" t="s">
        <v>391</v>
      </c>
      <c r="B136" s="748" t="s">
        <v>468</v>
      </c>
      <c r="C136" s="739">
        <f>IF(C133=0,0,INDEX('Development Program'!$C$58:$L$62,5,MATCH($D$2,'Development Program'!$C$58:$L$58,0))/INDEX('Development Program'!$L$9:$M$18,MATCH($D$2,'Development Program'!$L$9:$L$18,0),2))</f>
        <v>808909.2</v>
      </c>
      <c r="F136" s="12"/>
      <c r="G136" s="737" t="s">
        <v>391</v>
      </c>
      <c r="H136" s="748" t="s">
        <v>468</v>
      </c>
      <c r="I136" s="739">
        <f>IF(I133=0,0,INDEX('Development Program'!$C$58:$L$62,5,MATCH($D$2,'Development Program'!$C$58:$L$58,0))/INDEX('Development Program'!$L$9:$M$18,MATCH($D$2,'Development Program'!$L$9:$L$18,0),2))</f>
        <v>0</v>
      </c>
      <c r="L136" s="12"/>
      <c r="M136" s="737" t="s">
        <v>391</v>
      </c>
      <c r="N136" s="748" t="s">
        <v>468</v>
      </c>
      <c r="O136" s="739">
        <f>IF(O133=0,0,INDEX('Development Program'!$C$58:$L$62,5,MATCH($D$2,'Development Program'!$C$58:$L$58,0))/INDEX('Development Program'!$L$9:$M$18,MATCH($D$2,'Development Program'!$L$9:$L$18,0),2))</f>
        <v>0</v>
      </c>
      <c r="R136" s="12"/>
      <c r="S136" s="177"/>
      <c r="T136" s="340"/>
      <c r="U136" s="179"/>
    </row>
    <row r="137" spans="1:25" ht="12.75" customHeight="1">
      <c r="A137" s="426" t="s">
        <v>16</v>
      </c>
      <c r="B137" s="748" t="s">
        <v>468</v>
      </c>
      <c r="C137" s="739">
        <f>IF(C133=0,0,INDEX('Development Program'!$D$40:$M$55,16,MATCH($D$2,'Development Program'!$D$40:$M$40,0))/INDEX('Development Program'!$L$9:$M$18,MATCH($D$2,'Development Program'!$L$9:$L$18,0),2))</f>
        <v>2480000</v>
      </c>
      <c r="F137" s="12"/>
      <c r="G137" s="426" t="s">
        <v>16</v>
      </c>
      <c r="H137" s="748" t="s">
        <v>468</v>
      </c>
      <c r="I137" s="739">
        <f>IF(I133=0,0,INDEX('Development Program'!$D$40:$M$55,16,MATCH($D$2,'Development Program'!$D$40:$M$40,0))/INDEX('Development Program'!$L$9:$M$18,MATCH($D$2,'Development Program'!$L$9:$L$18,0),2))</f>
        <v>0</v>
      </c>
      <c r="L137" s="12"/>
      <c r="M137" s="426" t="s">
        <v>16</v>
      </c>
      <c r="N137" s="748" t="s">
        <v>468</v>
      </c>
      <c r="O137" s="739">
        <f>IF(O133=0,0,INDEX('Development Program'!$D$40:$M$55,16,MATCH($D$2,'Development Program'!$D$40:$M$40,0))/INDEX('Development Program'!$L$9:$M$18,MATCH($D$2,'Development Program'!$L$9:$L$18,0),2))</f>
        <v>0</v>
      </c>
      <c r="R137" s="12"/>
    </row>
    <row r="138" spans="1:25" ht="12.75" customHeight="1">
      <c r="A138" s="737" t="s">
        <v>79</v>
      </c>
      <c r="B138" s="409">
        <f>Assumptions!$E$20</f>
        <v>0.02</v>
      </c>
      <c r="C138" s="739">
        <f>B138*(C$133)</f>
        <v>2658645.6000000006</v>
      </c>
      <c r="F138" s="12"/>
      <c r="G138" s="737" t="s">
        <v>79</v>
      </c>
      <c r="H138" s="409">
        <f>Assumptions!$E$20</f>
        <v>0.02</v>
      </c>
      <c r="I138" s="739">
        <f>H138*(I$133)</f>
        <v>0</v>
      </c>
      <c r="L138" s="12"/>
      <c r="M138" s="737" t="s">
        <v>79</v>
      </c>
      <c r="N138" s="409">
        <f>Assumptions!$E$20</f>
        <v>0.02</v>
      </c>
      <c r="O138" s="739">
        <f>N138*(O$133)</f>
        <v>0</v>
      </c>
      <c r="R138" s="12"/>
      <c r="S138" s="177"/>
      <c r="T138" s="341"/>
      <c r="U138" s="286"/>
    </row>
    <row r="139" spans="1:25" ht="12.75" customHeight="1">
      <c r="A139" s="730" t="s">
        <v>83</v>
      </c>
      <c r="B139" s="409">
        <f>Assumptions!$E$22</f>
        <v>1.4999999999999999E-2</v>
      </c>
      <c r="C139" s="739">
        <f>B139*(C$133)</f>
        <v>1993984.2000000002</v>
      </c>
      <c r="F139" s="12"/>
      <c r="G139" s="730" t="s">
        <v>83</v>
      </c>
      <c r="H139" s="409">
        <f>Assumptions!$E$22</f>
        <v>1.4999999999999999E-2</v>
      </c>
      <c r="I139" s="739">
        <f>H139*(I$133)</f>
        <v>0</v>
      </c>
      <c r="L139" s="12"/>
      <c r="M139" s="730" t="s">
        <v>83</v>
      </c>
      <c r="N139" s="409">
        <f>Assumptions!$E$22</f>
        <v>1.4999999999999999E-2</v>
      </c>
      <c r="O139" s="739">
        <f>N139*(O$133)</f>
        <v>0</v>
      </c>
      <c r="R139" s="12"/>
      <c r="S139" s="12"/>
      <c r="T139" s="341"/>
      <c r="U139" s="286"/>
    </row>
    <row r="140" spans="1:25" ht="12.75" customHeight="1">
      <c r="A140" s="730" t="s">
        <v>84</v>
      </c>
      <c r="B140" s="564">
        <f>Assumptions!$E$23</f>
        <v>2.5000000000000001E-2</v>
      </c>
      <c r="C140" s="739">
        <f>IF(D34=0,0,B140*$B$10)</f>
        <v>20222.73</v>
      </c>
      <c r="F140" s="12"/>
      <c r="G140" s="730" t="s">
        <v>84</v>
      </c>
      <c r="H140" s="564">
        <f>Assumptions!$E$23</f>
        <v>2.5000000000000001E-2</v>
      </c>
      <c r="I140" s="739">
        <f>IF(J34=0,0,H140*$B$10)</f>
        <v>0</v>
      </c>
      <c r="L140" s="12"/>
      <c r="M140" s="730" t="s">
        <v>84</v>
      </c>
      <c r="N140" s="564">
        <f>Assumptions!$E$23</f>
        <v>2.5000000000000001E-2</v>
      </c>
      <c r="O140" s="739">
        <f>IF(P34=0,0,N140*$B$10)</f>
        <v>0</v>
      </c>
      <c r="R140" s="12"/>
      <c r="S140" s="12"/>
      <c r="T140" s="26"/>
      <c r="U140" s="339"/>
    </row>
    <row r="141" spans="1:25" ht="12.75" customHeight="1">
      <c r="A141" s="730" t="s">
        <v>85</v>
      </c>
      <c r="B141" s="409">
        <f>Assumptions!$E$24</f>
        <v>0.02</v>
      </c>
      <c r="C141" s="739">
        <f>B141*(C133)</f>
        <v>2658645.6000000006</v>
      </c>
      <c r="F141" s="12"/>
      <c r="G141" s="730" t="s">
        <v>85</v>
      </c>
      <c r="H141" s="409">
        <f>Assumptions!$E$24</f>
        <v>0.02</v>
      </c>
      <c r="I141" s="739">
        <f>H141*(I133)</f>
        <v>0</v>
      </c>
      <c r="L141" s="12"/>
      <c r="M141" s="730" t="s">
        <v>85</v>
      </c>
      <c r="N141" s="409">
        <f>Assumptions!$E$24</f>
        <v>0.02</v>
      </c>
      <c r="O141" s="739">
        <f>N141*(O133)</f>
        <v>0</v>
      </c>
      <c r="R141" s="12"/>
      <c r="S141" s="12"/>
      <c r="T141" s="341"/>
      <c r="U141" s="286"/>
    </row>
    <row r="142" spans="1:25" ht="12.75" customHeight="1">
      <c r="A142" s="730" t="s">
        <v>86</v>
      </c>
      <c r="B142" s="409">
        <f>Assumptions!$E$25</f>
        <v>3.5000000000000003E-2</v>
      </c>
      <c r="C142" s="739">
        <f>B142*(C133)</f>
        <v>4652629.8000000007</v>
      </c>
      <c r="F142" s="12"/>
      <c r="G142" s="730" t="s">
        <v>86</v>
      </c>
      <c r="H142" s="409">
        <f>Assumptions!$E$25</f>
        <v>3.5000000000000003E-2</v>
      </c>
      <c r="I142" s="739">
        <f>H142*(I133)</f>
        <v>0</v>
      </c>
      <c r="L142" s="12"/>
      <c r="M142" s="730" t="s">
        <v>86</v>
      </c>
      <c r="N142" s="409">
        <f>Assumptions!$E$25</f>
        <v>3.5000000000000003E-2</v>
      </c>
      <c r="O142" s="739">
        <f>N142*(O133)</f>
        <v>0</v>
      </c>
      <c r="R142" s="12"/>
      <c r="S142" s="12"/>
      <c r="T142" s="341"/>
      <c r="U142" s="286"/>
    </row>
    <row r="143" spans="1:25" ht="12.75" customHeight="1">
      <c r="A143" s="730" t="s">
        <v>88</v>
      </c>
      <c r="B143" s="409">
        <f>Assumptions!$E$26</f>
        <v>0.02</v>
      </c>
      <c r="C143" s="739">
        <f>B143*(C133)</f>
        <v>2658645.6000000006</v>
      </c>
      <c r="D143" s="276"/>
      <c r="E143" s="275"/>
      <c r="F143" s="12"/>
      <c r="G143" s="730" t="s">
        <v>88</v>
      </c>
      <c r="H143" s="409">
        <f>Assumptions!$E$26</f>
        <v>0.02</v>
      </c>
      <c r="I143" s="739">
        <f>H143*(I133)</f>
        <v>0</v>
      </c>
      <c r="J143" s="276"/>
      <c r="K143" s="275"/>
      <c r="L143" s="12"/>
      <c r="M143" s="730" t="s">
        <v>88</v>
      </c>
      <c r="N143" s="409">
        <f>Assumptions!$E$26</f>
        <v>0.02</v>
      </c>
      <c r="O143" s="739">
        <f>N143*(O133)</f>
        <v>0</v>
      </c>
      <c r="P143" s="276"/>
      <c r="Q143" s="275"/>
      <c r="R143" s="12"/>
      <c r="S143" s="12"/>
      <c r="T143" s="341"/>
      <c r="U143" s="286"/>
      <c r="V143" s="276"/>
      <c r="W143" s="275"/>
    </row>
    <row r="144" spans="1:25" ht="12.75" customHeight="1">
      <c r="A144" s="730" t="s">
        <v>93</v>
      </c>
      <c r="B144" s="409">
        <f>Assumptions!$E$27</f>
        <v>0.05</v>
      </c>
      <c r="C144" s="739">
        <f>B144*C133</f>
        <v>6646614.0000000009</v>
      </c>
      <c r="D144" s="276"/>
      <c r="E144" s="275"/>
      <c r="F144" s="12"/>
      <c r="G144" s="730" t="s">
        <v>93</v>
      </c>
      <c r="H144" s="409">
        <f>Assumptions!$E$27</f>
        <v>0.05</v>
      </c>
      <c r="I144" s="739">
        <f>H144*I133</f>
        <v>0</v>
      </c>
      <c r="J144" s="276"/>
      <c r="K144" s="275"/>
      <c r="L144" s="12"/>
      <c r="M144" s="730" t="s">
        <v>93</v>
      </c>
      <c r="N144" s="409">
        <f>Assumptions!$E$27</f>
        <v>0.05</v>
      </c>
      <c r="O144" s="739">
        <f>N144*O133</f>
        <v>0</v>
      </c>
      <c r="P144" s="276"/>
      <c r="Q144" s="275"/>
      <c r="R144" s="12"/>
      <c r="S144" s="12"/>
      <c r="T144" s="342"/>
      <c r="U144" s="286"/>
      <c r="V144" s="276"/>
      <c r="W144" s="275"/>
    </row>
    <row r="145" spans="1:23" ht="12.75" customHeight="1">
      <c r="A145" s="730" t="s">
        <v>97</v>
      </c>
      <c r="B145" s="409">
        <f>Assumptions!$E$28</f>
        <v>1.4999999999999999E-2</v>
      </c>
      <c r="C145" s="739">
        <f>B145*C133</f>
        <v>1993984.2000000002</v>
      </c>
      <c r="D145" s="276"/>
      <c r="E145" s="275"/>
      <c r="F145" s="12"/>
      <c r="G145" s="730" t="s">
        <v>97</v>
      </c>
      <c r="H145" s="409">
        <f>Assumptions!$E$28</f>
        <v>1.4999999999999999E-2</v>
      </c>
      <c r="I145" s="739">
        <f>H145*I133</f>
        <v>0</v>
      </c>
      <c r="J145" s="276"/>
      <c r="K145" s="275"/>
      <c r="L145" s="12"/>
      <c r="M145" s="730" t="s">
        <v>97</v>
      </c>
      <c r="N145" s="409">
        <f>Assumptions!$E$28</f>
        <v>1.4999999999999999E-2</v>
      </c>
      <c r="O145" s="739">
        <f>N145*O133</f>
        <v>0</v>
      </c>
      <c r="P145" s="276"/>
      <c r="Q145" s="275"/>
      <c r="R145" s="12"/>
      <c r="S145" s="12"/>
      <c r="T145" s="341"/>
      <c r="U145" s="286"/>
      <c r="V145" s="276"/>
      <c r="W145" s="275"/>
    </row>
    <row r="146" spans="1:23" ht="12.75" customHeight="1">
      <c r="A146" s="730" t="s">
        <v>100</v>
      </c>
      <c r="B146" s="410" t="s">
        <v>101</v>
      </c>
      <c r="C146" s="741">
        <v>500000</v>
      </c>
      <c r="F146" s="12"/>
      <c r="G146" s="730" t="s">
        <v>100</v>
      </c>
      <c r="H146" s="410" t="s">
        <v>101</v>
      </c>
      <c r="I146" s="741">
        <v>0</v>
      </c>
      <c r="L146" s="12"/>
      <c r="M146" s="730" t="s">
        <v>100</v>
      </c>
      <c r="N146" s="410" t="s">
        <v>101</v>
      </c>
      <c r="O146" s="741">
        <v>0</v>
      </c>
      <c r="R146" s="12"/>
      <c r="S146" s="12"/>
      <c r="T146" s="26"/>
      <c r="U146" s="339"/>
    </row>
    <row r="147" spans="1:23" ht="12.75" customHeight="1">
      <c r="A147" s="730" t="s">
        <v>103</v>
      </c>
      <c r="B147" s="411">
        <f>Assumptions!$E$30</f>
        <v>6</v>
      </c>
      <c r="C147" s="739">
        <f>-B147*(E128/6)</f>
        <v>3160908.5625</v>
      </c>
      <c r="F147" s="12"/>
      <c r="G147" s="730" t="s">
        <v>103</v>
      </c>
      <c r="H147" s="411">
        <f>Assumptions!$E$30</f>
        <v>6</v>
      </c>
      <c r="I147" s="739">
        <f>-H147*(K128/6)</f>
        <v>0</v>
      </c>
      <c r="L147" s="12"/>
      <c r="M147" s="730" t="s">
        <v>103</v>
      </c>
      <c r="N147" s="411">
        <f>Assumptions!$E$30</f>
        <v>6</v>
      </c>
      <c r="O147" s="739">
        <f>-N147*(Q128/6)</f>
        <v>0</v>
      </c>
      <c r="R147" s="12"/>
      <c r="S147" s="12"/>
      <c r="T147" s="343"/>
      <c r="U147" s="286"/>
    </row>
    <row r="148" spans="1:23" ht="12.75" customHeight="1">
      <c r="A148" s="730" t="s">
        <v>106</v>
      </c>
      <c r="B148" s="742">
        <f>Assumptions!$E$31</f>
        <v>30</v>
      </c>
      <c r="C148" s="739">
        <f>B148*SUM(C93,C97)</f>
        <v>7024241.25</v>
      </c>
      <c r="G148" s="730" t="s">
        <v>106</v>
      </c>
      <c r="H148" s="742">
        <f>Assumptions!$E$31</f>
        <v>30</v>
      </c>
      <c r="I148" s="739">
        <f>H148*SUM(I93,I97)</f>
        <v>0</v>
      </c>
      <c r="L148" s="12"/>
      <c r="M148" s="730" t="s">
        <v>106</v>
      </c>
      <c r="N148" s="742">
        <f>Assumptions!$E$31</f>
        <v>30</v>
      </c>
      <c r="O148" s="739">
        <f>N148*SUM(O93,O97)</f>
        <v>0</v>
      </c>
      <c r="R148" s="12"/>
      <c r="S148" s="12"/>
      <c r="T148" s="303"/>
      <c r="U148" s="286"/>
    </row>
    <row r="149" spans="1:23" ht="12.75" customHeight="1">
      <c r="A149" s="730" t="s">
        <v>403</v>
      </c>
      <c r="B149" s="563">
        <f>Assumptions!$E$32</f>
        <v>0.03</v>
      </c>
      <c r="C149" s="731">
        <f>B149*SUM(E93,E97)</f>
        <v>316090.85625000001</v>
      </c>
      <c r="G149" s="730" t="s">
        <v>403</v>
      </c>
      <c r="H149" s="563">
        <f>Assumptions!$E$32</f>
        <v>0.03</v>
      </c>
      <c r="I149" s="731">
        <f>H149*SUM(K93,K97)</f>
        <v>0</v>
      </c>
      <c r="M149" s="730" t="s">
        <v>403</v>
      </c>
      <c r="N149" s="563">
        <f>Assumptions!$E$32</f>
        <v>0.03</v>
      </c>
      <c r="O149" s="731">
        <f>N149*SUM(Q93,Q97)</f>
        <v>0</v>
      </c>
      <c r="S149" s="12"/>
      <c r="T149" s="344"/>
      <c r="U149" s="345"/>
    </row>
    <row r="150" spans="1:23" ht="12.75" customHeight="1">
      <c r="A150" s="730" t="s">
        <v>112</v>
      </c>
      <c r="B150" s="732">
        <f>Assumptions!$E$33</f>
        <v>1.4999999999999999E-2</v>
      </c>
      <c r="C150" s="733">
        <f>B150*SUM(C138:C149,C135,C152,C153)</f>
        <v>635019.18598125014</v>
      </c>
      <c r="D150" s="18"/>
      <c r="E150" s="18"/>
      <c r="G150" s="730" t="s">
        <v>112</v>
      </c>
      <c r="H150" s="732">
        <f>Assumptions!$E$33</f>
        <v>1.4999999999999999E-2</v>
      </c>
      <c r="I150" s="733">
        <f>H150*SUM(I138:I149,I135,I152,I153)</f>
        <v>0</v>
      </c>
      <c r="J150" s="18"/>
      <c r="K150" s="18"/>
      <c r="M150" s="730" t="s">
        <v>112</v>
      </c>
      <c r="N150" s="732">
        <f>Assumptions!$E$33</f>
        <v>1.4999999999999999E-2</v>
      </c>
      <c r="O150" s="733">
        <f>N150*SUM(O138:O149,O135,O152,O153)</f>
        <v>0</v>
      </c>
      <c r="P150" s="18"/>
      <c r="Q150" s="18"/>
      <c r="S150" s="12"/>
      <c r="T150" s="346"/>
      <c r="U150" s="339"/>
      <c r="V150" s="347"/>
      <c r="W150" s="347"/>
    </row>
    <row r="151" spans="1:23" ht="12.75" customHeight="1">
      <c r="A151" s="730" t="s">
        <v>165</v>
      </c>
      <c r="B151" s="732" t="s">
        <v>468</v>
      </c>
      <c r="C151" s="733">
        <f>IF(C133=0,0,-INDEX('Development Program'!$C$30:$L$37,8,MATCH($D$2,'Development Program'!$C$30:$L$30,0))/INDEX('Development Program'!$L$9:$M$18,MATCH($D$2,'Development Program'!$L$9:$L$18,0),2))</f>
        <v>-3500000</v>
      </c>
      <c r="D151" s="18"/>
      <c r="E151" s="18"/>
      <c r="G151" s="730" t="s">
        <v>165</v>
      </c>
      <c r="H151" s="732" t="s">
        <v>468</v>
      </c>
      <c r="I151" s="733">
        <f>IF(I133=0,0,-INDEX('Development Program'!$C$30:$L$37,8,MATCH($D$2,'Development Program'!$C$30:$L$30,0))/INDEX('Development Program'!$L$9:$M$18,MATCH($D$2,'Development Program'!$L$9:$L$18,0),2))</f>
        <v>0</v>
      </c>
      <c r="J151" s="18"/>
      <c r="K151" s="18"/>
      <c r="M151" s="730" t="s">
        <v>165</v>
      </c>
      <c r="N151" s="732" t="s">
        <v>468</v>
      </c>
      <c r="O151" s="733">
        <f>IF(O133=0,0,-INDEX('Development Program'!$C$30:$L$37,8,MATCH($D$2,'Development Program'!$C$30:$L$30,0))/INDEX('Development Program'!$L$9:$M$18,MATCH($D$2,'Development Program'!$L$9:$L$18,0),2))</f>
        <v>0</v>
      </c>
      <c r="P151" s="18"/>
      <c r="Q151" s="18"/>
      <c r="S151" s="12"/>
      <c r="T151" s="346"/>
      <c r="U151" s="339"/>
      <c r="V151" s="347"/>
      <c r="W151" s="347"/>
    </row>
    <row r="152" spans="1:23" ht="12.75" customHeight="1">
      <c r="A152" s="426" t="s">
        <v>38</v>
      </c>
      <c r="B152" s="732">
        <f>Assumptions!$L$5</f>
        <v>5.0000000000000001E-3</v>
      </c>
      <c r="C152" s="741">
        <v>465000</v>
      </c>
      <c r="D152" s="18">
        <f>C152/B$157</f>
        <v>4.9042631881187973E-3</v>
      </c>
      <c r="E152" s="18"/>
      <c r="G152" s="426" t="s">
        <v>38</v>
      </c>
      <c r="H152" s="732">
        <f>Assumptions!$L$5</f>
        <v>5.0000000000000001E-3</v>
      </c>
      <c r="I152" s="741">
        <v>0</v>
      </c>
      <c r="J152" s="18" t="e">
        <f>I152/H$157</f>
        <v>#DIV/0!</v>
      </c>
      <c r="K152" s="18"/>
      <c r="M152" s="426" t="s">
        <v>38</v>
      </c>
      <c r="N152" s="732">
        <f>Assumptions!$L$5</f>
        <v>5.0000000000000001E-3</v>
      </c>
      <c r="O152" s="741">
        <v>0</v>
      </c>
      <c r="P152" s="18" t="e">
        <f>O152/N$157</f>
        <v>#DIV/0!</v>
      </c>
      <c r="Q152" s="18"/>
      <c r="S152" s="12"/>
      <c r="T152" s="346"/>
      <c r="U152" s="339"/>
      <c r="V152" s="347"/>
      <c r="W152" s="347"/>
    </row>
    <row r="153" spans="1:23" ht="12.75" customHeight="1">
      <c r="A153" s="426" t="s">
        <v>407</v>
      </c>
      <c r="B153" s="732">
        <f>Assumptions!$L$4</f>
        <v>0.08</v>
      </c>
      <c r="C153" s="741">
        <v>7585000</v>
      </c>
      <c r="D153" s="18">
        <f>C153/B$157</f>
        <v>7.9997497380389415E-2</v>
      </c>
      <c r="E153" s="18"/>
      <c r="G153" s="426" t="s">
        <v>407</v>
      </c>
      <c r="H153" s="732">
        <f>Assumptions!$L$4</f>
        <v>0.08</v>
      </c>
      <c r="I153" s="741">
        <v>0</v>
      </c>
      <c r="J153" s="18" t="e">
        <f>I153/H$157</f>
        <v>#DIV/0!</v>
      </c>
      <c r="K153" s="18"/>
      <c r="M153" s="426" t="s">
        <v>407</v>
      </c>
      <c r="N153" s="732">
        <f>Assumptions!$L$4</f>
        <v>0.08</v>
      </c>
      <c r="O153" s="741">
        <v>0</v>
      </c>
      <c r="P153" s="18" t="e">
        <f>O153/N$157</f>
        <v>#DIV/0!</v>
      </c>
      <c r="Q153" s="18"/>
      <c r="S153" s="12"/>
      <c r="T153" s="346"/>
      <c r="U153" s="339"/>
      <c r="V153" s="347"/>
      <c r="W153" s="347"/>
    </row>
    <row r="154" spans="1:23" ht="12.75" customHeight="1">
      <c r="A154" s="743" t="s">
        <v>408</v>
      </c>
      <c r="B154" s="744"/>
      <c r="C154" s="745">
        <f>SUM(C133:C153)</f>
        <v>182337434.78473121</v>
      </c>
      <c r="D154" s="18"/>
      <c r="E154" s="18"/>
      <c r="G154" s="743" t="s">
        <v>408</v>
      </c>
      <c r="H154" s="744"/>
      <c r="I154" s="745">
        <f>SUM(I133:I153)</f>
        <v>0</v>
      </c>
      <c r="J154" s="18"/>
      <c r="K154" s="18"/>
      <c r="M154" s="743" t="s">
        <v>408</v>
      </c>
      <c r="N154" s="744"/>
      <c r="O154" s="745">
        <f>SUM(O133:O153)</f>
        <v>0</v>
      </c>
      <c r="P154" s="18"/>
      <c r="Q154" s="18"/>
    </row>
    <row r="155" spans="1:23" ht="12.75" customHeight="1" thickBot="1">
      <c r="A155" s="328"/>
      <c r="C155" s="167"/>
      <c r="D155" s="746"/>
      <c r="E155" s="18"/>
      <c r="G155" s="328"/>
      <c r="I155" s="167"/>
      <c r="J155" s="746"/>
      <c r="K155" s="18"/>
      <c r="M155" s="328"/>
      <c r="O155" s="167"/>
      <c r="P155" s="746"/>
      <c r="Q155" s="18"/>
    </row>
    <row r="156" spans="1:23" ht="12.75" customHeight="1">
      <c r="A156" s="1021" t="s">
        <v>23</v>
      </c>
      <c r="B156" s="1022"/>
      <c r="C156" s="167"/>
      <c r="D156" s="18"/>
      <c r="E156" s="18"/>
      <c r="G156" s="1021" t="s">
        <v>23</v>
      </c>
      <c r="H156" s="1022"/>
      <c r="I156" s="167"/>
      <c r="J156" s="18"/>
      <c r="K156" s="18"/>
      <c r="M156" s="1021" t="s">
        <v>23</v>
      </c>
      <c r="N156" s="1022"/>
      <c r="O156" s="167"/>
      <c r="P156" s="18"/>
      <c r="Q156" s="18"/>
    </row>
    <row r="157" spans="1:23" ht="12.75" customHeight="1">
      <c r="A157" s="840">
        <f>IFERROR(INDEX(Assumptions!$J$11:$L$23,MATCH('3-G Financial'!B$34,Assumptions!$J$11:$J$23,0),3),0)</f>
        <v>0.52</v>
      </c>
      <c r="B157" s="747">
        <f>C154*A157</f>
        <v>94815466.08806023</v>
      </c>
      <c r="C157" s="167"/>
      <c r="D157" s="18"/>
      <c r="E157" s="18"/>
      <c r="G157" s="840">
        <f>IFERROR(INDEX(Assumptions!$J$11:$L$23,MATCH('3-G Financial'!H$34,Assumptions!$J$11:$J$23,0),3),0)</f>
        <v>0</v>
      </c>
      <c r="H157" s="747">
        <f>I154*G157</f>
        <v>0</v>
      </c>
      <c r="I157" s="167"/>
      <c r="J157" s="18"/>
      <c r="K157" s="18"/>
      <c r="M157" s="840">
        <f>IFERROR(INDEX(Assumptions!$J$11:$L$23,MATCH('3-G Financial'!N$34,Assumptions!$J$11:$J$23,0),3),0)</f>
        <v>0</v>
      </c>
      <c r="N157" s="747">
        <f>O154*M157</f>
        <v>0</v>
      </c>
      <c r="O157" s="167"/>
      <c r="P157" s="18"/>
      <c r="Q157" s="18"/>
    </row>
    <row r="158" spans="1:23" ht="12.75" customHeight="1">
      <c r="A158" s="841">
        <f>1-A157</f>
        <v>0.48</v>
      </c>
      <c r="B158" s="747">
        <f>C154*A158</f>
        <v>87521968.696670979</v>
      </c>
      <c r="C158" s="167"/>
      <c r="D158" s="18"/>
      <c r="E158" s="18"/>
      <c r="G158" s="841">
        <f>1-G157</f>
        <v>1</v>
      </c>
      <c r="H158" s="747">
        <f>I154*G158</f>
        <v>0</v>
      </c>
      <c r="I158" s="167"/>
      <c r="J158" s="18"/>
      <c r="K158" s="18"/>
      <c r="M158" s="841">
        <f>1-M157</f>
        <v>1</v>
      </c>
      <c r="N158" s="747">
        <f>O154*M158</f>
        <v>0</v>
      </c>
      <c r="O158" s="167"/>
      <c r="P158" s="18"/>
      <c r="Q158" s="18"/>
    </row>
    <row r="159" spans="1:23" ht="12.75" customHeight="1" thickBot="1">
      <c r="S159" s="12"/>
      <c r="T159" s="349"/>
      <c r="U159" s="339"/>
      <c r="V159" s="347"/>
      <c r="W159" s="347"/>
    </row>
    <row r="160" spans="1:23" ht="13.5" thickBot="1">
      <c r="A160" s="1021" t="s">
        <v>469</v>
      </c>
      <c r="B160" s="1022"/>
      <c r="D160" s="18"/>
      <c r="G160" s="1021" t="s">
        <v>469</v>
      </c>
      <c r="H160" s="1022"/>
      <c r="J160" s="18"/>
      <c r="M160" s="1021" t="s">
        <v>469</v>
      </c>
      <c r="N160" s="1022"/>
      <c r="P160" s="18"/>
      <c r="S160" s="328"/>
      <c r="U160" s="167"/>
    </row>
    <row r="161" spans="1:22" ht="13.5" thickBot="1">
      <c r="A161" s="565" t="s">
        <v>470</v>
      </c>
      <c r="B161" s="566"/>
      <c r="C161" s="12"/>
      <c r="D161" s="346"/>
      <c r="E161" s="339"/>
      <c r="G161" s="565" t="s">
        <v>470</v>
      </c>
      <c r="H161" s="566"/>
      <c r="I161" s="12"/>
      <c r="J161" s="12"/>
      <c r="K161" s="346"/>
      <c r="L161" s="339"/>
      <c r="M161" s="565" t="s">
        <v>470</v>
      </c>
      <c r="N161" s="566"/>
      <c r="O161" s="12"/>
      <c r="P161" s="12"/>
      <c r="Q161" s="346"/>
      <c r="R161" s="339"/>
      <c r="S161" s="274"/>
      <c r="T161" s="274"/>
      <c r="V161" s="347"/>
    </row>
    <row r="162" spans="1:22" ht="12.95">
      <c r="A162" s="358" t="s">
        <v>471</v>
      </c>
      <c r="B162" s="359">
        <f>E63+E80+E101</f>
        <v>0</v>
      </c>
      <c r="D162" s="281"/>
      <c r="G162" s="358" t="s">
        <v>471</v>
      </c>
      <c r="H162" s="359">
        <f>K63+K80+K101</f>
        <v>0</v>
      </c>
      <c r="J162" s="281"/>
      <c r="M162" s="358" t="s">
        <v>471</v>
      </c>
      <c r="N162" s="359">
        <f>Q63+Q80+Q101</f>
        <v>0</v>
      </c>
      <c r="P162" s="281"/>
      <c r="S162" s="137"/>
      <c r="T162" s="281"/>
      <c r="V162" s="129"/>
    </row>
    <row r="163" spans="1:22" ht="12.95">
      <c r="A163" s="479">
        <v>0.03</v>
      </c>
      <c r="B163" s="480">
        <f>-B162*A163</f>
        <v>0</v>
      </c>
      <c r="D163" s="167"/>
      <c r="G163" s="479">
        <v>0.03</v>
      </c>
      <c r="H163" s="480">
        <f>-H162*G163</f>
        <v>0</v>
      </c>
      <c r="J163" s="167"/>
      <c r="M163" s="479">
        <v>0.03</v>
      </c>
      <c r="N163" s="480">
        <f>-N162*M163</f>
        <v>0</v>
      </c>
      <c r="P163" s="167"/>
      <c r="S163" s="277"/>
      <c r="T163" s="288"/>
      <c r="V163" s="281"/>
    </row>
    <row r="164" spans="1:22" ht="13.5" thickBot="1">
      <c r="A164" s="414" t="s">
        <v>472</v>
      </c>
      <c r="B164" s="481">
        <f>SUM(B162:B163)</f>
        <v>0</v>
      </c>
      <c r="G164" s="414" t="s">
        <v>472</v>
      </c>
      <c r="H164" s="481">
        <f>SUM(H162:H163)</f>
        <v>0</v>
      </c>
      <c r="M164" s="414" t="s">
        <v>472</v>
      </c>
      <c r="N164" s="481">
        <f>SUM(N162:N163)</f>
        <v>0</v>
      </c>
      <c r="S164" s="280"/>
      <c r="T164" s="350"/>
      <c r="V164" s="167"/>
    </row>
    <row r="165" spans="1:22" ht="13.5" thickBot="1">
      <c r="A165" s="1023" t="s">
        <v>473</v>
      </c>
      <c r="B165" s="1024"/>
      <c r="G165" s="1023" t="s">
        <v>473</v>
      </c>
      <c r="H165" s="1024"/>
      <c r="M165" s="1023" t="s">
        <v>473</v>
      </c>
      <c r="N165" s="1024"/>
      <c r="S165" s="277"/>
      <c r="T165" s="351"/>
    </row>
    <row r="166" spans="1:22" ht="12.95">
      <c r="A166" s="360" t="s">
        <v>474</v>
      </c>
      <c r="B166" s="567">
        <f>IFERROR(INDEX(Assumptions!$J$64:$L$76,MATCH('3-G Financial'!B$34,Assumptions!$J$64:$J$76,0),3),0)</f>
        <v>0.06</v>
      </c>
      <c r="G166" s="360" t="s">
        <v>474</v>
      </c>
      <c r="H166" s="567">
        <f>IFERROR(INDEX(Assumptions!$J$64:$L$76,MATCH('3-G Financial'!H$34,Assumptions!$J$64:$J$76,0),3),0)</f>
        <v>0</v>
      </c>
      <c r="M166" s="360" t="s">
        <v>474</v>
      </c>
      <c r="N166" s="567">
        <f>IFERROR(INDEX(Assumptions!$J$64:$L$76,MATCH('3-G Financial'!N$34,Assumptions!$J$64:$J$76,0),3),0)</f>
        <v>0</v>
      </c>
      <c r="S166" s="277"/>
      <c r="T166" s="351"/>
    </row>
    <row r="167" spans="1:22" ht="12.95">
      <c r="A167" s="482" t="s">
        <v>475</v>
      </c>
      <c r="B167" s="483">
        <f>IFERROR(E$129/B$166,0)</f>
        <v>141181951.25</v>
      </c>
      <c r="C167" s="279"/>
      <c r="G167" s="482" t="s">
        <v>475</v>
      </c>
      <c r="H167" s="483">
        <f>IFERROR(K$129/H$166,0)</f>
        <v>0</v>
      </c>
      <c r="I167" s="279"/>
      <c r="M167" s="482" t="s">
        <v>475</v>
      </c>
      <c r="N167" s="483">
        <f>IFERROR(Q$129/N$166,0)</f>
        <v>0</v>
      </c>
      <c r="O167" s="279"/>
      <c r="S167" s="277"/>
      <c r="T167" s="351"/>
    </row>
    <row r="168" spans="1:22" ht="12.95">
      <c r="A168" s="408" t="s">
        <v>476</v>
      </c>
      <c r="B168" s="484">
        <f>IFERROR(B166-1%,0)</f>
        <v>4.9999999999999996E-2</v>
      </c>
      <c r="C168" s="288"/>
      <c r="F168" s="18"/>
      <c r="G168" s="408" t="s">
        <v>476</v>
      </c>
      <c r="H168" s="484">
        <f>IFERROR(H166-1%,0)</f>
        <v>-0.01</v>
      </c>
      <c r="I168" s="288"/>
      <c r="L168" s="18"/>
      <c r="M168" s="408" t="s">
        <v>476</v>
      </c>
      <c r="N168" s="484">
        <f>IFERROR(N166-1%,0)</f>
        <v>-0.01</v>
      </c>
      <c r="O168" s="288"/>
      <c r="R168" s="18"/>
      <c r="S168" s="352"/>
      <c r="T168" s="281"/>
    </row>
    <row r="169" spans="1:22" ht="12.95">
      <c r="A169" s="408" t="s">
        <v>127</v>
      </c>
      <c r="B169" s="872">
        <f>IFERROR(INDEX(Assumptions!$J$48:$L$60,MATCH('3-G Financial'!B$34,Assumptions!$J$48:$J$60,0),3),0)</f>
        <v>0.04</v>
      </c>
      <c r="F169" s="18"/>
      <c r="G169" s="408" t="s">
        <v>127</v>
      </c>
      <c r="H169" s="872">
        <f>IFERROR(INDEX(Assumptions!$J$48:$L$60,MATCH('3-G Financial'!H$34,Assumptions!$J$48:$J$60,0),3),0)</f>
        <v>0</v>
      </c>
      <c r="L169" s="18"/>
      <c r="M169" s="408" t="s">
        <v>127</v>
      </c>
      <c r="N169" s="872">
        <f>IFERROR(INDEX(Assumptions!$J$48:$L$60,MATCH('3-G Financial'!N$34,Assumptions!$J$48:$J$60,0),3),0)</f>
        <v>0</v>
      </c>
      <c r="R169" s="18"/>
      <c r="S169" s="352"/>
      <c r="T169" s="281"/>
    </row>
    <row r="170" spans="1:22" ht="12.95">
      <c r="A170" s="408" t="s">
        <v>125</v>
      </c>
      <c r="B170" s="485">
        <f>Assumptions!$L$41</f>
        <v>5</v>
      </c>
      <c r="D170" s="279"/>
      <c r="F170" s="18"/>
      <c r="G170" s="408" t="s">
        <v>125</v>
      </c>
      <c r="H170" s="485">
        <f>Assumptions!$L$41</f>
        <v>5</v>
      </c>
      <c r="J170" s="279"/>
      <c r="L170" s="18"/>
      <c r="M170" s="408" t="s">
        <v>125</v>
      </c>
      <c r="N170" s="485">
        <f>Assumptions!$L$41</f>
        <v>5</v>
      </c>
      <c r="P170" s="279"/>
      <c r="R170" s="18"/>
      <c r="S170" s="352"/>
      <c r="T170" s="281"/>
    </row>
    <row r="171" spans="1:22" ht="12.95">
      <c r="A171" s="408" t="s">
        <v>386</v>
      </c>
      <c r="B171" s="419">
        <f>(E$129*(1+B$169)^(B$170+1))</f>
        <v>10718412.479100009</v>
      </c>
      <c r="D171" s="279"/>
      <c r="F171" s="18"/>
      <c r="G171" s="408" t="s">
        <v>386</v>
      </c>
      <c r="H171" s="419">
        <f>(K$129*(1+H$169)^(H$170+1))</f>
        <v>0</v>
      </c>
      <c r="J171" s="279"/>
      <c r="L171" s="18"/>
      <c r="M171" s="408" t="s">
        <v>386</v>
      </c>
      <c r="N171" s="419">
        <f>(Q$129*(1+N$169)^(N$170+1))</f>
        <v>0</v>
      </c>
      <c r="P171" s="279"/>
      <c r="R171" s="18"/>
      <c r="S171" s="352"/>
      <c r="T171" s="281"/>
    </row>
    <row r="172" spans="1:22" ht="12.95">
      <c r="A172" s="418" t="s">
        <v>477</v>
      </c>
      <c r="B172" s="483">
        <f>IFERROR(B171/B$168,0)</f>
        <v>214368249.5820002</v>
      </c>
      <c r="C172" s="357"/>
      <c r="D172" s="279"/>
      <c r="F172" s="18"/>
      <c r="G172" s="418" t="s">
        <v>477</v>
      </c>
      <c r="H172" s="483">
        <f>IFERROR(H171/H$168,0)</f>
        <v>0</v>
      </c>
      <c r="I172" s="357"/>
      <c r="J172" s="279"/>
      <c r="L172" s="18"/>
      <c r="M172" s="418" t="s">
        <v>477</v>
      </c>
      <c r="N172" s="483">
        <f>IFERROR(N171/N$168,0)</f>
        <v>0</v>
      </c>
      <c r="O172" s="357"/>
      <c r="P172" s="279"/>
      <c r="R172" s="18"/>
      <c r="S172" s="352"/>
      <c r="T172" s="281"/>
    </row>
    <row r="173" spans="1:22" ht="12.95">
      <c r="A173" s="412" t="s">
        <v>471</v>
      </c>
      <c r="B173" s="486">
        <f>B172</f>
        <v>214368249.5820002</v>
      </c>
      <c r="F173" s="18"/>
      <c r="G173" s="412" t="s">
        <v>471</v>
      </c>
      <c r="H173" s="486">
        <f>H172</f>
        <v>0</v>
      </c>
      <c r="L173" s="18"/>
      <c r="M173" s="412" t="s">
        <v>471</v>
      </c>
      <c r="N173" s="486">
        <f>N172</f>
        <v>0</v>
      </c>
      <c r="R173" s="18"/>
      <c r="S173" s="352"/>
      <c r="T173" s="281"/>
    </row>
    <row r="174" spans="1:22" ht="12.95">
      <c r="A174" s="479">
        <v>0.03</v>
      </c>
      <c r="B174" s="413">
        <f>-A$174*B$167</f>
        <v>-4235458.5374999996</v>
      </c>
      <c r="D174" s="167"/>
      <c r="G174" s="479">
        <v>0.03</v>
      </c>
      <c r="H174" s="413">
        <f>-G$174*H$167</f>
        <v>0</v>
      </c>
      <c r="J174" s="167"/>
      <c r="M174" s="479">
        <v>0.03</v>
      </c>
      <c r="N174" s="413">
        <f>-M$174*N$167</f>
        <v>0</v>
      </c>
      <c r="P174" s="167"/>
      <c r="S174" s="353"/>
      <c r="T174" s="283"/>
    </row>
    <row r="175" spans="1:22" ht="13.5" thickBot="1">
      <c r="A175" s="414" t="s">
        <v>472</v>
      </c>
      <c r="B175" s="415">
        <f>SUM(B173:B174)</f>
        <v>210132791.0445002</v>
      </c>
      <c r="D175" s="283"/>
      <c r="E175" s="274"/>
      <c r="G175" s="414" t="s">
        <v>472</v>
      </c>
      <c r="H175" s="415">
        <f>SUM(H173:H174)</f>
        <v>0</v>
      </c>
      <c r="J175" s="283"/>
      <c r="K175" s="274"/>
      <c r="M175" s="414" t="s">
        <v>472</v>
      </c>
      <c r="N175" s="415">
        <f>SUM(N173:N174)</f>
        <v>0</v>
      </c>
      <c r="P175" s="283"/>
      <c r="Q175" s="274"/>
      <c r="S175" s="277"/>
      <c r="T175" s="288"/>
      <c r="V175" s="167"/>
    </row>
    <row r="176" spans="1:22" ht="13.5" thickBot="1">
      <c r="A176" s="1023" t="s">
        <v>478</v>
      </c>
      <c r="B176" s="566"/>
      <c r="D176" s="276"/>
      <c r="G176" s="1023" t="s">
        <v>478</v>
      </c>
      <c r="H176" s="566"/>
      <c r="J176" s="276"/>
      <c r="M176" s="1023" t="s">
        <v>478</v>
      </c>
      <c r="N176" s="566"/>
      <c r="P176" s="276"/>
      <c r="S176" s="280"/>
      <c r="T176" s="278"/>
    </row>
    <row r="177" spans="1:23" ht="12.95">
      <c r="A177" s="291" t="s">
        <v>479</v>
      </c>
      <c r="B177" s="292">
        <f>B162+B173</f>
        <v>214368249.5820002</v>
      </c>
      <c r="G177" s="291" t="s">
        <v>479</v>
      </c>
      <c r="H177" s="292">
        <f>H162+H173</f>
        <v>0</v>
      </c>
      <c r="M177" s="291" t="s">
        <v>479</v>
      </c>
      <c r="N177" s="292">
        <f>N162+N173</f>
        <v>0</v>
      </c>
      <c r="S177" s="277"/>
      <c r="T177" s="302"/>
      <c r="V177" s="276"/>
    </row>
    <row r="178" spans="1:23" ht="12.95">
      <c r="A178" s="418" t="s">
        <v>480</v>
      </c>
      <c r="B178" s="486">
        <f>SUM(B164,B175)</f>
        <v>210132791.0445002</v>
      </c>
      <c r="G178" s="418" t="s">
        <v>480</v>
      </c>
      <c r="H178" s="486">
        <f>SUM(H164,H175)</f>
        <v>0</v>
      </c>
      <c r="M178" s="418" t="s">
        <v>480</v>
      </c>
      <c r="N178" s="486">
        <f>SUM(N164,N175)</f>
        <v>0</v>
      </c>
      <c r="S178" s="277"/>
      <c r="T178" s="302"/>
      <c r="V178" s="276"/>
    </row>
    <row r="179" spans="1:23" ht="13.5" thickBot="1">
      <c r="A179" s="416" t="s">
        <v>481</v>
      </c>
      <c r="B179" s="417">
        <f>SUM(B178:B178)</f>
        <v>210132791.0445002</v>
      </c>
      <c r="G179" s="416" t="s">
        <v>481</v>
      </c>
      <c r="H179" s="417">
        <f>SUM(H178:H178)</f>
        <v>0</v>
      </c>
      <c r="M179" s="416" t="s">
        <v>481</v>
      </c>
      <c r="N179" s="417">
        <f>SUM(N178:N178)</f>
        <v>0</v>
      </c>
      <c r="S179" s="277"/>
      <c r="T179" s="302"/>
      <c r="V179" s="276"/>
    </row>
    <row r="180" spans="1:23" ht="23.25" customHeight="1">
      <c r="G180" s="284"/>
      <c r="H180" s="287"/>
      <c r="M180" s="284"/>
      <c r="N180" s="287"/>
      <c r="S180" s="283"/>
      <c r="T180" s="287"/>
      <c r="V180" s="276"/>
      <c r="W180" s="275"/>
    </row>
    <row r="181" spans="1:23" ht="23.25" customHeight="1">
      <c r="G181" s="355"/>
      <c r="H181" s="354"/>
      <c r="M181" s="355"/>
      <c r="N181" s="354"/>
      <c r="S181" s="284"/>
      <c r="T181" s="287"/>
    </row>
    <row r="182" spans="1:23" ht="23.25" customHeight="1">
      <c r="D182" s="277"/>
      <c r="G182" s="356"/>
      <c r="H182" s="288"/>
      <c r="J182" s="277"/>
      <c r="M182" s="356"/>
      <c r="N182" s="288"/>
      <c r="P182" s="277"/>
      <c r="S182" s="355"/>
      <c r="T182" s="354"/>
    </row>
  </sheetData>
  <mergeCells count="9">
    <mergeCell ref="A118:E118"/>
    <mergeCell ref="G118:K118"/>
    <mergeCell ref="M118:Q118"/>
    <mergeCell ref="S118:W118"/>
    <mergeCell ref="D2:E2"/>
    <mergeCell ref="B116:C116"/>
    <mergeCell ref="H116:I116"/>
    <mergeCell ref="N116:O116"/>
    <mergeCell ref="T116:U116"/>
  </mergeCells>
  <conditionalFormatting sqref="C49 C66">
    <cfRule type="expression" dxfId="55" priority="8">
      <formula>C55&gt;D48</formula>
    </cfRule>
  </conditionalFormatting>
  <conditionalFormatting sqref="C58 C75 C83">
    <cfRule type="expression" dxfId="54" priority="7">
      <formula>C63&gt;D57</formula>
    </cfRule>
  </conditionalFormatting>
  <conditionalFormatting sqref="I49 I66">
    <cfRule type="expression" dxfId="53" priority="4">
      <formula>I55&gt;J48</formula>
    </cfRule>
  </conditionalFormatting>
  <conditionalFormatting sqref="I58 I75 I83">
    <cfRule type="expression" dxfId="52" priority="3">
      <formula>I63&gt;J57</formula>
    </cfRule>
  </conditionalFormatting>
  <conditionalFormatting sqref="O49 O66">
    <cfRule type="expression" dxfId="51" priority="2">
      <formula>O55&gt;P48</formula>
    </cfRule>
  </conditionalFormatting>
  <conditionalFormatting sqref="O58 O75 O83">
    <cfRule type="expression" dxfId="50" priority="1">
      <formula>O63&gt;P57</formula>
    </cfRule>
  </conditionalFormatting>
  <conditionalFormatting sqref="U49 U66">
    <cfRule type="expression" dxfId="49" priority="6">
      <formula>U55&gt;V48</formula>
    </cfRule>
  </conditionalFormatting>
  <conditionalFormatting sqref="U58 U75 U83">
    <cfRule type="expression" dxfId="48" priority="5">
      <formula>U63&gt;V57</formula>
    </cfRule>
  </conditionalFormatting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1" manualBreakCount="1">
    <brk id="111" max="4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E660E-CA22-47EA-BBDD-D387BD917363}">
  <sheetPr>
    <tabColor theme="2" tint="-9.9978637043366805E-2"/>
  </sheetPr>
  <dimension ref="A1:CI185"/>
  <sheetViews>
    <sheetView zoomScale="85" zoomScaleNormal="85" zoomScalePageLayoutView="125" workbookViewId="0">
      <pane xSplit="1" ySplit="9" topLeftCell="U36" activePane="bottomRight" state="frozen"/>
      <selection pane="bottomRight" activeCell="U48" sqref="U48"/>
      <selection pane="bottomLeft" activeCell="Y9" sqref="Y9"/>
      <selection pane="topRight" activeCell="Y9" sqref="Y9"/>
    </sheetView>
  </sheetViews>
  <sheetFormatPr defaultColWidth="8.85546875" defaultRowHeight="14.1"/>
  <cols>
    <col min="1" max="1" width="44" style="207" bestFit="1" customWidth="1"/>
    <col min="2" max="2" width="42.5703125" style="208" customWidth="1"/>
    <col min="3" max="4" width="17.85546875" style="207" hidden="1" customWidth="1"/>
    <col min="5" max="43" width="17.85546875" style="207" customWidth="1"/>
    <col min="44" max="44" width="17.85546875" style="208" customWidth="1"/>
    <col min="45" max="58" width="17.5703125" style="207" customWidth="1"/>
    <col min="59" max="59" width="20.42578125" style="207" customWidth="1"/>
    <col min="60" max="84" width="17" style="207" customWidth="1"/>
    <col min="85" max="85" width="16.42578125" style="207" customWidth="1"/>
    <col min="86" max="86" width="15" style="209" customWidth="1"/>
    <col min="87" max="87" width="17.85546875" style="209" bestFit="1" customWidth="1"/>
    <col min="88" max="88" width="9.42578125" style="207" bestFit="1" customWidth="1"/>
    <col min="89" max="89" width="11.85546875" style="207" bestFit="1" customWidth="1"/>
    <col min="90" max="91" width="9.42578125" style="207" bestFit="1" customWidth="1"/>
    <col min="92" max="16384" width="8.85546875" style="207"/>
  </cols>
  <sheetData>
    <row r="1" spans="1:87" ht="20.25" customHeight="1"/>
    <row r="2" spans="1:87" s="488" customFormat="1" ht="20.25" customHeight="1">
      <c r="A2" s="1081" t="str">
        <f>'3-G Financial'!D2</f>
        <v>3-G</v>
      </c>
      <c r="B2" s="775"/>
      <c r="C2" s="1092"/>
      <c r="D2" s="1092"/>
      <c r="E2" s="1082" t="str">
        <f>'Development Program'!C65</f>
        <v>Pre-Development</v>
      </c>
      <c r="F2" s="1083"/>
      <c r="G2" s="1083"/>
      <c r="H2" s="1082" t="str">
        <f>'Development Program'!F65</f>
        <v>Construction</v>
      </c>
      <c r="I2" s="1083"/>
      <c r="J2" s="1083"/>
      <c r="K2" s="1082" t="str">
        <f>'Development Program'!I65</f>
        <v>Close-Out</v>
      </c>
      <c r="L2" s="1083"/>
      <c r="M2" s="1084"/>
      <c r="N2" s="420" t="s">
        <v>202</v>
      </c>
      <c r="O2" s="1092"/>
      <c r="P2" s="1092"/>
      <c r="Q2" s="1092"/>
      <c r="R2" s="1092"/>
      <c r="S2" s="1092"/>
      <c r="T2" s="1092"/>
      <c r="U2" s="1092"/>
      <c r="V2" s="1092"/>
      <c r="W2" s="1092"/>
      <c r="X2" s="1092"/>
      <c r="Y2" s="1092"/>
      <c r="Z2" s="1092"/>
      <c r="AA2" s="1092"/>
      <c r="AB2" s="1092"/>
      <c r="AC2" s="1092"/>
      <c r="AD2" s="1092"/>
      <c r="AE2" s="1092"/>
      <c r="AF2" s="1092"/>
      <c r="AG2" s="1092"/>
      <c r="AH2" s="1092"/>
      <c r="AI2" s="1092"/>
      <c r="AJ2" s="1092"/>
      <c r="AK2" s="1092"/>
      <c r="AL2" s="1092"/>
      <c r="AM2" s="1092"/>
      <c r="AN2" s="1092"/>
      <c r="AO2" s="1092"/>
      <c r="AP2" s="1092"/>
      <c r="AQ2" s="1092"/>
      <c r="AR2" s="775"/>
      <c r="AS2" s="1092"/>
      <c r="AT2" s="1092"/>
      <c r="AU2" s="1092"/>
      <c r="AV2" s="1092"/>
      <c r="AW2" s="1092"/>
      <c r="AX2" s="1092"/>
      <c r="AY2" s="1092"/>
      <c r="AZ2" s="1092"/>
      <c r="BA2" s="1092"/>
      <c r="BB2" s="1092"/>
      <c r="BC2" s="1092"/>
      <c r="BD2" s="1092"/>
      <c r="BE2" s="1092"/>
      <c r="BF2" s="1092"/>
      <c r="BG2" s="1092"/>
      <c r="BH2" s="1092"/>
      <c r="BI2" s="1092"/>
      <c r="BJ2" s="1092"/>
      <c r="BK2" s="1092"/>
      <c r="BL2" s="1092"/>
      <c r="BM2" s="1092"/>
      <c r="BN2" s="1092"/>
      <c r="BO2" s="1092"/>
      <c r="BP2" s="1092"/>
      <c r="BQ2" s="1092"/>
      <c r="BR2" s="1092"/>
      <c r="BS2" s="1092"/>
      <c r="BT2" s="1092"/>
      <c r="BU2" s="1092"/>
      <c r="BV2" s="1092"/>
      <c r="BW2" s="1092"/>
      <c r="BX2" s="1092"/>
      <c r="BY2" s="1092"/>
      <c r="BZ2" s="1092"/>
      <c r="CA2" s="1092"/>
      <c r="CB2" s="1092"/>
      <c r="CC2" s="1092"/>
      <c r="CD2" s="1092"/>
      <c r="CE2" s="1092"/>
      <c r="CF2" s="1092"/>
      <c r="CG2" s="1092"/>
      <c r="CH2" s="1093"/>
      <c r="CI2" s="1093"/>
    </row>
    <row r="3" spans="1:87" ht="20.25" customHeight="1">
      <c r="A3" s="1081"/>
      <c r="B3" s="248" t="s">
        <v>482</v>
      </c>
      <c r="E3" s="765" t="str">
        <f>'Development Program'!C66</f>
        <v>PD Start</v>
      </c>
      <c r="F3" s="1094" t="str">
        <f>'Development Program'!D66</f>
        <v>PD End</v>
      </c>
      <c r="G3" s="766" t="str">
        <f>'Development Program'!E66</f>
        <v>PD Duration</v>
      </c>
      <c r="H3" s="765" t="str">
        <f>'Development Program'!F66</f>
        <v>CS Start</v>
      </c>
      <c r="I3" s="1094" t="str">
        <f>'Development Program'!G66</f>
        <v>CS End</v>
      </c>
      <c r="J3" s="766" t="str">
        <f>'Development Program'!H66</f>
        <v>CS Duration</v>
      </c>
      <c r="K3" s="1025" t="str">
        <f>'Development Program'!I66</f>
        <v>CO Start</v>
      </c>
      <c r="L3" s="767" t="str">
        <f>'Development Program'!J66</f>
        <v>CO End</v>
      </c>
      <c r="M3" s="266" t="str">
        <f>'Development Program'!K66</f>
        <v>CO Duration</v>
      </c>
      <c r="N3" s="262"/>
    </row>
    <row r="4" spans="1:87" s="768" customFormat="1" ht="20.25" customHeight="1">
      <c r="A4" s="1081"/>
      <c r="B4" s="776" t="s">
        <v>483</v>
      </c>
      <c r="E4" s="263">
        <f>INDEX('Development Program'!$B$66:$K$76,MATCH($A$2,'Development Program'!$B$66:$B$76,0),MATCH(E3,'Development Program'!$B$66:$K$66,0))</f>
        <v>47484</v>
      </c>
      <c r="F4" s="264">
        <f>INDEX('Development Program'!$B$66:$K$76,MATCH($A$2,'Development Program'!$B$66:$B$76,0),MATCH(F3,'Development Program'!$B$66:$K$66,0))</f>
        <v>47938</v>
      </c>
      <c r="G4" s="265">
        <f>INDEX('Development Program'!$B$66:$K$76,MATCH($A$2,'Development Program'!$B$66:$B$76,0),MATCH(G3,'Development Program'!$B$66:$K$66,0))</f>
        <v>15</v>
      </c>
      <c r="H4" s="263">
        <f>INDEX('Development Program'!$B$66:$K$76,MATCH($A$2,'Development Program'!$B$66:$B$76,0),MATCH(H3,'Development Program'!$B$66:$K$66,0))</f>
        <v>47939</v>
      </c>
      <c r="I4" s="264">
        <f>INDEX('Development Program'!$B$66:$K$76,MATCH($A$2,'Development Program'!$B$66:$B$76,0),MATCH(I3,'Development Program'!$B$66:$K$66,0))</f>
        <v>48760</v>
      </c>
      <c r="J4" s="265">
        <f>INDEX('Development Program'!$B$66:$K$76,MATCH($A$2,'Development Program'!$B$66:$B$76,0),MATCH(J3,'Development Program'!$B$66:$K$66,0))</f>
        <v>27</v>
      </c>
      <c r="K4" s="263">
        <f>INDEX('Development Program'!$B$66:$K$76,MATCH($A$2,'Development Program'!$B$66:$B$76,0),MATCH(K3,'Development Program'!$B$66:$K$66,0))</f>
        <v>48761</v>
      </c>
      <c r="L4" s="264">
        <f>INDEX('Development Program'!$B$66:$K$76,MATCH($A$2,'Development Program'!$B$66:$B$76,0),MATCH(L3,'Development Program'!$B$66:$K$66,0))</f>
        <v>48944</v>
      </c>
      <c r="M4" s="265">
        <f>INDEX('Development Program'!$B$66:$K$76,MATCH($A$2,'Development Program'!$B$66:$B$76,0),MATCH(M3,'Development Program'!$B$66:$K$66,0))</f>
        <v>6</v>
      </c>
      <c r="N4" s="265">
        <f>INDEX('Development Program'!$B$66:$L$76,MATCH($A$2,'Development Program'!$B$66:$B$76,0),MATCH(N2,'Development Program'!$B$65:$L$65,0))</f>
        <v>48</v>
      </c>
      <c r="O4" s="769"/>
      <c r="U4" s="770"/>
      <c r="AR4" s="771"/>
      <c r="AS4" s="772"/>
      <c r="AT4" s="772"/>
      <c r="AU4" s="772"/>
      <c r="BA4" s="1085" t="s">
        <v>484</v>
      </c>
      <c r="BB4" s="1085"/>
      <c r="BC4" s="1085"/>
      <c r="BD4" s="1085"/>
      <c r="BE4" s="1085"/>
      <c r="BF4" s="773"/>
      <c r="BG4" s="1080" t="s">
        <v>485</v>
      </c>
      <c r="BH4" s="1080"/>
      <c r="BI4" s="1080"/>
      <c r="CH4" s="774"/>
      <c r="CI4" s="774"/>
    </row>
    <row r="5" spans="1:87" s="210" customFormat="1" ht="20.25" customHeight="1">
      <c r="A5" s="261"/>
      <c r="B5" s="249"/>
      <c r="C5" s="258" t="str">
        <f>IFERROR(INDEX($E$2:$N$4,2,MATCH(#REF!+1,$E$4:$N$4,0)),"")</f>
        <v/>
      </c>
      <c r="D5" s="258" t="str">
        <f>IFERROR(INDEX($E$2:$N$4,2,MATCH(C9+1,$E$4:$N$4,0)),"")</f>
        <v/>
      </c>
      <c r="E5" s="258"/>
      <c r="F5" s="258" t="str">
        <f t="shared" ref="F5:X5" si="0">IFERROR(INDEX($E$2:$N$4,2,MATCH(E9+1,$E$4:$N$4,0)),"")</f>
        <v>PD Start</v>
      </c>
      <c r="G5" s="258" t="str">
        <f t="shared" si="0"/>
        <v/>
      </c>
      <c r="H5" s="258" t="str">
        <f t="shared" si="0"/>
        <v/>
      </c>
      <c r="I5" s="258" t="str">
        <f t="shared" si="0"/>
        <v/>
      </c>
      <c r="J5" s="258" t="str">
        <f t="shared" si="0"/>
        <v/>
      </c>
      <c r="K5" s="258" t="str">
        <f t="shared" si="0"/>
        <v>CS Start</v>
      </c>
      <c r="L5" s="258" t="str">
        <f t="shared" si="0"/>
        <v/>
      </c>
      <c r="M5" s="258" t="str">
        <f t="shared" si="0"/>
        <v/>
      </c>
      <c r="N5" s="258" t="str">
        <f t="shared" si="0"/>
        <v/>
      </c>
      <c r="O5" s="258" t="str">
        <f t="shared" si="0"/>
        <v/>
      </c>
      <c r="P5" s="258" t="str">
        <f t="shared" si="0"/>
        <v/>
      </c>
      <c r="Q5" s="258" t="str">
        <f t="shared" si="0"/>
        <v/>
      </c>
      <c r="R5" s="258" t="str">
        <f t="shared" si="0"/>
        <v/>
      </c>
      <c r="S5" s="258" t="str">
        <f t="shared" si="0"/>
        <v/>
      </c>
      <c r="T5" s="258" t="str">
        <f t="shared" si="0"/>
        <v>CO Start</v>
      </c>
      <c r="U5" s="258" t="str">
        <f t="shared" si="0"/>
        <v/>
      </c>
      <c r="V5" s="258" t="str">
        <f t="shared" si="0"/>
        <v/>
      </c>
      <c r="W5" s="258" t="str">
        <f t="shared" si="0"/>
        <v/>
      </c>
      <c r="X5" s="258" t="str">
        <f t="shared" si="0"/>
        <v/>
      </c>
      <c r="Y5" s="246">
        <v>1</v>
      </c>
      <c r="Z5" s="246">
        <v>1</v>
      </c>
      <c r="AA5" s="246">
        <v>1</v>
      </c>
      <c r="AB5" s="246">
        <v>1</v>
      </c>
      <c r="AC5" s="246">
        <v>2</v>
      </c>
      <c r="AD5" s="246">
        <v>2</v>
      </c>
      <c r="AE5" s="246">
        <v>2</v>
      </c>
      <c r="AF5" s="246">
        <v>2</v>
      </c>
      <c r="AG5" s="246">
        <v>3</v>
      </c>
      <c r="AH5" s="246">
        <v>3</v>
      </c>
      <c r="AI5" s="246">
        <v>3</v>
      </c>
      <c r="AJ5" s="246">
        <v>3</v>
      </c>
      <c r="AK5" s="246">
        <v>4</v>
      </c>
      <c r="AL5" s="246">
        <v>4</v>
      </c>
      <c r="AM5" s="246">
        <v>4</v>
      </c>
      <c r="AN5" s="246">
        <v>4</v>
      </c>
      <c r="AO5" s="246">
        <v>5</v>
      </c>
      <c r="AP5" s="246">
        <v>5</v>
      </c>
      <c r="AQ5" s="246">
        <v>5</v>
      </c>
      <c r="AR5" s="247">
        <v>5</v>
      </c>
      <c r="AS5" s="211"/>
      <c r="AT5" s="211"/>
      <c r="AU5" s="211"/>
      <c r="BA5" s="212"/>
      <c r="BB5" s="212"/>
      <c r="BC5" s="212"/>
      <c r="BD5" s="212"/>
      <c r="BE5" s="212"/>
      <c r="BF5" s="212"/>
      <c r="BG5" s="213"/>
      <c r="BH5" s="213"/>
      <c r="BI5" s="213"/>
      <c r="CH5" s="214"/>
      <c r="CI5" s="214"/>
    </row>
    <row r="6" spans="1:87" s="210" customFormat="1" ht="20.25" customHeight="1">
      <c r="A6" s="261"/>
      <c r="B6" s="249"/>
      <c r="C6" s="258"/>
      <c r="D6" s="258"/>
      <c r="E6" s="258" t="str">
        <f t="shared" ref="E6:X6" si="1">IFERROR(INDEX($E$2:$N$4,2,MATCH(E9,$E$4:$N$4,0)),"")</f>
        <v/>
      </c>
      <c r="F6" s="258" t="str">
        <f t="shared" si="1"/>
        <v/>
      </c>
      <c r="G6" s="258" t="str">
        <f t="shared" si="1"/>
        <v/>
      </c>
      <c r="H6" s="258" t="str">
        <f t="shared" si="1"/>
        <v/>
      </c>
      <c r="I6" s="258" t="str">
        <f t="shared" si="1"/>
        <v/>
      </c>
      <c r="J6" s="258" t="str">
        <f t="shared" si="1"/>
        <v>PD End</v>
      </c>
      <c r="K6" s="258" t="str">
        <f t="shared" si="1"/>
        <v/>
      </c>
      <c r="L6" s="258" t="str">
        <f t="shared" si="1"/>
        <v/>
      </c>
      <c r="M6" s="258" t="str">
        <f t="shared" si="1"/>
        <v/>
      </c>
      <c r="N6" s="258" t="str">
        <f t="shared" si="1"/>
        <v/>
      </c>
      <c r="O6" s="258" t="str">
        <f t="shared" si="1"/>
        <v/>
      </c>
      <c r="P6" s="258" t="str">
        <f t="shared" si="1"/>
        <v/>
      </c>
      <c r="Q6" s="258" t="str">
        <f t="shared" si="1"/>
        <v/>
      </c>
      <c r="R6" s="258" t="str">
        <f t="shared" si="1"/>
        <v/>
      </c>
      <c r="S6" s="258" t="str">
        <f t="shared" si="1"/>
        <v>CS End</v>
      </c>
      <c r="T6" s="258" t="str">
        <f t="shared" si="1"/>
        <v/>
      </c>
      <c r="U6" s="258" t="str">
        <f t="shared" si="1"/>
        <v>CO End</v>
      </c>
      <c r="V6" s="258" t="str">
        <f t="shared" si="1"/>
        <v/>
      </c>
      <c r="W6" s="258" t="str">
        <f t="shared" si="1"/>
        <v/>
      </c>
      <c r="X6" s="258" t="str">
        <f t="shared" si="1"/>
        <v/>
      </c>
      <c r="Y6" s="828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247"/>
      <c r="AS6" s="211"/>
      <c r="AT6" s="211"/>
      <c r="AU6" s="211"/>
      <c r="BA6" s="212"/>
      <c r="BB6" s="212"/>
      <c r="BC6" s="212"/>
      <c r="BD6" s="212"/>
      <c r="BE6" s="212"/>
      <c r="BF6" s="212"/>
      <c r="BG6" s="213"/>
      <c r="BH6" s="213"/>
      <c r="BI6" s="213"/>
      <c r="CH6" s="214"/>
      <c r="CI6" s="214"/>
    </row>
    <row r="7" spans="1:87" s="210" customFormat="1" ht="20.25" customHeight="1">
      <c r="A7" s="261"/>
      <c r="B7" s="249" t="s">
        <v>486</v>
      </c>
      <c r="C7" s="258"/>
      <c r="D7" s="258"/>
      <c r="E7" s="258">
        <v>0</v>
      </c>
      <c r="F7" s="258">
        <f t="shared" ref="F7:X7" si="2">IF(OR($H$4&gt;F9,$K$4&lt;F9),0,E7+1)</f>
        <v>0</v>
      </c>
      <c r="G7" s="258">
        <f t="shared" si="2"/>
        <v>0</v>
      </c>
      <c r="H7" s="258">
        <f t="shared" si="2"/>
        <v>0</v>
      </c>
      <c r="I7" s="258">
        <f t="shared" si="2"/>
        <v>0</v>
      </c>
      <c r="J7" s="258">
        <f t="shared" si="2"/>
        <v>0</v>
      </c>
      <c r="K7" s="258">
        <f t="shared" si="2"/>
        <v>1</v>
      </c>
      <c r="L7" s="258">
        <f t="shared" si="2"/>
        <v>2</v>
      </c>
      <c r="M7" s="258">
        <f t="shared" si="2"/>
        <v>3</v>
      </c>
      <c r="N7" s="258">
        <f t="shared" si="2"/>
        <v>4</v>
      </c>
      <c r="O7" s="258">
        <f t="shared" si="2"/>
        <v>5</v>
      </c>
      <c r="P7" s="258">
        <f t="shared" si="2"/>
        <v>6</v>
      </c>
      <c r="Q7" s="258">
        <f t="shared" si="2"/>
        <v>7</v>
      </c>
      <c r="R7" s="258">
        <f t="shared" si="2"/>
        <v>8</v>
      </c>
      <c r="S7" s="258">
        <f t="shared" si="2"/>
        <v>9</v>
      </c>
      <c r="T7" s="258">
        <f t="shared" si="2"/>
        <v>0</v>
      </c>
      <c r="U7" s="258">
        <f t="shared" si="2"/>
        <v>0</v>
      </c>
      <c r="V7" s="258">
        <f t="shared" si="2"/>
        <v>0</v>
      </c>
      <c r="W7" s="258">
        <f t="shared" si="2"/>
        <v>0</v>
      </c>
      <c r="X7" s="258">
        <f t="shared" si="2"/>
        <v>0</v>
      </c>
      <c r="Y7" s="829">
        <v>1</v>
      </c>
      <c r="Z7" s="829">
        <v>2</v>
      </c>
      <c r="AA7" s="829">
        <v>3</v>
      </c>
      <c r="AB7" s="829">
        <v>4</v>
      </c>
      <c r="AC7" s="829">
        <v>1</v>
      </c>
      <c r="AD7" s="829">
        <v>2</v>
      </c>
      <c r="AE7" s="829">
        <v>3</v>
      </c>
      <c r="AF7" s="829">
        <v>4</v>
      </c>
      <c r="AG7" s="829">
        <v>1</v>
      </c>
      <c r="AH7" s="829">
        <v>2</v>
      </c>
      <c r="AI7" s="829">
        <v>3</v>
      </c>
      <c r="AJ7" s="829">
        <v>4</v>
      </c>
      <c r="AK7" s="829">
        <v>1</v>
      </c>
      <c r="AL7" s="829">
        <v>2</v>
      </c>
      <c r="AM7" s="829">
        <v>3</v>
      </c>
      <c r="AN7" s="829">
        <v>4</v>
      </c>
      <c r="AO7" s="829">
        <v>1</v>
      </c>
      <c r="AP7" s="829">
        <v>2</v>
      </c>
      <c r="AQ7" s="829">
        <v>3</v>
      </c>
      <c r="AR7" s="830">
        <v>4</v>
      </c>
      <c r="AS7" s="211"/>
      <c r="AT7" s="211"/>
      <c r="AU7" s="211"/>
      <c r="BA7" s="212"/>
      <c r="BB7" s="212"/>
      <c r="BC7" s="212"/>
      <c r="BD7" s="212"/>
      <c r="BE7" s="212"/>
      <c r="BF7" s="212"/>
      <c r="BG7" s="213"/>
      <c r="BH7" s="213"/>
      <c r="BI7" s="213"/>
      <c r="CH7" s="214"/>
      <c r="CI7" s="214"/>
    </row>
    <row r="8" spans="1:87" s="210" customFormat="1" ht="20.25" customHeight="1">
      <c r="A8" s="261"/>
      <c r="B8" s="249" t="s">
        <v>487</v>
      </c>
      <c r="C8" s="258"/>
      <c r="D8" s="258"/>
      <c r="E8" s="258">
        <v>0</v>
      </c>
      <c r="F8" s="258">
        <f>IF(OR(G6=$I$3,F6=$I$3,F5=$K$3),1,0)</f>
        <v>0</v>
      </c>
      <c r="G8" s="258">
        <f t="shared" ref="G8:W8" si="3">IF(OR(H6=$I$3,G6=$I$3,G5=$K$3),1,0)</f>
        <v>0</v>
      </c>
      <c r="H8" s="258">
        <f t="shared" si="3"/>
        <v>0</v>
      </c>
      <c r="I8" s="258">
        <f t="shared" si="3"/>
        <v>0</v>
      </c>
      <c r="J8" s="258">
        <f t="shared" si="3"/>
        <v>0</v>
      </c>
      <c r="K8" s="258">
        <f t="shared" si="3"/>
        <v>0</v>
      </c>
      <c r="L8" s="258">
        <f t="shared" si="3"/>
        <v>0</v>
      </c>
      <c r="M8" s="258">
        <f t="shared" si="3"/>
        <v>0</v>
      </c>
      <c r="N8" s="258">
        <f t="shared" si="3"/>
        <v>0</v>
      </c>
      <c r="O8" s="258">
        <f t="shared" si="3"/>
        <v>0</v>
      </c>
      <c r="P8" s="258">
        <f t="shared" si="3"/>
        <v>0</v>
      </c>
      <c r="Q8" s="258">
        <f t="shared" si="3"/>
        <v>0</v>
      </c>
      <c r="R8" s="258">
        <f t="shared" si="3"/>
        <v>1</v>
      </c>
      <c r="S8" s="258">
        <f t="shared" si="3"/>
        <v>1</v>
      </c>
      <c r="T8" s="258">
        <f t="shared" si="3"/>
        <v>1</v>
      </c>
      <c r="U8" s="258">
        <f t="shared" si="3"/>
        <v>0</v>
      </c>
      <c r="V8" s="258">
        <f t="shared" si="3"/>
        <v>0</v>
      </c>
      <c r="W8" s="258">
        <f t="shared" si="3"/>
        <v>0</v>
      </c>
      <c r="X8" s="258">
        <f>IF(OR(Y6=$I$3,X6=$I$3,X5=$K$3),1,0)</f>
        <v>0</v>
      </c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7"/>
      <c r="AS8" s="211"/>
      <c r="AT8" s="211"/>
      <c r="AU8" s="211"/>
      <c r="BA8" s="212"/>
      <c r="BB8" s="212"/>
      <c r="BC8" s="212"/>
      <c r="BD8" s="212"/>
      <c r="BE8" s="212"/>
      <c r="BF8" s="212"/>
      <c r="BG8" s="213"/>
      <c r="BH8" s="213"/>
      <c r="BI8" s="213"/>
      <c r="CH8" s="214"/>
      <c r="CI8" s="214"/>
    </row>
    <row r="9" spans="1:87" s="215" customFormat="1" ht="20.25" customHeight="1">
      <c r="A9" s="261"/>
      <c r="B9" s="250" t="s">
        <v>373</v>
      </c>
      <c r="C9" s="218" t="s">
        <v>488</v>
      </c>
      <c r="D9" s="218" t="s">
        <v>489</v>
      </c>
      <c r="E9" s="216">
        <f>E4-1</f>
        <v>47483</v>
      </c>
      <c r="F9" s="216">
        <f>EOMONTH(E9,3)</f>
        <v>47573</v>
      </c>
      <c r="G9" s="216">
        <f t="shared" ref="G9:V9" si="4">EOMONTH(F9,3)</f>
        <v>47664</v>
      </c>
      <c r="H9" s="216">
        <f t="shared" si="4"/>
        <v>47756</v>
      </c>
      <c r="I9" s="216">
        <f t="shared" si="4"/>
        <v>47848</v>
      </c>
      <c r="J9" s="216">
        <f t="shared" si="4"/>
        <v>47938</v>
      </c>
      <c r="K9" s="216">
        <f t="shared" si="4"/>
        <v>48029</v>
      </c>
      <c r="L9" s="216">
        <f t="shared" si="4"/>
        <v>48121</v>
      </c>
      <c r="M9" s="216">
        <f t="shared" si="4"/>
        <v>48213</v>
      </c>
      <c r="N9" s="216">
        <f t="shared" si="4"/>
        <v>48304</v>
      </c>
      <c r="O9" s="216">
        <f t="shared" si="4"/>
        <v>48395</v>
      </c>
      <c r="P9" s="216">
        <f t="shared" si="4"/>
        <v>48487</v>
      </c>
      <c r="Q9" s="216">
        <f t="shared" si="4"/>
        <v>48579</v>
      </c>
      <c r="R9" s="216">
        <f t="shared" si="4"/>
        <v>48669</v>
      </c>
      <c r="S9" s="216">
        <f t="shared" si="4"/>
        <v>48760</v>
      </c>
      <c r="T9" s="216">
        <f t="shared" si="4"/>
        <v>48852</v>
      </c>
      <c r="U9" s="216">
        <f t="shared" si="4"/>
        <v>48944</v>
      </c>
      <c r="V9" s="216">
        <f t="shared" si="4"/>
        <v>49034</v>
      </c>
      <c r="W9" s="216">
        <f>EOMONTH(V9,3)</f>
        <v>49125</v>
      </c>
      <c r="X9" s="216">
        <f>EOMONTH(W9,3)</f>
        <v>49217</v>
      </c>
      <c r="Y9" s="216">
        <f>EOMONTH(X9,3)</f>
        <v>49309</v>
      </c>
      <c r="Z9" s="216">
        <f t="shared" ref="Z9:AR9" si="5">EOMONTH(Y9,3)</f>
        <v>49399</v>
      </c>
      <c r="AA9" s="216">
        <f t="shared" si="5"/>
        <v>49490</v>
      </c>
      <c r="AB9" s="216">
        <f t="shared" si="5"/>
        <v>49582</v>
      </c>
      <c r="AC9" s="216">
        <f t="shared" si="5"/>
        <v>49674</v>
      </c>
      <c r="AD9" s="216">
        <f t="shared" si="5"/>
        <v>49765</v>
      </c>
      <c r="AE9" s="216">
        <f t="shared" si="5"/>
        <v>49856</v>
      </c>
      <c r="AF9" s="216">
        <f t="shared" si="5"/>
        <v>49948</v>
      </c>
      <c r="AG9" s="216">
        <f t="shared" si="5"/>
        <v>50040</v>
      </c>
      <c r="AH9" s="216">
        <f t="shared" si="5"/>
        <v>50130</v>
      </c>
      <c r="AI9" s="216">
        <f t="shared" si="5"/>
        <v>50221</v>
      </c>
      <c r="AJ9" s="216">
        <f t="shared" si="5"/>
        <v>50313</v>
      </c>
      <c r="AK9" s="216">
        <f t="shared" si="5"/>
        <v>50405</v>
      </c>
      <c r="AL9" s="216">
        <f t="shared" si="5"/>
        <v>50495</v>
      </c>
      <c r="AM9" s="216">
        <f t="shared" si="5"/>
        <v>50586</v>
      </c>
      <c r="AN9" s="216">
        <f t="shared" si="5"/>
        <v>50678</v>
      </c>
      <c r="AO9" s="216">
        <f t="shared" si="5"/>
        <v>50770</v>
      </c>
      <c r="AP9" s="216">
        <f t="shared" si="5"/>
        <v>50860</v>
      </c>
      <c r="AQ9" s="216">
        <f t="shared" si="5"/>
        <v>50951</v>
      </c>
      <c r="AR9" s="217">
        <f t="shared" si="5"/>
        <v>51043</v>
      </c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</row>
    <row r="10" spans="1:87" ht="20.25" customHeight="1">
      <c r="A10" s="207" t="s">
        <v>490</v>
      </c>
      <c r="B10" s="251"/>
      <c r="C10" s="220"/>
      <c r="D10" s="222"/>
      <c r="E10" s="271">
        <f>IF(E7&gt;0,NORMSDIST((E7-(($J$4)/6))/1.8),0)</f>
        <v>0</v>
      </c>
      <c r="F10" s="220">
        <f t="shared" ref="F10:X10" si="6">IF(F7&gt;0,NORMSDIST((F7-(($J$4)/6))/1.8),0)</f>
        <v>0</v>
      </c>
      <c r="G10" s="220">
        <f t="shared" si="6"/>
        <v>0</v>
      </c>
      <c r="H10" s="220">
        <f t="shared" si="6"/>
        <v>0</v>
      </c>
      <c r="I10" s="220">
        <f t="shared" si="6"/>
        <v>0</v>
      </c>
      <c r="J10" s="220">
        <f t="shared" si="6"/>
        <v>0</v>
      </c>
      <c r="K10" s="220">
        <f t="shared" si="6"/>
        <v>2.5920939357842999E-2</v>
      </c>
      <c r="L10" s="220">
        <f t="shared" si="6"/>
        <v>8.2433269873954537E-2</v>
      </c>
      <c r="M10" s="220">
        <f t="shared" si="6"/>
        <v>0.20232838096364303</v>
      </c>
      <c r="N10" s="220">
        <f t="shared" si="6"/>
        <v>0.39059147543357498</v>
      </c>
      <c r="O10" s="220">
        <f t="shared" si="6"/>
        <v>0.60940852456642502</v>
      </c>
      <c r="P10" s="220">
        <f t="shared" si="6"/>
        <v>0.79767161903635697</v>
      </c>
      <c r="Q10" s="220">
        <f t="shared" si="6"/>
        <v>0.9175667301260455</v>
      </c>
      <c r="R10" s="220">
        <f t="shared" si="6"/>
        <v>0.97407906064215699</v>
      </c>
      <c r="S10" s="220">
        <f t="shared" si="6"/>
        <v>0.99379033467422384</v>
      </c>
      <c r="T10" s="220">
        <f t="shared" si="6"/>
        <v>0</v>
      </c>
      <c r="U10" s="220">
        <f t="shared" si="6"/>
        <v>0</v>
      </c>
      <c r="V10" s="220">
        <f t="shared" si="6"/>
        <v>0</v>
      </c>
      <c r="W10" s="220">
        <f t="shared" si="6"/>
        <v>0</v>
      </c>
      <c r="X10" s="220">
        <f t="shared" si="6"/>
        <v>0</v>
      </c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1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CH10" s="207"/>
      <c r="CI10" s="207"/>
    </row>
    <row r="11" spans="1:87" ht="20.25" customHeight="1">
      <c r="A11" s="207" t="s">
        <v>491</v>
      </c>
      <c r="B11" s="268">
        <f>SUM(E11:W11)</f>
        <v>0.99379033467422384</v>
      </c>
      <c r="C11" s="220">
        <f>SUM(E11:X11)</f>
        <v>0.99379033467422384</v>
      </c>
      <c r="D11" s="222"/>
      <c r="E11" s="271">
        <f>IF(E10-B10&lt;0,0,E10-B10)</f>
        <v>0</v>
      </c>
      <c r="F11" s="220">
        <f t="shared" ref="F11:X11" si="7">IF(F10-E10&lt;0,0,F10-E10)</f>
        <v>0</v>
      </c>
      <c r="G11" s="220">
        <f t="shared" si="7"/>
        <v>0</v>
      </c>
      <c r="H11" s="220">
        <f t="shared" si="7"/>
        <v>0</v>
      </c>
      <c r="I11" s="220">
        <f t="shared" si="7"/>
        <v>0</v>
      </c>
      <c r="J11" s="220">
        <f t="shared" si="7"/>
        <v>0</v>
      </c>
      <c r="K11" s="220">
        <f t="shared" si="7"/>
        <v>2.5920939357842999E-2</v>
      </c>
      <c r="L11" s="220">
        <f t="shared" si="7"/>
        <v>5.6512330516111542E-2</v>
      </c>
      <c r="M11" s="220">
        <f t="shared" si="7"/>
        <v>0.11989511108968849</v>
      </c>
      <c r="N11" s="220">
        <f t="shared" si="7"/>
        <v>0.18826309446993195</v>
      </c>
      <c r="O11" s="220">
        <f t="shared" si="7"/>
        <v>0.21881704913285005</v>
      </c>
      <c r="P11" s="220">
        <f t="shared" si="7"/>
        <v>0.18826309446993195</v>
      </c>
      <c r="Q11" s="220">
        <f t="shared" si="7"/>
        <v>0.11989511108968853</v>
      </c>
      <c r="R11" s="220">
        <f t="shared" si="7"/>
        <v>5.6512330516111486E-2</v>
      </c>
      <c r="S11" s="220">
        <f t="shared" si="7"/>
        <v>1.971127403206685E-2</v>
      </c>
      <c r="T11" s="220">
        <f t="shared" si="7"/>
        <v>0</v>
      </c>
      <c r="U11" s="220">
        <f t="shared" si="7"/>
        <v>0</v>
      </c>
      <c r="V11" s="220">
        <f t="shared" si="7"/>
        <v>0</v>
      </c>
      <c r="W11" s="220">
        <f t="shared" si="7"/>
        <v>0</v>
      </c>
      <c r="X11" s="220">
        <f t="shared" si="7"/>
        <v>0</v>
      </c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1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CH11" s="207"/>
      <c r="CI11" s="207"/>
    </row>
    <row r="12" spans="1:87" ht="20.25" customHeight="1">
      <c r="A12" s="207" t="s">
        <v>492</v>
      </c>
      <c r="B12" s="268">
        <f>SUM(E12:W12)</f>
        <v>6.2096653257761592E-3</v>
      </c>
      <c r="C12" s="220">
        <f>SUM(E12:X12)</f>
        <v>6.2096653257761592E-3</v>
      </c>
      <c r="D12" s="487">
        <f>B12-C12</f>
        <v>0</v>
      </c>
      <c r="E12" s="269">
        <f t="shared" ref="E12:X12" si="8">IF(E6=$I$3,100%-E10,0)</f>
        <v>0</v>
      </c>
      <c r="F12" s="267">
        <f t="shared" si="8"/>
        <v>0</v>
      </c>
      <c r="G12" s="267">
        <f t="shared" si="8"/>
        <v>0</v>
      </c>
      <c r="H12" s="267">
        <f t="shared" si="8"/>
        <v>0</v>
      </c>
      <c r="I12" s="267">
        <f t="shared" si="8"/>
        <v>0</v>
      </c>
      <c r="J12" s="267">
        <f t="shared" si="8"/>
        <v>0</v>
      </c>
      <c r="K12" s="267">
        <f t="shared" si="8"/>
        <v>0</v>
      </c>
      <c r="L12" s="267">
        <f t="shared" si="8"/>
        <v>0</v>
      </c>
      <c r="M12" s="267">
        <f t="shared" si="8"/>
        <v>0</v>
      </c>
      <c r="N12" s="267">
        <f t="shared" si="8"/>
        <v>0</v>
      </c>
      <c r="O12" s="267">
        <f t="shared" si="8"/>
        <v>0</v>
      </c>
      <c r="P12" s="267">
        <f t="shared" si="8"/>
        <v>0</v>
      </c>
      <c r="Q12" s="267">
        <f t="shared" si="8"/>
        <v>0</v>
      </c>
      <c r="R12" s="267">
        <f t="shared" si="8"/>
        <v>0</v>
      </c>
      <c r="S12" s="267">
        <f t="shared" si="8"/>
        <v>6.2096653257761592E-3</v>
      </c>
      <c r="T12" s="267">
        <f t="shared" si="8"/>
        <v>0</v>
      </c>
      <c r="U12" s="267">
        <f t="shared" si="8"/>
        <v>0</v>
      </c>
      <c r="V12" s="267">
        <f t="shared" si="8"/>
        <v>0</v>
      </c>
      <c r="W12" s="267">
        <f t="shared" si="8"/>
        <v>0</v>
      </c>
      <c r="X12" s="267">
        <f t="shared" si="8"/>
        <v>0</v>
      </c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1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CH12" s="207"/>
      <c r="CI12" s="207"/>
    </row>
    <row r="13" spans="1:87" ht="20.25" customHeight="1">
      <c r="A13" s="207" t="s">
        <v>491</v>
      </c>
      <c r="B13" s="251">
        <f>SUM(E13:W13)</f>
        <v>1</v>
      </c>
      <c r="C13" s="220">
        <f>SUM(E13:X13)</f>
        <v>1</v>
      </c>
      <c r="D13" s="222"/>
      <c r="E13" s="269">
        <f t="shared" ref="E13:X13" si="9">SUM(E11:E12)</f>
        <v>0</v>
      </c>
      <c r="F13" s="267">
        <f t="shared" si="9"/>
        <v>0</v>
      </c>
      <c r="G13" s="267">
        <f t="shared" si="9"/>
        <v>0</v>
      </c>
      <c r="H13" s="267">
        <f t="shared" si="9"/>
        <v>0</v>
      </c>
      <c r="I13" s="267">
        <f t="shared" si="9"/>
        <v>0</v>
      </c>
      <c r="J13" s="267">
        <f t="shared" si="9"/>
        <v>0</v>
      </c>
      <c r="K13" s="267">
        <f t="shared" si="9"/>
        <v>2.5920939357842999E-2</v>
      </c>
      <c r="L13" s="267">
        <f t="shared" si="9"/>
        <v>5.6512330516111542E-2</v>
      </c>
      <c r="M13" s="267">
        <f t="shared" si="9"/>
        <v>0.11989511108968849</v>
      </c>
      <c r="N13" s="267">
        <f t="shared" si="9"/>
        <v>0.18826309446993195</v>
      </c>
      <c r="O13" s="267">
        <f t="shared" si="9"/>
        <v>0.21881704913285005</v>
      </c>
      <c r="P13" s="267">
        <f t="shared" si="9"/>
        <v>0.18826309446993195</v>
      </c>
      <c r="Q13" s="267">
        <f t="shared" si="9"/>
        <v>0.11989511108968853</v>
      </c>
      <c r="R13" s="267">
        <f t="shared" si="9"/>
        <v>5.6512330516111486E-2</v>
      </c>
      <c r="S13" s="267">
        <f t="shared" si="9"/>
        <v>2.5920939357843009E-2</v>
      </c>
      <c r="T13" s="267">
        <f t="shared" si="9"/>
        <v>0</v>
      </c>
      <c r="U13" s="267">
        <f t="shared" si="9"/>
        <v>0</v>
      </c>
      <c r="V13" s="267">
        <f t="shared" si="9"/>
        <v>0</v>
      </c>
      <c r="W13" s="267">
        <f t="shared" si="9"/>
        <v>0</v>
      </c>
      <c r="X13" s="267">
        <f t="shared" si="9"/>
        <v>0</v>
      </c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1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CH13" s="207"/>
      <c r="CI13" s="207"/>
    </row>
    <row r="14" spans="1:87" s="488" customFormat="1" ht="20.25" customHeight="1">
      <c r="A14" s="1092" t="s">
        <v>387</v>
      </c>
      <c r="B14" s="764">
        <f t="shared" ref="B14:B31" si="10">SUM(E14:X14)</f>
        <v>132932280.00000003</v>
      </c>
      <c r="C14" s="1095">
        <f>'3-G Financial'!$B7</f>
        <v>132932280.00000001</v>
      </c>
      <c r="D14" s="1095">
        <f t="shared" ref="D14:D31" si="11">B14-C14</f>
        <v>0</v>
      </c>
      <c r="E14" s="1096">
        <v>0</v>
      </c>
      <c r="F14" s="1095">
        <f>$C$14*F13</f>
        <v>0</v>
      </c>
      <c r="G14" s="1095">
        <f t="shared" ref="G14:X14" si="12">$C$14*G13</f>
        <v>0</v>
      </c>
      <c r="H14" s="1095">
        <f t="shared" si="12"/>
        <v>0</v>
      </c>
      <c r="I14" s="1095">
        <f t="shared" si="12"/>
        <v>0</v>
      </c>
      <c r="J14" s="1095">
        <f t="shared" si="12"/>
        <v>0</v>
      </c>
      <c r="K14" s="1095">
        <f t="shared" si="12"/>
        <v>3445729.568579806</v>
      </c>
      <c r="L14" s="1095">
        <f t="shared" si="12"/>
        <v>7512312.943620285</v>
      </c>
      <c r="M14" s="1095">
        <f t="shared" si="12"/>
        <v>15937930.478005577</v>
      </c>
      <c r="N14" s="1095">
        <f t="shared" si="12"/>
        <v>25026242.387743447</v>
      </c>
      <c r="O14" s="1095">
        <f t="shared" si="12"/>
        <v>29087849.244101785</v>
      </c>
      <c r="P14" s="1095">
        <f t="shared" si="12"/>
        <v>25026242.387743447</v>
      </c>
      <c r="Q14" s="1095">
        <f t="shared" si="12"/>
        <v>15937930.478005582</v>
      </c>
      <c r="R14" s="1095">
        <f t="shared" si="12"/>
        <v>7512312.9436202776</v>
      </c>
      <c r="S14" s="1095">
        <f t="shared" si="12"/>
        <v>3445729.5685798074</v>
      </c>
      <c r="T14" s="1095">
        <f t="shared" si="12"/>
        <v>0</v>
      </c>
      <c r="U14" s="1095">
        <f t="shared" si="12"/>
        <v>0</v>
      </c>
      <c r="V14" s="1095">
        <f t="shared" si="12"/>
        <v>0</v>
      </c>
      <c r="W14" s="1095">
        <f t="shared" si="12"/>
        <v>0</v>
      </c>
      <c r="X14" s="1095">
        <f t="shared" si="12"/>
        <v>0</v>
      </c>
      <c r="Y14" s="1095"/>
      <c r="Z14" s="1095"/>
      <c r="AA14" s="1095"/>
      <c r="AB14" s="1095"/>
      <c r="AC14" s="1095"/>
      <c r="AD14" s="1095"/>
      <c r="AE14" s="1095"/>
      <c r="AF14" s="1095"/>
      <c r="AG14" s="1095"/>
      <c r="AH14" s="1095"/>
      <c r="AI14" s="1095"/>
      <c r="AJ14" s="1095"/>
      <c r="AK14" s="1095"/>
      <c r="AL14" s="1095"/>
      <c r="AM14" s="1095"/>
      <c r="AN14" s="1095"/>
      <c r="AO14" s="1095"/>
      <c r="AP14" s="1095"/>
      <c r="AQ14" s="1095"/>
      <c r="AR14" s="764"/>
      <c r="AS14" s="1092"/>
      <c r="AT14" s="1092"/>
      <c r="AU14" s="1092"/>
      <c r="AV14" s="1093"/>
      <c r="AW14" s="1093"/>
      <c r="AX14" s="1093"/>
      <c r="AY14" s="1093"/>
      <c r="AZ14" s="1093"/>
      <c r="BA14" s="1093"/>
      <c r="BB14" s="1093"/>
      <c r="BC14" s="1093"/>
      <c r="BD14" s="1093"/>
      <c r="BE14" s="1093"/>
      <c r="BF14" s="1093"/>
      <c r="BG14" s="1093"/>
      <c r="BH14" s="1093"/>
      <c r="BI14" s="1093"/>
      <c r="BJ14" s="1093"/>
      <c r="BK14" s="1093"/>
      <c r="BL14" s="1093"/>
      <c r="BM14" s="1093"/>
      <c r="BN14" s="1093"/>
      <c r="BO14" s="1093"/>
      <c r="BP14" s="1093"/>
      <c r="BQ14" s="1093"/>
      <c r="BR14" s="1093"/>
      <c r="BS14" s="1093"/>
      <c r="BT14" s="1093"/>
      <c r="BU14" s="1093"/>
      <c r="BV14" s="1092"/>
      <c r="BW14" s="1092"/>
      <c r="BX14" s="1092"/>
      <c r="BY14" s="1092"/>
      <c r="BZ14" s="1092"/>
      <c r="CA14" s="1092"/>
      <c r="CB14" s="1092"/>
      <c r="CC14" s="1092"/>
      <c r="CD14" s="1092"/>
      <c r="CE14" s="1092"/>
      <c r="CF14" s="1092"/>
      <c r="CG14" s="1092"/>
      <c r="CH14" s="1092"/>
      <c r="CI14" s="1092"/>
    </row>
    <row r="15" spans="1:87" ht="20.25" customHeight="1">
      <c r="A15" s="207" t="s">
        <v>77</v>
      </c>
      <c r="B15" s="224">
        <f t="shared" si="10"/>
        <v>6646614.0000000009</v>
      </c>
      <c r="C15" s="223">
        <f>'3-G Financial'!$B8</f>
        <v>6646614.0000000009</v>
      </c>
      <c r="D15" s="223">
        <f t="shared" si="11"/>
        <v>0</v>
      </c>
      <c r="E15" s="270">
        <v>0</v>
      </c>
      <c r="F15" s="223">
        <f>$C15*F$13</f>
        <v>0</v>
      </c>
      <c r="G15" s="223">
        <f t="shared" ref="G15:X15" si="13">$C15*G$13</f>
        <v>0</v>
      </c>
      <c r="H15" s="223">
        <f t="shared" si="13"/>
        <v>0</v>
      </c>
      <c r="I15" s="223">
        <f t="shared" si="13"/>
        <v>0</v>
      </c>
      <c r="J15" s="223">
        <f t="shared" si="13"/>
        <v>0</v>
      </c>
      <c r="K15" s="223">
        <f t="shared" si="13"/>
        <v>172286.47842899032</v>
      </c>
      <c r="L15" s="223">
        <f t="shared" si="13"/>
        <v>375615.64718101424</v>
      </c>
      <c r="M15" s="223">
        <f t="shared" si="13"/>
        <v>796896.52390027884</v>
      </c>
      <c r="N15" s="223">
        <f t="shared" si="13"/>
        <v>1251312.1193871724</v>
      </c>
      <c r="O15" s="223">
        <f t="shared" si="13"/>
        <v>1454392.4622050892</v>
      </c>
      <c r="P15" s="223">
        <f t="shared" si="13"/>
        <v>1251312.1193871724</v>
      </c>
      <c r="Q15" s="223">
        <f t="shared" si="13"/>
        <v>796896.52390027919</v>
      </c>
      <c r="R15" s="223">
        <f t="shared" si="13"/>
        <v>375615.64718101389</v>
      </c>
      <c r="S15" s="223">
        <f t="shared" si="13"/>
        <v>172286.47842899038</v>
      </c>
      <c r="T15" s="223">
        <f t="shared" si="13"/>
        <v>0</v>
      </c>
      <c r="U15" s="223">
        <f t="shared" si="13"/>
        <v>0</v>
      </c>
      <c r="V15" s="223">
        <f t="shared" si="13"/>
        <v>0</v>
      </c>
      <c r="W15" s="223">
        <f t="shared" si="13"/>
        <v>0</v>
      </c>
      <c r="X15" s="223">
        <f t="shared" si="13"/>
        <v>0</v>
      </c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4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CH15" s="207"/>
      <c r="CI15" s="207"/>
    </row>
    <row r="16" spans="1:87" ht="20.25" customHeight="1">
      <c r="A16" s="207" t="s">
        <v>389</v>
      </c>
      <c r="B16" s="224">
        <f t="shared" si="10"/>
        <v>0</v>
      </c>
      <c r="C16" s="223">
        <f>'3-G Financial'!$B9</f>
        <v>0</v>
      </c>
      <c r="D16" s="223">
        <f t="shared" si="11"/>
        <v>0</v>
      </c>
      <c r="E16" s="270">
        <v>0</v>
      </c>
      <c r="F16" s="223">
        <f>IF(AND(F$9&gt;$E$4,F$9&lt;$H$4),$C16/(($G$4)/3),0)</f>
        <v>0</v>
      </c>
      <c r="G16" s="223">
        <f t="shared" ref="G16:X16" si="14">IF(AND(G$9&gt;$E$4,G$9&lt;$H$4),$C16/(($G$4)/3),0)</f>
        <v>0</v>
      </c>
      <c r="H16" s="223">
        <f t="shared" si="14"/>
        <v>0</v>
      </c>
      <c r="I16" s="223">
        <f t="shared" si="14"/>
        <v>0</v>
      </c>
      <c r="J16" s="223">
        <f t="shared" si="14"/>
        <v>0</v>
      </c>
      <c r="K16" s="223">
        <f t="shared" si="14"/>
        <v>0</v>
      </c>
      <c r="L16" s="223">
        <f t="shared" si="14"/>
        <v>0</v>
      </c>
      <c r="M16" s="223">
        <f t="shared" si="14"/>
        <v>0</v>
      </c>
      <c r="N16" s="223">
        <f t="shared" si="14"/>
        <v>0</v>
      </c>
      <c r="O16" s="223">
        <f t="shared" si="14"/>
        <v>0</v>
      </c>
      <c r="P16" s="223">
        <f t="shared" si="14"/>
        <v>0</v>
      </c>
      <c r="Q16" s="223">
        <f t="shared" si="14"/>
        <v>0</v>
      </c>
      <c r="R16" s="223">
        <f t="shared" si="14"/>
        <v>0</v>
      </c>
      <c r="S16" s="223">
        <f t="shared" si="14"/>
        <v>0</v>
      </c>
      <c r="T16" s="223">
        <f t="shared" si="14"/>
        <v>0</v>
      </c>
      <c r="U16" s="223">
        <f t="shared" si="14"/>
        <v>0</v>
      </c>
      <c r="V16" s="223">
        <f t="shared" si="14"/>
        <v>0</v>
      </c>
      <c r="W16" s="223">
        <f t="shared" si="14"/>
        <v>0</v>
      </c>
      <c r="X16" s="223">
        <f t="shared" si="14"/>
        <v>0</v>
      </c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4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CH16" s="207"/>
      <c r="CI16" s="207"/>
    </row>
    <row r="17" spans="1:87" ht="20.25" customHeight="1">
      <c r="A17" s="207" t="s">
        <v>391</v>
      </c>
      <c r="B17" s="224">
        <f t="shared" si="10"/>
        <v>808909.2</v>
      </c>
      <c r="C17" s="223">
        <f>'3-G Financial'!$B10</f>
        <v>808909.2</v>
      </c>
      <c r="D17" s="223">
        <f t="shared" si="11"/>
        <v>0</v>
      </c>
      <c r="E17" s="270">
        <v>0</v>
      </c>
      <c r="F17" s="223">
        <f>IF(F6=$F$3,$C$17,0)</f>
        <v>0</v>
      </c>
      <c r="G17" s="223">
        <f t="shared" ref="G17:X17" si="15">IF(G6=$F$3,$C$17,0)</f>
        <v>0</v>
      </c>
      <c r="H17" s="223">
        <f t="shared" si="15"/>
        <v>0</v>
      </c>
      <c r="I17" s="223">
        <f t="shared" si="15"/>
        <v>0</v>
      </c>
      <c r="J17" s="223">
        <f t="shared" si="15"/>
        <v>808909.2</v>
      </c>
      <c r="K17" s="223">
        <f t="shared" si="15"/>
        <v>0</v>
      </c>
      <c r="L17" s="223">
        <f t="shared" si="15"/>
        <v>0</v>
      </c>
      <c r="M17" s="223">
        <f t="shared" si="15"/>
        <v>0</v>
      </c>
      <c r="N17" s="223">
        <f t="shared" si="15"/>
        <v>0</v>
      </c>
      <c r="O17" s="223">
        <f t="shared" si="15"/>
        <v>0</v>
      </c>
      <c r="P17" s="223">
        <f t="shared" si="15"/>
        <v>0</v>
      </c>
      <c r="Q17" s="223">
        <f t="shared" si="15"/>
        <v>0</v>
      </c>
      <c r="R17" s="223">
        <f t="shared" si="15"/>
        <v>0</v>
      </c>
      <c r="S17" s="223">
        <f t="shared" si="15"/>
        <v>0</v>
      </c>
      <c r="T17" s="223">
        <f t="shared" si="15"/>
        <v>0</v>
      </c>
      <c r="U17" s="223">
        <f t="shared" si="15"/>
        <v>0</v>
      </c>
      <c r="V17" s="223">
        <f t="shared" si="15"/>
        <v>0</v>
      </c>
      <c r="W17" s="223">
        <f t="shared" si="15"/>
        <v>0</v>
      </c>
      <c r="X17" s="223">
        <f t="shared" si="15"/>
        <v>0</v>
      </c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4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CH17" s="207"/>
      <c r="CI17" s="207"/>
    </row>
    <row r="18" spans="1:87" ht="20.25" customHeight="1">
      <c r="A18" s="207" t="s">
        <v>393</v>
      </c>
      <c r="B18" s="224">
        <f t="shared" si="10"/>
        <v>2480000</v>
      </c>
      <c r="C18" s="223">
        <f>'3-G Financial'!$B11</f>
        <v>2480000</v>
      </c>
      <c r="D18" s="223">
        <f t="shared" si="11"/>
        <v>0</v>
      </c>
      <c r="E18" s="270">
        <v>0</v>
      </c>
      <c r="F18" s="223">
        <f>$C18*F$13</f>
        <v>0</v>
      </c>
      <c r="G18" s="223">
        <f t="shared" ref="G18:X19" si="16">$C18*G$13</f>
        <v>0</v>
      </c>
      <c r="H18" s="223">
        <f t="shared" si="16"/>
        <v>0</v>
      </c>
      <c r="I18" s="223">
        <f t="shared" si="16"/>
        <v>0</v>
      </c>
      <c r="J18" s="223">
        <f t="shared" si="16"/>
        <v>0</v>
      </c>
      <c r="K18" s="223">
        <f t="shared" si="16"/>
        <v>64283.929607450635</v>
      </c>
      <c r="L18" s="223">
        <f t="shared" si="16"/>
        <v>140150.57967995663</v>
      </c>
      <c r="M18" s="223">
        <f t="shared" si="16"/>
        <v>297339.87550242746</v>
      </c>
      <c r="N18" s="223">
        <f t="shared" si="16"/>
        <v>466892.47428543121</v>
      </c>
      <c r="O18" s="223">
        <f t="shared" si="16"/>
        <v>542666.28184946813</v>
      </c>
      <c r="P18" s="223">
        <f t="shared" si="16"/>
        <v>466892.47428543121</v>
      </c>
      <c r="Q18" s="223">
        <f t="shared" si="16"/>
        <v>297339.87550242757</v>
      </c>
      <c r="R18" s="223">
        <f t="shared" si="16"/>
        <v>140150.57967995649</v>
      </c>
      <c r="S18" s="223">
        <f t="shared" si="16"/>
        <v>64283.929607450664</v>
      </c>
      <c r="T18" s="223">
        <f t="shared" si="16"/>
        <v>0</v>
      </c>
      <c r="U18" s="223">
        <f t="shared" si="16"/>
        <v>0</v>
      </c>
      <c r="V18" s="223">
        <f t="shared" si="16"/>
        <v>0</v>
      </c>
      <c r="W18" s="223">
        <f t="shared" si="16"/>
        <v>0</v>
      </c>
      <c r="X18" s="223">
        <f t="shared" si="16"/>
        <v>0</v>
      </c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4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CH18" s="207"/>
      <c r="CI18" s="207"/>
    </row>
    <row r="19" spans="1:87" ht="20.25" customHeight="1">
      <c r="A19" s="207" t="s">
        <v>79</v>
      </c>
      <c r="B19" s="224">
        <f t="shared" si="10"/>
        <v>2658645.600000001</v>
      </c>
      <c r="C19" s="223">
        <f>'3-G Financial'!$B12</f>
        <v>2658645.6000000006</v>
      </c>
      <c r="D19" s="223">
        <f t="shared" si="11"/>
        <v>0</v>
      </c>
      <c r="E19" s="270">
        <v>0</v>
      </c>
      <c r="F19" s="223">
        <f>$C19*F$13</f>
        <v>0</v>
      </c>
      <c r="G19" s="223">
        <f t="shared" si="16"/>
        <v>0</v>
      </c>
      <c r="H19" s="223">
        <f t="shared" si="16"/>
        <v>0</v>
      </c>
      <c r="I19" s="223">
        <f t="shared" si="16"/>
        <v>0</v>
      </c>
      <c r="J19" s="223">
        <f t="shared" si="16"/>
        <v>0</v>
      </c>
      <c r="K19" s="223">
        <f t="shared" si="16"/>
        <v>68914.591371596121</v>
      </c>
      <c r="L19" s="223">
        <f t="shared" si="16"/>
        <v>150246.25887240571</v>
      </c>
      <c r="M19" s="223">
        <f t="shared" si="16"/>
        <v>318758.6095601116</v>
      </c>
      <c r="N19" s="223">
        <f t="shared" si="16"/>
        <v>500524.84775486903</v>
      </c>
      <c r="O19" s="223">
        <f t="shared" si="16"/>
        <v>581756.98488203576</v>
      </c>
      <c r="P19" s="223">
        <f t="shared" si="16"/>
        <v>500524.84775486903</v>
      </c>
      <c r="Q19" s="223">
        <f t="shared" si="16"/>
        <v>318758.60956011171</v>
      </c>
      <c r="R19" s="223">
        <f t="shared" si="16"/>
        <v>150246.25887240557</v>
      </c>
      <c r="S19" s="223">
        <f t="shared" si="16"/>
        <v>68914.591371596151</v>
      </c>
      <c r="T19" s="223">
        <f t="shared" si="16"/>
        <v>0</v>
      </c>
      <c r="U19" s="223">
        <f t="shared" si="16"/>
        <v>0</v>
      </c>
      <c r="V19" s="223">
        <f t="shared" si="16"/>
        <v>0</v>
      </c>
      <c r="W19" s="223">
        <f t="shared" si="16"/>
        <v>0</v>
      </c>
      <c r="X19" s="223">
        <f t="shared" si="16"/>
        <v>0</v>
      </c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4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CH19" s="207"/>
      <c r="CI19" s="207"/>
    </row>
    <row r="20" spans="1:87" ht="20.25" customHeight="1">
      <c r="A20" s="207" t="s">
        <v>83</v>
      </c>
      <c r="B20" s="224">
        <f t="shared" si="10"/>
        <v>1993984.2000000002</v>
      </c>
      <c r="C20" s="223">
        <f>'3-G Financial'!$B13</f>
        <v>1993984.2000000002</v>
      </c>
      <c r="D20" s="223">
        <f t="shared" si="11"/>
        <v>0</v>
      </c>
      <c r="E20" s="270">
        <v>0</v>
      </c>
      <c r="F20" s="223">
        <f>IF(AND(F9&gt;$E$4,F9&lt;$H$4), (($C20)*60%/(($G$4)/3)),IF(OR(F7=1,F7=2,F7=3,F7=4,F7=5,F7=6),(($C20)*40%/6),0))</f>
        <v>239278.10399999999</v>
      </c>
      <c r="G20" s="223">
        <f t="shared" ref="G20:X20" si="17">IF(AND(G9&gt;$E$4,G9&lt;$H$4), (($C20)*60%/(($G$4)/3)),IF(OR(G7=1,G7=2,G7=3,G7=4,G7=5,G7=6),(($C20)*40%/6),0))</f>
        <v>239278.10399999999</v>
      </c>
      <c r="H20" s="223">
        <f t="shared" si="17"/>
        <v>239278.10399999999</v>
      </c>
      <c r="I20" s="223">
        <f t="shared" si="17"/>
        <v>239278.10399999999</v>
      </c>
      <c r="J20" s="223">
        <f t="shared" si="17"/>
        <v>239278.10399999999</v>
      </c>
      <c r="K20" s="223">
        <f t="shared" si="17"/>
        <v>132932.28000000003</v>
      </c>
      <c r="L20" s="223">
        <f t="shared" si="17"/>
        <v>132932.28000000003</v>
      </c>
      <c r="M20" s="223">
        <f t="shared" si="17"/>
        <v>132932.28000000003</v>
      </c>
      <c r="N20" s="223">
        <f t="shared" si="17"/>
        <v>132932.28000000003</v>
      </c>
      <c r="O20" s="223">
        <f t="shared" si="17"/>
        <v>132932.28000000003</v>
      </c>
      <c r="P20" s="223">
        <f t="shared" si="17"/>
        <v>132932.28000000003</v>
      </c>
      <c r="Q20" s="223">
        <f t="shared" si="17"/>
        <v>0</v>
      </c>
      <c r="R20" s="223">
        <f t="shared" si="17"/>
        <v>0</v>
      </c>
      <c r="S20" s="223">
        <f t="shared" si="17"/>
        <v>0</v>
      </c>
      <c r="T20" s="223">
        <f t="shared" si="17"/>
        <v>0</v>
      </c>
      <c r="U20" s="223">
        <f t="shared" si="17"/>
        <v>0</v>
      </c>
      <c r="V20" s="223">
        <f t="shared" si="17"/>
        <v>0</v>
      </c>
      <c r="W20" s="223">
        <f t="shared" si="17"/>
        <v>0</v>
      </c>
      <c r="X20" s="223">
        <f t="shared" si="17"/>
        <v>0</v>
      </c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4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CH20" s="207"/>
      <c r="CI20" s="207"/>
    </row>
    <row r="21" spans="1:87" ht="20.25" customHeight="1">
      <c r="A21" s="207" t="s">
        <v>84</v>
      </c>
      <c r="B21" s="224">
        <f t="shared" si="10"/>
        <v>20222.73</v>
      </c>
      <c r="C21" s="223">
        <f>'3-G Financial'!$B14</f>
        <v>20222.73</v>
      </c>
      <c r="D21" s="223">
        <f t="shared" si="11"/>
        <v>0</v>
      </c>
      <c r="E21" s="270">
        <v>0</v>
      </c>
      <c r="F21" s="223">
        <f>IF(F17=0,0,$C$21)</f>
        <v>0</v>
      </c>
      <c r="G21" s="223">
        <f t="shared" ref="G21:X21" si="18">IF(G17=0,0,$C$21)</f>
        <v>0</v>
      </c>
      <c r="H21" s="223">
        <f t="shared" si="18"/>
        <v>0</v>
      </c>
      <c r="I21" s="223">
        <f t="shared" si="18"/>
        <v>0</v>
      </c>
      <c r="J21" s="223">
        <f t="shared" si="18"/>
        <v>20222.73</v>
      </c>
      <c r="K21" s="223">
        <f t="shared" si="18"/>
        <v>0</v>
      </c>
      <c r="L21" s="223">
        <f t="shared" si="18"/>
        <v>0</v>
      </c>
      <c r="M21" s="223">
        <f t="shared" si="18"/>
        <v>0</v>
      </c>
      <c r="N21" s="223">
        <f t="shared" si="18"/>
        <v>0</v>
      </c>
      <c r="O21" s="223">
        <f t="shared" si="18"/>
        <v>0</v>
      </c>
      <c r="P21" s="223">
        <f t="shared" si="18"/>
        <v>0</v>
      </c>
      <c r="Q21" s="223">
        <f t="shared" si="18"/>
        <v>0</v>
      </c>
      <c r="R21" s="223">
        <f t="shared" si="18"/>
        <v>0</v>
      </c>
      <c r="S21" s="223">
        <f t="shared" si="18"/>
        <v>0</v>
      </c>
      <c r="T21" s="223">
        <f t="shared" si="18"/>
        <v>0</v>
      </c>
      <c r="U21" s="223">
        <f t="shared" si="18"/>
        <v>0</v>
      </c>
      <c r="V21" s="223">
        <f t="shared" si="18"/>
        <v>0</v>
      </c>
      <c r="W21" s="223">
        <f t="shared" si="18"/>
        <v>0</v>
      </c>
      <c r="X21" s="223">
        <f t="shared" si="18"/>
        <v>0</v>
      </c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4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CH21" s="207"/>
      <c r="CI21" s="207"/>
    </row>
    <row r="22" spans="1:87" ht="20.25" customHeight="1">
      <c r="A22" s="207" t="s">
        <v>85</v>
      </c>
      <c r="B22" s="224">
        <f t="shared" si="10"/>
        <v>2658645.6000000006</v>
      </c>
      <c r="C22" s="223">
        <f>'3-G Financial'!$B15</f>
        <v>2658645.6000000006</v>
      </c>
      <c r="D22" s="223">
        <f t="shared" si="11"/>
        <v>0</v>
      </c>
      <c r="E22" s="270">
        <v>0</v>
      </c>
      <c r="F22" s="223">
        <f>IF(AND(F9&gt;$E$4,F9&lt;$H$4), (($C22)*60%/(($G$4)/3)),IF(OR(F7=1,F7=2,F7=3,F7=4,F7=5,F7=6),(($C22)*40%/6),0))</f>
        <v>319037.47200000007</v>
      </c>
      <c r="G22" s="223">
        <f t="shared" ref="G22:X22" si="19">IF(AND(G9&gt;$E$4,G9&lt;$H$4), (($C22)*60%/(($G$4)/3)),IF(OR(G7=1,G7=2,G7=3,G7=4,G7=5,G7=6),(($C22)*40%/6),0))</f>
        <v>319037.47200000007</v>
      </c>
      <c r="H22" s="223">
        <f t="shared" si="19"/>
        <v>319037.47200000007</v>
      </c>
      <c r="I22" s="223">
        <f t="shared" si="19"/>
        <v>319037.47200000007</v>
      </c>
      <c r="J22" s="223">
        <f t="shared" si="19"/>
        <v>319037.47200000007</v>
      </c>
      <c r="K22" s="223">
        <f t="shared" si="19"/>
        <v>177243.04000000004</v>
      </c>
      <c r="L22" s="223">
        <f t="shared" si="19"/>
        <v>177243.04000000004</v>
      </c>
      <c r="M22" s="223">
        <f t="shared" si="19"/>
        <v>177243.04000000004</v>
      </c>
      <c r="N22" s="223">
        <f t="shared" si="19"/>
        <v>177243.04000000004</v>
      </c>
      <c r="O22" s="223">
        <f t="shared" si="19"/>
        <v>177243.04000000004</v>
      </c>
      <c r="P22" s="223">
        <f t="shared" si="19"/>
        <v>177243.04000000004</v>
      </c>
      <c r="Q22" s="223">
        <f t="shared" si="19"/>
        <v>0</v>
      </c>
      <c r="R22" s="223">
        <f t="shared" si="19"/>
        <v>0</v>
      </c>
      <c r="S22" s="223">
        <f t="shared" si="19"/>
        <v>0</v>
      </c>
      <c r="T22" s="223">
        <f t="shared" si="19"/>
        <v>0</v>
      </c>
      <c r="U22" s="223">
        <f t="shared" si="19"/>
        <v>0</v>
      </c>
      <c r="V22" s="223">
        <f t="shared" si="19"/>
        <v>0</v>
      </c>
      <c r="W22" s="223">
        <f t="shared" si="19"/>
        <v>0</v>
      </c>
      <c r="X22" s="223">
        <f t="shared" si="19"/>
        <v>0</v>
      </c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4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CH22" s="207"/>
      <c r="CI22" s="207"/>
    </row>
    <row r="23" spans="1:87" ht="20.25" customHeight="1">
      <c r="A23" s="207" t="s">
        <v>86</v>
      </c>
      <c r="B23" s="224">
        <f t="shared" si="10"/>
        <v>4652629.8000000007</v>
      </c>
      <c r="C23" s="223">
        <f>'3-G Financial'!$B16</f>
        <v>4652629.8000000007</v>
      </c>
      <c r="D23" s="223">
        <f t="shared" si="11"/>
        <v>0</v>
      </c>
      <c r="E23" s="270">
        <v>0</v>
      </c>
      <c r="F23" s="223">
        <f>IF(AND(F$9&gt;$F$4,F9&lt;$K$4),$C23/(($J$4)/3),0)</f>
        <v>0</v>
      </c>
      <c r="G23" s="223">
        <f t="shared" ref="G23:X23" si="20">IF(AND(G$9&gt;$F$4,G9&lt;$K$4),$C23/(($J$4)/3),0)</f>
        <v>0</v>
      </c>
      <c r="H23" s="223">
        <f t="shared" si="20"/>
        <v>0</v>
      </c>
      <c r="I23" s="223">
        <f t="shared" si="20"/>
        <v>0</v>
      </c>
      <c r="J23" s="223">
        <f t="shared" si="20"/>
        <v>0</v>
      </c>
      <c r="K23" s="223">
        <f t="shared" si="20"/>
        <v>516958.86666666676</v>
      </c>
      <c r="L23" s="223">
        <f t="shared" si="20"/>
        <v>516958.86666666676</v>
      </c>
      <c r="M23" s="223">
        <f t="shared" si="20"/>
        <v>516958.86666666676</v>
      </c>
      <c r="N23" s="223">
        <f t="shared" si="20"/>
        <v>516958.86666666676</v>
      </c>
      <c r="O23" s="223">
        <f t="shared" si="20"/>
        <v>516958.86666666676</v>
      </c>
      <c r="P23" s="223">
        <f t="shared" si="20"/>
        <v>516958.86666666676</v>
      </c>
      <c r="Q23" s="223">
        <f t="shared" si="20"/>
        <v>516958.86666666676</v>
      </c>
      <c r="R23" s="223">
        <f t="shared" si="20"/>
        <v>516958.86666666676</v>
      </c>
      <c r="S23" s="223">
        <f t="shared" si="20"/>
        <v>516958.86666666676</v>
      </c>
      <c r="T23" s="223">
        <f t="shared" si="20"/>
        <v>0</v>
      </c>
      <c r="U23" s="223">
        <f t="shared" si="20"/>
        <v>0</v>
      </c>
      <c r="V23" s="223">
        <f t="shared" si="20"/>
        <v>0</v>
      </c>
      <c r="W23" s="223">
        <f t="shared" si="20"/>
        <v>0</v>
      </c>
      <c r="X23" s="223">
        <f t="shared" si="20"/>
        <v>0</v>
      </c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4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CH23" s="207"/>
      <c r="CI23" s="207"/>
    </row>
    <row r="24" spans="1:87" ht="20.25" customHeight="1">
      <c r="A24" s="207" t="s">
        <v>88</v>
      </c>
      <c r="B24" s="224">
        <f t="shared" si="10"/>
        <v>2658645.6000000006</v>
      </c>
      <c r="C24" s="223">
        <f>'3-G Financial'!$B17</f>
        <v>2658645.6000000006</v>
      </c>
      <c r="D24" s="223">
        <f t="shared" si="11"/>
        <v>0</v>
      </c>
      <c r="E24" s="270">
        <v>0</v>
      </c>
      <c r="F24" s="223">
        <f>IF(AND(F$9&gt;$F$4,F$9&lt;$K$4),$C24/(($J$4)/3),0)</f>
        <v>0</v>
      </c>
      <c r="G24" s="223">
        <f t="shared" ref="G24:X24" si="21">IF(AND(G$9&gt;$F$4,G$9&lt;$K$4),$C24/(($J$4)/3),0)</f>
        <v>0</v>
      </c>
      <c r="H24" s="223">
        <f t="shared" si="21"/>
        <v>0</v>
      </c>
      <c r="I24" s="223">
        <f t="shared" si="21"/>
        <v>0</v>
      </c>
      <c r="J24" s="223">
        <f t="shared" si="21"/>
        <v>0</v>
      </c>
      <c r="K24" s="223">
        <f t="shared" si="21"/>
        <v>295405.06666666671</v>
      </c>
      <c r="L24" s="223">
        <f t="shared" si="21"/>
        <v>295405.06666666671</v>
      </c>
      <c r="M24" s="223">
        <f t="shared" si="21"/>
        <v>295405.06666666671</v>
      </c>
      <c r="N24" s="223">
        <f t="shared" si="21"/>
        <v>295405.06666666671</v>
      </c>
      <c r="O24" s="223">
        <f t="shared" si="21"/>
        <v>295405.06666666671</v>
      </c>
      <c r="P24" s="223">
        <f t="shared" si="21"/>
        <v>295405.06666666671</v>
      </c>
      <c r="Q24" s="223">
        <f t="shared" si="21"/>
        <v>295405.06666666671</v>
      </c>
      <c r="R24" s="223">
        <f t="shared" si="21"/>
        <v>295405.06666666671</v>
      </c>
      <c r="S24" s="223">
        <f t="shared" si="21"/>
        <v>295405.06666666671</v>
      </c>
      <c r="T24" s="223">
        <f t="shared" si="21"/>
        <v>0</v>
      </c>
      <c r="U24" s="223">
        <f t="shared" si="21"/>
        <v>0</v>
      </c>
      <c r="V24" s="223">
        <f t="shared" si="21"/>
        <v>0</v>
      </c>
      <c r="W24" s="223">
        <f t="shared" si="21"/>
        <v>0</v>
      </c>
      <c r="X24" s="223">
        <f t="shared" si="21"/>
        <v>0</v>
      </c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4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CH24" s="207"/>
      <c r="CI24" s="207"/>
    </row>
    <row r="25" spans="1:87" ht="20.25" customHeight="1">
      <c r="A25" s="207" t="s">
        <v>93</v>
      </c>
      <c r="B25" s="224">
        <f t="shared" si="10"/>
        <v>6646614.0000000009</v>
      </c>
      <c r="C25" s="223">
        <f>'3-G Financial'!$B18</f>
        <v>6646614.0000000009</v>
      </c>
      <c r="D25" s="223">
        <f t="shared" si="11"/>
        <v>0</v>
      </c>
      <c r="E25" s="270">
        <v>0</v>
      </c>
      <c r="F25" s="223">
        <f>$C25*F$13</f>
        <v>0</v>
      </c>
      <c r="G25" s="223">
        <f t="shared" ref="G25:X25" si="22">$C25*G$13</f>
        <v>0</v>
      </c>
      <c r="H25" s="223">
        <f t="shared" si="22"/>
        <v>0</v>
      </c>
      <c r="I25" s="223">
        <f t="shared" si="22"/>
        <v>0</v>
      </c>
      <c r="J25" s="223">
        <f t="shared" si="22"/>
        <v>0</v>
      </c>
      <c r="K25" s="223">
        <f t="shared" si="22"/>
        <v>172286.47842899032</v>
      </c>
      <c r="L25" s="223">
        <f t="shared" si="22"/>
        <v>375615.64718101424</v>
      </c>
      <c r="M25" s="223">
        <f t="shared" si="22"/>
        <v>796896.52390027884</v>
      </c>
      <c r="N25" s="223">
        <f t="shared" si="22"/>
        <v>1251312.1193871724</v>
      </c>
      <c r="O25" s="223">
        <f t="shared" si="22"/>
        <v>1454392.4622050892</v>
      </c>
      <c r="P25" s="223">
        <f t="shared" si="22"/>
        <v>1251312.1193871724</v>
      </c>
      <c r="Q25" s="223">
        <f t="shared" si="22"/>
        <v>796896.52390027919</v>
      </c>
      <c r="R25" s="223">
        <f t="shared" si="22"/>
        <v>375615.64718101389</v>
      </c>
      <c r="S25" s="223">
        <f t="shared" si="22"/>
        <v>172286.47842899038</v>
      </c>
      <c r="T25" s="223">
        <f t="shared" si="22"/>
        <v>0</v>
      </c>
      <c r="U25" s="223">
        <f t="shared" si="22"/>
        <v>0</v>
      </c>
      <c r="V25" s="223">
        <f t="shared" si="22"/>
        <v>0</v>
      </c>
      <c r="W25" s="223">
        <f t="shared" si="22"/>
        <v>0</v>
      </c>
      <c r="X25" s="223">
        <f t="shared" si="22"/>
        <v>0</v>
      </c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4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CH25" s="207"/>
      <c r="CI25" s="207"/>
    </row>
    <row r="26" spans="1:87" ht="20.25" customHeight="1">
      <c r="A26" s="207" t="s">
        <v>97</v>
      </c>
      <c r="B26" s="224">
        <f t="shared" si="10"/>
        <v>1993984.2000000004</v>
      </c>
      <c r="C26" s="223">
        <f>'3-G Financial'!$B19</f>
        <v>1993984.2000000002</v>
      </c>
      <c r="D26" s="223">
        <f t="shared" si="11"/>
        <v>0</v>
      </c>
      <c r="E26" s="270">
        <v>0</v>
      </c>
      <c r="F26" s="273">
        <f>IF(AND(F9&gt;$E$4,F9&lt;$H$4),(($C26)*20%/(($G$4)/3)),IF((F7=1),(($C26)*80%),0))</f>
        <v>79759.368000000017</v>
      </c>
      <c r="G26" s="273">
        <f t="shared" ref="G26:X26" si="23">IF(AND(G9&gt;$E$4,G9&lt;$H$4),(($C26)*20%/(($G$4)/3)),IF((G7=1),(($C26)*80%),0))</f>
        <v>79759.368000000017</v>
      </c>
      <c r="H26" s="273">
        <f t="shared" si="23"/>
        <v>79759.368000000017</v>
      </c>
      <c r="I26" s="273">
        <f t="shared" si="23"/>
        <v>79759.368000000017</v>
      </c>
      <c r="J26" s="273">
        <f t="shared" si="23"/>
        <v>79759.368000000017</v>
      </c>
      <c r="K26" s="273">
        <f t="shared" si="23"/>
        <v>1595187.3600000003</v>
      </c>
      <c r="L26" s="273">
        <f t="shared" si="23"/>
        <v>0</v>
      </c>
      <c r="M26" s="273">
        <f t="shared" si="23"/>
        <v>0</v>
      </c>
      <c r="N26" s="273">
        <f t="shared" si="23"/>
        <v>0</v>
      </c>
      <c r="O26" s="273">
        <f t="shared" si="23"/>
        <v>0</v>
      </c>
      <c r="P26" s="273">
        <f t="shared" si="23"/>
        <v>0</v>
      </c>
      <c r="Q26" s="273">
        <f t="shared" si="23"/>
        <v>0</v>
      </c>
      <c r="R26" s="273">
        <f t="shared" si="23"/>
        <v>0</v>
      </c>
      <c r="S26" s="273">
        <f t="shared" si="23"/>
        <v>0</v>
      </c>
      <c r="T26" s="273">
        <f t="shared" si="23"/>
        <v>0</v>
      </c>
      <c r="U26" s="273">
        <f t="shared" si="23"/>
        <v>0</v>
      </c>
      <c r="V26" s="273">
        <f t="shared" si="23"/>
        <v>0</v>
      </c>
      <c r="W26" s="273">
        <f t="shared" si="23"/>
        <v>0</v>
      </c>
      <c r="X26" s="273">
        <f t="shared" si="23"/>
        <v>0</v>
      </c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4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CH26" s="207"/>
      <c r="CI26" s="207"/>
    </row>
    <row r="27" spans="1:87" ht="20.25" customHeight="1">
      <c r="A27" s="207" t="s">
        <v>100</v>
      </c>
      <c r="B27" s="224">
        <f t="shared" si="10"/>
        <v>500000</v>
      </c>
      <c r="C27" s="223">
        <f>'3-G Financial'!$B20</f>
        <v>500000</v>
      </c>
      <c r="D27" s="223">
        <f t="shared" si="11"/>
        <v>0</v>
      </c>
      <c r="E27" s="270">
        <v>0</v>
      </c>
      <c r="F27" s="223">
        <f>IF(F$8=1,$C27/COUNTIF($E$8:$X$8,"1"),0)</f>
        <v>0</v>
      </c>
      <c r="G27" s="223">
        <f t="shared" ref="G27:X27" si="24">IF(G$8=1,$C27/COUNTIF($E$8:$X$8,"1"),0)</f>
        <v>0</v>
      </c>
      <c r="H27" s="223">
        <f>IF(H$8=1,$C27/COUNTIF($E$8:$X$8,"1"),0)</f>
        <v>0</v>
      </c>
      <c r="I27" s="223">
        <f t="shared" si="24"/>
        <v>0</v>
      </c>
      <c r="J27" s="223">
        <f t="shared" si="24"/>
        <v>0</v>
      </c>
      <c r="K27" s="223">
        <f t="shared" si="24"/>
        <v>0</v>
      </c>
      <c r="L27" s="223">
        <f t="shared" si="24"/>
        <v>0</v>
      </c>
      <c r="M27" s="223">
        <f t="shared" si="24"/>
        <v>0</v>
      </c>
      <c r="N27" s="223">
        <f t="shared" si="24"/>
        <v>0</v>
      </c>
      <c r="O27" s="223">
        <f t="shared" si="24"/>
        <v>0</v>
      </c>
      <c r="P27" s="223">
        <f t="shared" si="24"/>
        <v>0</v>
      </c>
      <c r="Q27" s="223">
        <f t="shared" si="24"/>
        <v>0</v>
      </c>
      <c r="R27" s="223">
        <f t="shared" si="24"/>
        <v>166666.66666666666</v>
      </c>
      <c r="S27" s="223">
        <f t="shared" si="24"/>
        <v>166666.66666666666</v>
      </c>
      <c r="T27" s="223">
        <f t="shared" si="24"/>
        <v>166666.66666666666</v>
      </c>
      <c r="U27" s="223">
        <f t="shared" si="24"/>
        <v>0</v>
      </c>
      <c r="V27" s="223">
        <f t="shared" si="24"/>
        <v>0</v>
      </c>
      <c r="W27" s="223">
        <f t="shared" si="24"/>
        <v>0</v>
      </c>
      <c r="X27" s="223">
        <f t="shared" si="24"/>
        <v>0</v>
      </c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4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CH27" s="207"/>
      <c r="CI27" s="207"/>
    </row>
    <row r="28" spans="1:87" ht="20.25" customHeight="1">
      <c r="A28" s="207" t="s">
        <v>103</v>
      </c>
      <c r="B28" s="224">
        <f t="shared" si="10"/>
        <v>3160908.5625</v>
      </c>
      <c r="C28" s="223">
        <f>'3-G Financial'!$B21</f>
        <v>3160908.5625</v>
      </c>
      <c r="D28" s="223">
        <f t="shared" si="11"/>
        <v>0</v>
      </c>
      <c r="E28" s="270">
        <v>0</v>
      </c>
      <c r="F28" s="223">
        <f>IF(AND(F9&gt;$I$4,F9&lt;=$L$4),$C28/(($M$4)/3),0)</f>
        <v>0</v>
      </c>
      <c r="G28" s="223">
        <f t="shared" ref="G28:X28" si="25">IF(AND(G9&gt;$I$4,G9&lt;=$L$4),$C28/(($M$4)/3),0)</f>
        <v>0</v>
      </c>
      <c r="H28" s="223">
        <f t="shared" si="25"/>
        <v>0</v>
      </c>
      <c r="I28" s="223">
        <f t="shared" si="25"/>
        <v>0</v>
      </c>
      <c r="J28" s="223">
        <f t="shared" si="25"/>
        <v>0</v>
      </c>
      <c r="K28" s="223">
        <f t="shared" si="25"/>
        <v>0</v>
      </c>
      <c r="L28" s="223">
        <f t="shared" si="25"/>
        <v>0</v>
      </c>
      <c r="M28" s="223">
        <f t="shared" si="25"/>
        <v>0</v>
      </c>
      <c r="N28" s="223">
        <f t="shared" si="25"/>
        <v>0</v>
      </c>
      <c r="O28" s="223">
        <f t="shared" si="25"/>
        <v>0</v>
      </c>
      <c r="P28" s="223">
        <f t="shared" si="25"/>
        <v>0</v>
      </c>
      <c r="Q28" s="223">
        <f t="shared" si="25"/>
        <v>0</v>
      </c>
      <c r="R28" s="223">
        <f t="shared" si="25"/>
        <v>0</v>
      </c>
      <c r="S28" s="223">
        <f t="shared" si="25"/>
        <v>0</v>
      </c>
      <c r="T28" s="223">
        <f t="shared" si="25"/>
        <v>1580454.28125</v>
      </c>
      <c r="U28" s="223">
        <f t="shared" si="25"/>
        <v>1580454.28125</v>
      </c>
      <c r="V28" s="223">
        <f t="shared" si="25"/>
        <v>0</v>
      </c>
      <c r="W28" s="223">
        <f t="shared" si="25"/>
        <v>0</v>
      </c>
      <c r="X28" s="223">
        <f t="shared" si="25"/>
        <v>0</v>
      </c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4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CH28" s="207"/>
      <c r="CI28" s="207"/>
    </row>
    <row r="29" spans="1:87" ht="20.25" customHeight="1">
      <c r="A29" s="207" t="s">
        <v>106</v>
      </c>
      <c r="B29" s="224">
        <f t="shared" si="10"/>
        <v>7024241.25</v>
      </c>
      <c r="C29" s="223">
        <f>'3-G Financial'!$B22</f>
        <v>7024241.25</v>
      </c>
      <c r="D29" s="223">
        <f t="shared" si="11"/>
        <v>0</v>
      </c>
      <c r="E29" s="270">
        <v>0</v>
      </c>
      <c r="F29" s="223">
        <f>IF(F$8=1,$C29/COUNTIF($E$8:$X$8,"1"),0)</f>
        <v>0</v>
      </c>
      <c r="G29" s="223">
        <f t="shared" ref="G29:X29" si="26">IF(G$8=1,$C29/COUNTIF($E$8:$X$8,"1"),0)</f>
        <v>0</v>
      </c>
      <c r="H29" s="223">
        <f t="shared" si="26"/>
        <v>0</v>
      </c>
      <c r="I29" s="223">
        <f t="shared" si="26"/>
        <v>0</v>
      </c>
      <c r="J29" s="223">
        <f t="shared" si="26"/>
        <v>0</v>
      </c>
      <c r="K29" s="223">
        <f t="shared" si="26"/>
        <v>0</v>
      </c>
      <c r="L29" s="223">
        <f t="shared" si="26"/>
        <v>0</v>
      </c>
      <c r="M29" s="223">
        <f t="shared" si="26"/>
        <v>0</v>
      </c>
      <c r="N29" s="223">
        <f t="shared" si="26"/>
        <v>0</v>
      </c>
      <c r="O29" s="223">
        <f t="shared" si="26"/>
        <v>0</v>
      </c>
      <c r="P29" s="223">
        <f t="shared" si="26"/>
        <v>0</v>
      </c>
      <c r="Q29" s="223">
        <f t="shared" si="26"/>
        <v>0</v>
      </c>
      <c r="R29" s="223">
        <f t="shared" si="26"/>
        <v>2341413.75</v>
      </c>
      <c r="S29" s="223">
        <f t="shared" si="26"/>
        <v>2341413.75</v>
      </c>
      <c r="T29" s="223">
        <f t="shared" si="26"/>
        <v>2341413.75</v>
      </c>
      <c r="U29" s="223">
        <f t="shared" si="26"/>
        <v>0</v>
      </c>
      <c r="V29" s="223">
        <f t="shared" si="26"/>
        <v>0</v>
      </c>
      <c r="W29" s="223">
        <f t="shared" si="26"/>
        <v>0</v>
      </c>
      <c r="X29" s="223">
        <f t="shared" si="26"/>
        <v>0</v>
      </c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4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CH29" s="207"/>
      <c r="CI29" s="207"/>
    </row>
    <row r="30" spans="1:87" ht="20.25" customHeight="1">
      <c r="A30" s="207" t="s">
        <v>403</v>
      </c>
      <c r="B30" s="224">
        <f t="shared" si="10"/>
        <v>316090.85625000001</v>
      </c>
      <c r="C30" s="223">
        <f>'3-G Financial'!$B23</f>
        <v>316090.85625000001</v>
      </c>
      <c r="D30" s="223">
        <f t="shared" si="11"/>
        <v>0</v>
      </c>
      <c r="E30" s="270">
        <v>0</v>
      </c>
      <c r="F30" s="223">
        <f>IF(AND(F$9&gt;$I$4,F$9&lt;$L$4),$C30,0)</f>
        <v>0</v>
      </c>
      <c r="G30" s="223">
        <f t="shared" ref="G30:X30" si="27">IF(AND(G$9&gt;$I$4,G$9&lt;$L$4),$C30,0)</f>
        <v>0</v>
      </c>
      <c r="H30" s="223">
        <f t="shared" si="27"/>
        <v>0</v>
      </c>
      <c r="I30" s="223">
        <f t="shared" si="27"/>
        <v>0</v>
      </c>
      <c r="J30" s="223">
        <f t="shared" si="27"/>
        <v>0</v>
      </c>
      <c r="K30" s="223">
        <f t="shared" si="27"/>
        <v>0</v>
      </c>
      <c r="L30" s="223">
        <f t="shared" si="27"/>
        <v>0</v>
      </c>
      <c r="M30" s="223">
        <f t="shared" si="27"/>
        <v>0</v>
      </c>
      <c r="N30" s="223">
        <f t="shared" si="27"/>
        <v>0</v>
      </c>
      <c r="O30" s="223">
        <f t="shared" si="27"/>
        <v>0</v>
      </c>
      <c r="P30" s="223">
        <f t="shared" si="27"/>
        <v>0</v>
      </c>
      <c r="Q30" s="223">
        <f t="shared" si="27"/>
        <v>0</v>
      </c>
      <c r="R30" s="223">
        <f t="shared" si="27"/>
        <v>0</v>
      </c>
      <c r="S30" s="223">
        <f t="shared" si="27"/>
        <v>0</v>
      </c>
      <c r="T30" s="223">
        <f t="shared" si="27"/>
        <v>316090.85625000001</v>
      </c>
      <c r="U30" s="223">
        <f t="shared" si="27"/>
        <v>0</v>
      </c>
      <c r="V30" s="223">
        <f t="shared" si="27"/>
        <v>0</v>
      </c>
      <c r="W30" s="223">
        <f t="shared" si="27"/>
        <v>0</v>
      </c>
      <c r="X30" s="223">
        <f t="shared" si="27"/>
        <v>0</v>
      </c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4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CH30" s="207"/>
      <c r="CI30" s="207"/>
    </row>
    <row r="31" spans="1:87" ht="20.25" customHeight="1">
      <c r="A31" s="207" t="s">
        <v>112</v>
      </c>
      <c r="B31" s="224">
        <f t="shared" si="10"/>
        <v>635019.18598125014</v>
      </c>
      <c r="C31" s="223">
        <f>'3-G Financial'!$B24</f>
        <v>635019.18598125014</v>
      </c>
      <c r="D31" s="223">
        <f t="shared" si="11"/>
        <v>0</v>
      </c>
      <c r="E31" s="270">
        <v>0</v>
      </c>
      <c r="F31" s="223">
        <f t="shared" ref="F31:X31" si="28">IF(F$13&gt;0,$C31/(($J$4)/3),0)</f>
        <v>0</v>
      </c>
      <c r="G31" s="223">
        <f t="shared" si="28"/>
        <v>0</v>
      </c>
      <c r="H31" s="223">
        <f t="shared" si="28"/>
        <v>0</v>
      </c>
      <c r="I31" s="223">
        <f t="shared" si="28"/>
        <v>0</v>
      </c>
      <c r="J31" s="223">
        <f t="shared" si="28"/>
        <v>0</v>
      </c>
      <c r="K31" s="223">
        <f t="shared" si="28"/>
        <v>70557.68733125001</v>
      </c>
      <c r="L31" s="223">
        <f t="shared" si="28"/>
        <v>70557.68733125001</v>
      </c>
      <c r="M31" s="223">
        <f t="shared" si="28"/>
        <v>70557.68733125001</v>
      </c>
      <c r="N31" s="223">
        <f t="shared" si="28"/>
        <v>70557.68733125001</v>
      </c>
      <c r="O31" s="223">
        <f t="shared" si="28"/>
        <v>70557.68733125001</v>
      </c>
      <c r="P31" s="223">
        <f t="shared" si="28"/>
        <v>70557.68733125001</v>
      </c>
      <c r="Q31" s="223">
        <f t="shared" si="28"/>
        <v>70557.68733125001</v>
      </c>
      <c r="R31" s="223">
        <f t="shared" si="28"/>
        <v>70557.68733125001</v>
      </c>
      <c r="S31" s="223">
        <f t="shared" si="28"/>
        <v>70557.68733125001</v>
      </c>
      <c r="T31" s="223">
        <f t="shared" si="28"/>
        <v>0</v>
      </c>
      <c r="U31" s="223">
        <f t="shared" si="28"/>
        <v>0</v>
      </c>
      <c r="V31" s="223">
        <f t="shared" si="28"/>
        <v>0</v>
      </c>
      <c r="W31" s="223">
        <f t="shared" si="28"/>
        <v>0</v>
      </c>
      <c r="X31" s="223">
        <f t="shared" si="28"/>
        <v>0</v>
      </c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CH31" s="207"/>
      <c r="CI31" s="207"/>
    </row>
    <row r="32" spans="1:87" ht="20.25" customHeight="1">
      <c r="A32" s="207" t="s">
        <v>165</v>
      </c>
      <c r="B32" s="224">
        <f>SUM(E32:X32)</f>
        <v>-3499999.9999999995</v>
      </c>
      <c r="C32" s="223">
        <f>'3-G Financial'!$B25</f>
        <v>-3500000</v>
      </c>
      <c r="D32" s="223">
        <f>B32-C32</f>
        <v>0</v>
      </c>
      <c r="E32" s="270">
        <v>0</v>
      </c>
      <c r="F32" s="223">
        <f>$C32*F$13</f>
        <v>0</v>
      </c>
      <c r="G32" s="223">
        <f t="shared" ref="G32:X32" si="29">$C32*G$13</f>
        <v>0</v>
      </c>
      <c r="H32" s="223">
        <f t="shared" si="29"/>
        <v>0</v>
      </c>
      <c r="I32" s="223">
        <f t="shared" si="29"/>
        <v>0</v>
      </c>
      <c r="J32" s="223">
        <f t="shared" si="29"/>
        <v>0</v>
      </c>
      <c r="K32" s="223">
        <f t="shared" si="29"/>
        <v>-90723.287752450502</v>
      </c>
      <c r="L32" s="223">
        <f t="shared" si="29"/>
        <v>-197793.15680639038</v>
      </c>
      <c r="M32" s="223">
        <f t="shared" si="29"/>
        <v>-419632.88881390973</v>
      </c>
      <c r="N32" s="223">
        <f t="shared" si="29"/>
        <v>-658920.83064476179</v>
      </c>
      <c r="O32" s="223">
        <f t="shared" si="29"/>
        <v>-765859.67196497519</v>
      </c>
      <c r="P32" s="223">
        <f t="shared" si="29"/>
        <v>-658920.83064476179</v>
      </c>
      <c r="Q32" s="223">
        <f t="shared" si="29"/>
        <v>-419632.88881390984</v>
      </c>
      <c r="R32" s="223">
        <f t="shared" si="29"/>
        <v>-197793.15680639021</v>
      </c>
      <c r="S32" s="223">
        <f t="shared" si="29"/>
        <v>-90723.287752450531</v>
      </c>
      <c r="T32" s="223">
        <f t="shared" si="29"/>
        <v>0</v>
      </c>
      <c r="U32" s="223">
        <f t="shared" si="29"/>
        <v>0</v>
      </c>
      <c r="V32" s="223">
        <f t="shared" si="29"/>
        <v>0</v>
      </c>
      <c r="W32" s="223">
        <f t="shared" si="29"/>
        <v>0</v>
      </c>
      <c r="X32" s="223">
        <f t="shared" si="29"/>
        <v>0</v>
      </c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4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CH32" s="207"/>
      <c r="CI32" s="207"/>
    </row>
    <row r="33" spans="1:87" ht="20.25" customHeight="1">
      <c r="A33" s="207" t="s">
        <v>38</v>
      </c>
      <c r="B33" s="224">
        <f ca="1">SUM(E33:X33)</f>
        <v>465000</v>
      </c>
      <c r="C33" s="223">
        <f>'3-G Financial'!$B26</f>
        <v>465000</v>
      </c>
      <c r="D33" s="223">
        <f ca="1">B33-C33</f>
        <v>0</v>
      </c>
      <c r="E33" s="270">
        <v>0</v>
      </c>
      <c r="F33" s="223">
        <f t="shared" ref="F33:X33" ca="1" si="30">IF(AND(G39&gt;0,F39=0),$C$33,0)</f>
        <v>0</v>
      </c>
      <c r="G33" s="223">
        <f t="shared" ca="1" si="30"/>
        <v>0</v>
      </c>
      <c r="H33" s="223">
        <f t="shared" ca="1" si="30"/>
        <v>0</v>
      </c>
      <c r="I33" s="223">
        <f t="shared" ca="1" si="30"/>
        <v>0</v>
      </c>
      <c r="J33" s="223">
        <f t="shared" ca="1" si="30"/>
        <v>0</v>
      </c>
      <c r="K33" s="223">
        <f t="shared" ca="1" si="30"/>
        <v>0</v>
      </c>
      <c r="L33" s="223">
        <f t="shared" ca="1" si="30"/>
        <v>0</v>
      </c>
      <c r="M33" s="223">
        <f t="shared" ca="1" si="30"/>
        <v>0</v>
      </c>
      <c r="N33" s="223">
        <f t="shared" ca="1" si="30"/>
        <v>465000</v>
      </c>
      <c r="O33" s="223">
        <f t="shared" ca="1" si="30"/>
        <v>0</v>
      </c>
      <c r="P33" s="223">
        <f t="shared" ca="1" si="30"/>
        <v>0</v>
      </c>
      <c r="Q33" s="223">
        <f t="shared" ca="1" si="30"/>
        <v>0</v>
      </c>
      <c r="R33" s="223">
        <f t="shared" ca="1" si="30"/>
        <v>0</v>
      </c>
      <c r="S33" s="223">
        <f t="shared" ca="1" si="30"/>
        <v>0</v>
      </c>
      <c r="T33" s="223">
        <f t="shared" ca="1" si="30"/>
        <v>0</v>
      </c>
      <c r="U33" s="223">
        <f t="shared" ca="1" si="30"/>
        <v>0</v>
      </c>
      <c r="V33" s="223">
        <f t="shared" ca="1" si="30"/>
        <v>0</v>
      </c>
      <c r="W33" s="223">
        <f t="shared" ca="1" si="30"/>
        <v>0</v>
      </c>
      <c r="X33" s="223">
        <f t="shared" ca="1" si="30"/>
        <v>0</v>
      </c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4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CH33" s="207"/>
      <c r="CI33" s="207"/>
    </row>
    <row r="34" spans="1:87" ht="20.25" customHeight="1">
      <c r="A34" s="207" t="s">
        <v>407</v>
      </c>
      <c r="B34" s="224">
        <f>SUM(E34:X34)</f>
        <v>7585000.0000000009</v>
      </c>
      <c r="C34" s="223">
        <f>'3-G Financial'!$B27</f>
        <v>7585000</v>
      </c>
      <c r="D34" s="223">
        <f>B34-C34</f>
        <v>0</v>
      </c>
      <c r="E34" s="270">
        <v>0</v>
      </c>
      <c r="F34" s="223">
        <f>IF(F7&lt;&gt;0,$C$34/($J$4/3),0)</f>
        <v>0</v>
      </c>
      <c r="G34" s="223">
        <f t="shared" ref="G34:X34" si="31">IF(G7&lt;&gt;0,$C$34/($J$4/3),0)</f>
        <v>0</v>
      </c>
      <c r="H34" s="223">
        <f t="shared" si="31"/>
        <v>0</v>
      </c>
      <c r="I34" s="223">
        <f t="shared" si="31"/>
        <v>0</v>
      </c>
      <c r="J34" s="223">
        <f t="shared" si="31"/>
        <v>0</v>
      </c>
      <c r="K34" s="223">
        <f t="shared" si="31"/>
        <v>842777.77777777775</v>
      </c>
      <c r="L34" s="223">
        <f t="shared" si="31"/>
        <v>842777.77777777775</v>
      </c>
      <c r="M34" s="223">
        <f t="shared" si="31"/>
        <v>842777.77777777775</v>
      </c>
      <c r="N34" s="223">
        <f t="shared" si="31"/>
        <v>842777.77777777775</v>
      </c>
      <c r="O34" s="223">
        <f t="shared" si="31"/>
        <v>842777.77777777775</v>
      </c>
      <c r="P34" s="223">
        <f t="shared" si="31"/>
        <v>842777.77777777775</v>
      </c>
      <c r="Q34" s="223">
        <f t="shared" si="31"/>
        <v>842777.77777777775</v>
      </c>
      <c r="R34" s="223">
        <f t="shared" si="31"/>
        <v>842777.77777777775</v>
      </c>
      <c r="S34" s="223">
        <f t="shared" si="31"/>
        <v>842777.77777777775</v>
      </c>
      <c r="T34" s="223">
        <f t="shared" si="31"/>
        <v>0</v>
      </c>
      <c r="U34" s="223">
        <f t="shared" si="31"/>
        <v>0</v>
      </c>
      <c r="V34" s="223">
        <f t="shared" si="31"/>
        <v>0</v>
      </c>
      <c r="W34" s="223">
        <f t="shared" si="31"/>
        <v>0</v>
      </c>
      <c r="X34" s="223">
        <f t="shared" si="31"/>
        <v>0</v>
      </c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4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CH34" s="207"/>
      <c r="CI34" s="207"/>
    </row>
    <row r="35" spans="1:87" ht="20.25" customHeight="1">
      <c r="B35" s="252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CH35" s="207"/>
      <c r="CI35" s="207"/>
    </row>
    <row r="36" spans="1:87" s="254" customFormat="1" ht="30" customHeight="1">
      <c r="A36" s="254" t="s">
        <v>408</v>
      </c>
      <c r="B36" s="256">
        <f ca="1">SUM(E36:X36)</f>
        <v>182337434.7847313</v>
      </c>
      <c r="C36" s="255">
        <f>SUM(C14:C34)</f>
        <v>182337434.78473121</v>
      </c>
      <c r="D36" s="255">
        <f ca="1">B36-C36</f>
        <v>0</v>
      </c>
      <c r="E36" s="255">
        <f>SUM(E14:E34)</f>
        <v>0</v>
      </c>
      <c r="F36" s="255">
        <f ca="1">SUM(F14:F34)</f>
        <v>638074.94400000013</v>
      </c>
      <c r="G36" s="255">
        <f t="shared" ref="G36:X36" ca="1" si="32">SUM(G14:G34)</f>
        <v>638074.94400000013</v>
      </c>
      <c r="H36" s="255">
        <f t="shared" ca="1" si="32"/>
        <v>638074.94400000013</v>
      </c>
      <c r="I36" s="255">
        <f t="shared" ca="1" si="32"/>
        <v>638074.94400000013</v>
      </c>
      <c r="J36" s="255">
        <f t="shared" ca="1" si="32"/>
        <v>1467206.8740000001</v>
      </c>
      <c r="K36" s="255">
        <f t="shared" ca="1" si="32"/>
        <v>7463839.8371067448</v>
      </c>
      <c r="L36" s="255">
        <f t="shared" ca="1" si="32"/>
        <v>10392022.638170647</v>
      </c>
      <c r="M36" s="255">
        <f t="shared" ca="1" si="32"/>
        <v>19764063.840497125</v>
      </c>
      <c r="N36" s="255">
        <f t="shared" ca="1" si="32"/>
        <v>30338237.836355694</v>
      </c>
      <c r="O36" s="255">
        <f t="shared" ca="1" si="32"/>
        <v>34391072.48172085</v>
      </c>
      <c r="P36" s="255">
        <f t="shared" ca="1" si="32"/>
        <v>29873237.836355694</v>
      </c>
      <c r="Q36" s="255">
        <f t="shared" ca="1" si="32"/>
        <v>19453888.520497132</v>
      </c>
      <c r="R36" s="255">
        <f t="shared" ca="1" si="32"/>
        <v>12589927.734837303</v>
      </c>
      <c r="S36" s="255">
        <f t="shared" ca="1" si="32"/>
        <v>8066557.573773413</v>
      </c>
      <c r="T36" s="255">
        <f t="shared" ca="1" si="32"/>
        <v>4404625.5541666672</v>
      </c>
      <c r="U36" s="255">
        <f t="shared" ca="1" si="32"/>
        <v>1580454.28125</v>
      </c>
      <c r="V36" s="255">
        <f t="shared" ca="1" si="32"/>
        <v>0</v>
      </c>
      <c r="W36" s="255">
        <f t="shared" ca="1" si="32"/>
        <v>0</v>
      </c>
      <c r="X36" s="255">
        <f t="shared" ca="1" si="32"/>
        <v>0</v>
      </c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6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</row>
    <row r="37" spans="1:87" s="227" customFormat="1" ht="20.25" customHeight="1">
      <c r="A37" s="227" t="s">
        <v>493</v>
      </c>
      <c r="B37" s="369">
        <f ca="1">SUM(E37:X37)</f>
        <v>87521968.696670979</v>
      </c>
      <c r="C37" s="228"/>
      <c r="D37" s="230"/>
      <c r="E37" s="228">
        <f>E36</f>
        <v>0</v>
      </c>
      <c r="F37" s="228">
        <f t="shared" ref="F37:X37" ca="1" si="33">IF(((E38+F36)&lt;=$B$38),F36,($B$38-E38))</f>
        <v>638074.94400000013</v>
      </c>
      <c r="G37" s="228">
        <f t="shared" ca="1" si="33"/>
        <v>638074.94400000013</v>
      </c>
      <c r="H37" s="228">
        <f t="shared" ca="1" si="33"/>
        <v>638074.94400000013</v>
      </c>
      <c r="I37" s="228">
        <f t="shared" ca="1" si="33"/>
        <v>638074.94400000013</v>
      </c>
      <c r="J37" s="228">
        <f t="shared" ca="1" si="33"/>
        <v>1467206.8740000001</v>
      </c>
      <c r="K37" s="228">
        <f t="shared" ca="1" si="33"/>
        <v>7463839.8371067448</v>
      </c>
      <c r="L37" s="228">
        <f t="shared" ca="1" si="33"/>
        <v>10392022.638170647</v>
      </c>
      <c r="M37" s="228">
        <f t="shared" ca="1" si="33"/>
        <v>19764063.840497125</v>
      </c>
      <c r="N37" s="228">
        <f t="shared" ca="1" si="33"/>
        <v>30338237.836355694</v>
      </c>
      <c r="O37" s="228">
        <f t="shared" ca="1" si="33"/>
        <v>15544297.894540757</v>
      </c>
      <c r="P37" s="228">
        <f t="shared" ca="1" si="33"/>
        <v>0</v>
      </c>
      <c r="Q37" s="228">
        <f t="shared" ca="1" si="33"/>
        <v>0</v>
      </c>
      <c r="R37" s="228">
        <f t="shared" ca="1" si="33"/>
        <v>0</v>
      </c>
      <c r="S37" s="228">
        <f t="shared" ca="1" si="33"/>
        <v>0</v>
      </c>
      <c r="T37" s="228">
        <f t="shared" ca="1" si="33"/>
        <v>0</v>
      </c>
      <c r="U37" s="228">
        <f t="shared" ca="1" si="33"/>
        <v>0</v>
      </c>
      <c r="V37" s="228">
        <f t="shared" ca="1" si="33"/>
        <v>0</v>
      </c>
      <c r="W37" s="228">
        <f t="shared" ca="1" si="33"/>
        <v>0</v>
      </c>
      <c r="X37" s="228">
        <f t="shared" ca="1" si="33"/>
        <v>0</v>
      </c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9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</row>
    <row r="38" spans="1:87" ht="20.25" customHeight="1">
      <c r="A38" s="207" t="s">
        <v>494</v>
      </c>
      <c r="B38" s="224">
        <f>'3-G Financial'!$D$15</f>
        <v>87521968.696670979</v>
      </c>
      <c r="C38" s="223"/>
      <c r="D38" s="223"/>
      <c r="E38" s="223">
        <f>IF(OR(E9&lt;$E$4,E9&gt;$L$4),0,IF(SUM($E$37:E37)&lt;=$B38,SUM($E$37:E37),$B$38))</f>
        <v>0</v>
      </c>
      <c r="F38" s="223">
        <f ca="1">IF(OR(F9&lt;$E$4,F9&gt;$L$4),0,IF(SUM($E$37:F37)&lt;=$B38,SUM($E$37:F37),$B$38))</f>
        <v>638074.94400000013</v>
      </c>
      <c r="G38" s="223">
        <f ca="1">IF(OR(G9&lt;$E$4,G9&gt;$L$4),0,IF(SUM($E$37:G37)&lt;=$B38,SUM($E$37:G37),$B$38))</f>
        <v>1276149.8880000003</v>
      </c>
      <c r="H38" s="223">
        <f ca="1">IF(OR(H9&lt;$E$4,H9&gt;$L$4),0,IF(SUM($E$37:H37)&lt;=$B38,SUM($E$37:H37),$B$38))</f>
        <v>1914224.8320000004</v>
      </c>
      <c r="I38" s="223">
        <f ca="1">IF(OR(I9&lt;$E$4,I9&gt;$L$4),0,IF(SUM($E$37:I37)&lt;=$B38,SUM($E$37:I37),$B$38))</f>
        <v>2552299.7760000005</v>
      </c>
      <c r="J38" s="223">
        <f ca="1">IF(OR(J9&lt;$E$4,J9&gt;$L$4),0,IF(SUM($E$37:J37)&lt;=$B38,SUM($E$37:J37),$B$38))</f>
        <v>4019506.6500000004</v>
      </c>
      <c r="K38" s="223">
        <f ca="1">IF(OR(K9&lt;$E$4,K9&gt;$L$4),0,IF(SUM($E$37:K37)&lt;=$B38,SUM($E$37:K37),$B$38))</f>
        <v>11483346.487106744</v>
      </c>
      <c r="L38" s="223">
        <f ca="1">IF(OR(L9&lt;$E$4,L9&gt;$L$4),0,IF(SUM($E$37:L37)&lt;=$B38,SUM($E$37:L37),$B$38))</f>
        <v>21875369.125277393</v>
      </c>
      <c r="M38" s="223">
        <f ca="1">IF(OR(M9&lt;$E$4,M9&gt;$L$4),0,IF(SUM($E$37:M37)&lt;=$B38,SUM($E$37:M37),$B$38))</f>
        <v>41639432.965774521</v>
      </c>
      <c r="N38" s="223">
        <f ca="1">IF(OR(N9&lt;$E$4,N9&gt;$L$4),0,IF(SUM($E$37:N37)&lt;=$B38,SUM($E$37:N37),$B$38))</f>
        <v>71977670.802130222</v>
      </c>
      <c r="O38" s="223">
        <f ca="1">IF(OR(O9&lt;$E$4,O9&gt;$L$4),0,IF(SUM($E$37:O37)&lt;=$B38,SUM($E$37:O37),$B$38))</f>
        <v>87521968.696670979</v>
      </c>
      <c r="P38" s="223">
        <f ca="1">IF(OR(P9&lt;$E$4,P9&gt;$L$4),0,IF(SUM($E$37:P37)&lt;=$B38,SUM($E$37:P37),$B$38))</f>
        <v>87521968.696670979</v>
      </c>
      <c r="Q38" s="223">
        <f ca="1">IF(OR(Q9&lt;$E$4,Q9&gt;$L$4),0,IF(SUM($E$37:Q37)&lt;=$B38,SUM($E$37:Q37),$B$38))</f>
        <v>87521968.696670979</v>
      </c>
      <c r="R38" s="223">
        <f ca="1">IF(OR(R9&lt;$E$4,R9&gt;$L$4),0,IF(SUM($E$37:R37)&lt;=$B38,SUM($E$37:R37),$B$38))</f>
        <v>87521968.696670979</v>
      </c>
      <c r="S38" s="223">
        <f ca="1">IF(OR(S9&lt;$E$4,S9&gt;$L$4),0,IF(SUM($E$37:S37)&lt;=$B38,SUM($E$37:S37),$B$38))</f>
        <v>87521968.696670979</v>
      </c>
      <c r="T38" s="223">
        <f ca="1">IF(OR(T9&lt;$E$4,T9&gt;$L$4),0,IF(SUM($E$37:T37)&lt;=$B38,SUM($E$37:T37),$B$38))</f>
        <v>87521968.696670979</v>
      </c>
      <c r="U38" s="223">
        <f ca="1">IF(OR(U9&lt;$E$4,U9&gt;$L$4),0,IF(SUM($E$37:U37)&lt;=$B38,SUM($E$37:U37),$B$38))</f>
        <v>87521968.696670979</v>
      </c>
      <c r="V38" s="223">
        <f>IF(OR(V9&lt;$E$4,V9&gt;$L$4),0,IF(SUM($E$37:V37)&lt;=$B38,SUM($E$37:V37),$B$38))</f>
        <v>0</v>
      </c>
      <c r="W38" s="223">
        <f>IF(OR(W9&lt;$E$4,W9&gt;$L$4),0,IF(SUM($E$37:W37)&lt;=$B38,SUM($E$37:W37),$B$38))</f>
        <v>0</v>
      </c>
      <c r="X38" s="223">
        <f>IF(OR(X9&lt;$E$4,X9&gt;$L$4),0,IF(SUM($E$37:X37)&lt;=$B38,SUM($E$37:X37),$B$38))</f>
        <v>0</v>
      </c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4"/>
      <c r="AS38" s="223"/>
      <c r="AT38" s="223"/>
      <c r="AU38" s="223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CH38" s="207"/>
      <c r="CI38" s="207"/>
    </row>
    <row r="39" spans="1:87" ht="20.25" customHeight="1">
      <c r="A39" s="207" t="s">
        <v>495</v>
      </c>
      <c r="B39" s="365">
        <f ca="1">SUM(E39:X39)</f>
        <v>94815466.088060319</v>
      </c>
      <c r="C39" s="223"/>
      <c r="D39" s="223"/>
      <c r="E39" s="223">
        <f t="shared" ref="E39:X39" si="34">IF(E36&gt;E37,E36-E37,0)</f>
        <v>0</v>
      </c>
      <c r="F39" s="223">
        <f t="shared" ca="1" si="34"/>
        <v>0</v>
      </c>
      <c r="G39" s="223">
        <f t="shared" ca="1" si="34"/>
        <v>0</v>
      </c>
      <c r="H39" s="223">
        <f t="shared" ca="1" si="34"/>
        <v>0</v>
      </c>
      <c r="I39" s="223">
        <f t="shared" ca="1" si="34"/>
        <v>0</v>
      </c>
      <c r="J39" s="223">
        <f t="shared" ca="1" si="34"/>
        <v>0</v>
      </c>
      <c r="K39" s="223">
        <f t="shared" ca="1" si="34"/>
        <v>0</v>
      </c>
      <c r="L39" s="223">
        <f t="shared" ca="1" si="34"/>
        <v>0</v>
      </c>
      <c r="M39" s="223">
        <f t="shared" ca="1" si="34"/>
        <v>0</v>
      </c>
      <c r="N39" s="223">
        <f t="shared" ca="1" si="34"/>
        <v>0</v>
      </c>
      <c r="O39" s="223">
        <f t="shared" ca="1" si="34"/>
        <v>18846774.587180093</v>
      </c>
      <c r="P39" s="223">
        <f t="shared" ca="1" si="34"/>
        <v>29873237.836355694</v>
      </c>
      <c r="Q39" s="223">
        <f t="shared" ca="1" si="34"/>
        <v>19453888.520497132</v>
      </c>
      <c r="R39" s="223">
        <f t="shared" ca="1" si="34"/>
        <v>12589927.734837303</v>
      </c>
      <c r="S39" s="223">
        <f t="shared" ca="1" si="34"/>
        <v>8066557.573773413</v>
      </c>
      <c r="T39" s="223">
        <f t="shared" ca="1" si="34"/>
        <v>4404625.5541666672</v>
      </c>
      <c r="U39" s="223">
        <f t="shared" ca="1" si="34"/>
        <v>1580454.28125</v>
      </c>
      <c r="V39" s="223">
        <f t="shared" ca="1" si="34"/>
        <v>0</v>
      </c>
      <c r="W39" s="223">
        <f t="shared" ca="1" si="34"/>
        <v>0</v>
      </c>
      <c r="X39" s="223">
        <f t="shared" ca="1" si="34"/>
        <v>0</v>
      </c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4"/>
      <c r="AS39" s="245"/>
      <c r="AT39" s="223"/>
      <c r="AU39" s="223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CH39" s="207"/>
      <c r="CI39" s="207"/>
    </row>
    <row r="40" spans="1:87" s="227" customFormat="1" ht="20.25" customHeight="1">
      <c r="A40" s="227" t="s">
        <v>496</v>
      </c>
      <c r="B40" s="229">
        <f ca="1">-B39</f>
        <v>-94815466.088060319</v>
      </c>
      <c r="C40" s="228"/>
      <c r="D40" s="228"/>
      <c r="E40" s="228">
        <f>IF(E6=$K$3,$B$40,0)</f>
        <v>0</v>
      </c>
      <c r="F40" s="228">
        <f t="shared" ref="F40:X40" si="35">IF(F6=$L$3,$B$40,0)</f>
        <v>0</v>
      </c>
      <c r="G40" s="228">
        <f t="shared" si="35"/>
        <v>0</v>
      </c>
      <c r="H40" s="228">
        <f t="shared" si="35"/>
        <v>0</v>
      </c>
      <c r="I40" s="228">
        <f t="shared" si="35"/>
        <v>0</v>
      </c>
      <c r="J40" s="228">
        <f t="shared" si="35"/>
        <v>0</v>
      </c>
      <c r="K40" s="228">
        <f t="shared" si="35"/>
        <v>0</v>
      </c>
      <c r="L40" s="228">
        <f t="shared" si="35"/>
        <v>0</v>
      </c>
      <c r="M40" s="228">
        <f t="shared" si="35"/>
        <v>0</v>
      </c>
      <c r="N40" s="228">
        <f t="shared" si="35"/>
        <v>0</v>
      </c>
      <c r="O40" s="228">
        <f t="shared" si="35"/>
        <v>0</v>
      </c>
      <c r="P40" s="228">
        <f t="shared" si="35"/>
        <v>0</v>
      </c>
      <c r="Q40" s="228">
        <f t="shared" si="35"/>
        <v>0</v>
      </c>
      <c r="R40" s="228">
        <f t="shared" si="35"/>
        <v>0</v>
      </c>
      <c r="S40" s="228">
        <f t="shared" si="35"/>
        <v>0</v>
      </c>
      <c r="T40" s="228">
        <f t="shared" si="35"/>
        <v>0</v>
      </c>
      <c r="U40" s="228">
        <f t="shared" ca="1" si="35"/>
        <v>-94815466.088060319</v>
      </c>
      <c r="V40" s="228">
        <f t="shared" si="35"/>
        <v>0</v>
      </c>
      <c r="W40" s="228">
        <f t="shared" si="35"/>
        <v>0</v>
      </c>
      <c r="X40" s="228">
        <f t="shared" si="35"/>
        <v>0</v>
      </c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9"/>
      <c r="AS40" s="228"/>
      <c r="AT40" s="228"/>
      <c r="AU40" s="228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</row>
    <row r="41" spans="1:87" s="366" customFormat="1" ht="20.25" customHeight="1">
      <c r="A41" s="371" t="s">
        <v>497</v>
      </c>
      <c r="B41" s="372">
        <f>'3-G Financial'!$D$9</f>
        <v>0</v>
      </c>
      <c r="C41" s="373"/>
      <c r="D41" s="373"/>
      <c r="E41" s="373">
        <f t="shared" ref="E41:X41" si="36">IF(E6=$L$3,$B41,0)</f>
        <v>0</v>
      </c>
      <c r="F41" s="373">
        <f t="shared" si="36"/>
        <v>0</v>
      </c>
      <c r="G41" s="373">
        <f t="shared" si="36"/>
        <v>0</v>
      </c>
      <c r="H41" s="373">
        <f t="shared" si="36"/>
        <v>0</v>
      </c>
      <c r="I41" s="373">
        <f t="shared" si="36"/>
        <v>0</v>
      </c>
      <c r="J41" s="373">
        <f t="shared" si="36"/>
        <v>0</v>
      </c>
      <c r="K41" s="373">
        <f t="shared" si="36"/>
        <v>0</v>
      </c>
      <c r="L41" s="373">
        <f t="shared" si="36"/>
        <v>0</v>
      </c>
      <c r="M41" s="373">
        <f t="shared" si="36"/>
        <v>0</v>
      </c>
      <c r="N41" s="373">
        <f t="shared" si="36"/>
        <v>0</v>
      </c>
      <c r="O41" s="373">
        <f t="shared" si="36"/>
        <v>0</v>
      </c>
      <c r="P41" s="373">
        <f t="shared" si="36"/>
        <v>0</v>
      </c>
      <c r="Q41" s="373">
        <f t="shared" si="36"/>
        <v>0</v>
      </c>
      <c r="R41" s="373">
        <f t="shared" si="36"/>
        <v>0</v>
      </c>
      <c r="S41" s="373">
        <f t="shared" si="36"/>
        <v>0</v>
      </c>
      <c r="T41" s="373">
        <f t="shared" si="36"/>
        <v>0</v>
      </c>
      <c r="U41" s="373">
        <f t="shared" si="36"/>
        <v>0</v>
      </c>
      <c r="V41" s="373">
        <f t="shared" si="36"/>
        <v>0</v>
      </c>
      <c r="W41" s="373">
        <f t="shared" si="36"/>
        <v>0</v>
      </c>
      <c r="X41" s="373">
        <f t="shared" si="36"/>
        <v>0</v>
      </c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2"/>
      <c r="AS41" s="373"/>
      <c r="AT41" s="373"/>
      <c r="AU41" s="373"/>
      <c r="AV41" s="374"/>
      <c r="AW41" s="374"/>
      <c r="AX41" s="374"/>
      <c r="AY41" s="374"/>
      <c r="AZ41" s="374"/>
      <c r="BA41" s="374"/>
      <c r="BB41" s="374"/>
      <c r="BC41" s="374"/>
      <c r="BD41" s="374"/>
      <c r="BE41" s="374"/>
      <c r="BF41" s="374"/>
      <c r="BG41" s="374"/>
      <c r="BH41" s="374"/>
      <c r="BI41" s="374"/>
      <c r="BJ41" s="374"/>
      <c r="BK41" s="374"/>
      <c r="BL41" s="374"/>
      <c r="BM41" s="374"/>
      <c r="BN41" s="374"/>
      <c r="BO41" s="374"/>
      <c r="BP41" s="374"/>
      <c r="BQ41" s="374"/>
      <c r="BR41" s="374"/>
      <c r="BS41" s="374"/>
      <c r="BT41" s="374"/>
      <c r="BU41" s="374"/>
      <c r="BV41" s="371"/>
      <c r="BW41" s="371"/>
      <c r="BX41" s="371"/>
      <c r="BY41" s="371"/>
      <c r="BZ41" s="371"/>
      <c r="CA41" s="371"/>
      <c r="CB41" s="371"/>
      <c r="CC41" s="371"/>
      <c r="CD41" s="371"/>
      <c r="CE41" s="371"/>
      <c r="CF41" s="371"/>
      <c r="CG41" s="371"/>
      <c r="CH41" s="371"/>
      <c r="CI41" s="371"/>
    </row>
    <row r="42" spans="1:87" s="488" customFormat="1" ht="20.25" customHeight="1">
      <c r="A42" s="1092" t="s">
        <v>498</v>
      </c>
      <c r="B42" s="838">
        <f ca="1">SUM(E42:AR42)</f>
        <v>98762411.790915087</v>
      </c>
      <c r="C42" s="1095"/>
      <c r="D42" s="1095"/>
      <c r="E42" s="1095">
        <f ca="1">IF(E41&gt;$B$39,0,IF('3-G Financial'!$D$11="NO",IF(E6&lt;&gt;$L$3,0,'3-G Amortization'!$E$4),IF(E6=$L$3,'3-G Amortization'!$E$4,0)))</f>
        <v>0</v>
      </c>
      <c r="F42" s="1095">
        <f ca="1">IF(F41&gt;$B$39,0,IF('3-G Financial'!$D$11="NO",IF(F6&lt;&gt;$L$3,0,'3-G Amortization'!$E$4),IF(F6=$L$3,'3-G Amortization'!$E$4,0)))</f>
        <v>0</v>
      </c>
      <c r="G42" s="1095">
        <f ca="1">IF(G41&gt;$B$39,0,IF('3-G Financial'!$D$11="NO",IF(G6&lt;&gt;$L$3,0,'3-G Amortization'!$E$4),IF(G6=$L$3,'3-G Amortization'!$E$4,0)))</f>
        <v>0</v>
      </c>
      <c r="H42" s="1095">
        <f ca="1">IF(H41&gt;$B$39,0,IF('3-G Financial'!$D$11="NO",IF(H6&lt;&gt;$L$3,0,'3-G Amortization'!$E$4),IF(H6=$L$3,'3-G Amortization'!$E$4,0)))</f>
        <v>0</v>
      </c>
      <c r="I42" s="1095">
        <f ca="1">IF(I41&gt;$B$39,0,IF('3-G Financial'!$D$11="NO",IF(I6&lt;&gt;$L$3,0,'3-G Amortization'!$E$4),IF(I6=$L$3,'3-G Amortization'!$E$4,0)))</f>
        <v>0</v>
      </c>
      <c r="J42" s="1095">
        <f ca="1">IF(J41&gt;$B$39,0,IF('3-G Financial'!$D$11="NO",IF(J6&lt;&gt;$L$3,0,'3-G Amortization'!$E$4),IF(J6=$L$3,'3-G Amortization'!$E$4,0)))</f>
        <v>0</v>
      </c>
      <c r="K42" s="1095">
        <f ca="1">IF(K41&gt;$B$39,0,IF('3-G Financial'!$D$11="NO",IF(K6&lt;&gt;$L$3,0,'3-G Amortization'!$E$4),IF(K6=$L$3,'3-G Amortization'!$E$4,0)))</f>
        <v>0</v>
      </c>
      <c r="L42" s="1095">
        <f ca="1">IF(L41&gt;$B$39,0,IF('3-G Financial'!$D$11="NO",IF(L6&lt;&gt;$L$3,0,'3-G Amortization'!$E$4),IF(L6=$L$3,'3-G Amortization'!$E$4,0)))</f>
        <v>0</v>
      </c>
      <c r="M42" s="1095">
        <f ca="1">IF(M41&gt;$B$39,0,IF('3-G Financial'!$D$11="NO",IF(M6&lt;&gt;$L$3,0,'3-G Amortization'!$E$4),IF(M6=$L$3,'3-G Amortization'!$E$4,0)))</f>
        <v>0</v>
      </c>
      <c r="N42" s="1095">
        <f ca="1">IF(N41&gt;$B$39,0,IF('3-G Financial'!$D$11="NO",IF(N6&lt;&gt;$L$3,0,'3-G Amortization'!$E$4),IF(N6=$L$3,'3-G Amortization'!$E$4,0)))</f>
        <v>0</v>
      </c>
      <c r="O42" s="1095">
        <f ca="1">IF(O41&gt;$B$39,0,IF('3-G Financial'!$D$11="NO",IF(O6&lt;&gt;$L$3,0,'3-G Amortization'!$E$4),IF(O6=$L$3,'3-G Amortization'!$E$4,0)))</f>
        <v>0</v>
      </c>
      <c r="P42" s="1095">
        <f ca="1">IF(P41&gt;$B$39,0,IF('3-G Financial'!$D$11="NO",IF(P6&lt;&gt;$L$3,0,'3-G Amortization'!$E$4),IF(P6=$L$3,'3-G Amortization'!$E$4,0)))</f>
        <v>0</v>
      </c>
      <c r="Q42" s="1095">
        <f ca="1">IF(Q41&gt;$B$39,0,IF('3-G Financial'!$D$11="NO",IF(Q6&lt;&gt;$L$3,0,'3-G Amortization'!$E$4),IF(Q6=$L$3,'3-G Amortization'!$E$4,0)))</f>
        <v>0</v>
      </c>
      <c r="R42" s="1095">
        <f ca="1">IF(R41&gt;$B$39,0,IF('3-G Financial'!$D$11="NO",IF(R6&lt;&gt;$L$3,0,'3-G Amortization'!$E$4),IF(R6=$L$3,'3-G Amortization'!$E$4,0)))</f>
        <v>0</v>
      </c>
      <c r="S42" s="1095">
        <f ca="1">IF(S41&gt;$B$39,0,IF('3-G Financial'!$D$11="NO",IF(S6&lt;&gt;$L$3,0,'3-G Amortization'!$E$4),IF(S6=$L$3,'3-G Amortization'!$E$4,0)))</f>
        <v>0</v>
      </c>
      <c r="T42" s="1095">
        <f ca="1">IF(T41&gt;$B$39,0,IF('3-G Financial'!$D$11="NO",IF(T6&lt;&gt;$L$3,0,'3-G Amortization'!$E$4),IF(T6=$L$3,'3-G Amortization'!$E$4,0)))</f>
        <v>0</v>
      </c>
      <c r="U42" s="1095">
        <f ca="1">IF(U41&gt;$B$39,0,IF('3-G Financial'!$D$11="NO",IF(U6&lt;&gt;$L$3,0,'3-G Amortization'!$E$4),IF(U6=$L$3,'3-G Amortization'!$E$4,0)))</f>
        <v>98762411.790915087</v>
      </c>
      <c r="V42" s="1095">
        <f ca="1">IF(V41&gt;$B$39,0,IF('3-G Financial'!$D$11="NO",IF(V6&lt;&gt;$L$3,0,'3-G Amortization'!$E$4),IF(V6=$L$3,'3-G Amortization'!$E$4,0)))</f>
        <v>0</v>
      </c>
      <c r="W42" s="1095">
        <f ca="1">IF(W41&gt;$B$39,0,IF('3-G Financial'!$D$11="NO",IF(W6&lt;&gt;$L$3,0,'3-G Amortization'!$E$4),IF(W6=$L$3,'3-G Amortization'!$E$4,0)))</f>
        <v>0</v>
      </c>
      <c r="X42" s="1095">
        <f ca="1">IF(X41&gt;$B$39,0,IF('3-G Financial'!$D$11="NO",IF(X6&lt;&gt;$L$3,0,'3-G Amortization'!$E$4),IF(X6=$L$3,'3-G Amortization'!$E$4,0)))</f>
        <v>0</v>
      </c>
      <c r="Y42" s="1095"/>
      <c r="Z42" s="1095"/>
      <c r="AA42" s="1095"/>
      <c r="AB42" s="1095"/>
      <c r="AC42" s="1095"/>
      <c r="AD42" s="1095"/>
      <c r="AE42" s="1095"/>
      <c r="AF42" s="1095"/>
      <c r="AG42" s="1095"/>
      <c r="AH42" s="1095"/>
      <c r="AI42" s="1095"/>
      <c r="AJ42" s="1095"/>
      <c r="AK42" s="1095"/>
      <c r="AL42" s="1095"/>
      <c r="AM42" s="1095"/>
      <c r="AN42" s="1095"/>
      <c r="AO42" s="1095"/>
      <c r="AP42" s="1095"/>
      <c r="AQ42" s="1095"/>
      <c r="AR42" s="764"/>
      <c r="AS42" s="1095"/>
      <c r="AT42" s="1095"/>
      <c r="AU42" s="1095"/>
      <c r="AV42" s="1093"/>
      <c r="AW42" s="1093"/>
      <c r="AX42" s="1093"/>
      <c r="AY42" s="1093"/>
      <c r="AZ42" s="1093"/>
      <c r="BA42" s="1093"/>
      <c r="BB42" s="1093"/>
      <c r="BC42" s="1093"/>
      <c r="BD42" s="1093"/>
      <c r="BE42" s="1093"/>
      <c r="BF42" s="1093"/>
      <c r="BG42" s="1093"/>
      <c r="BH42" s="1093"/>
      <c r="BI42" s="1093"/>
      <c r="BJ42" s="1093"/>
      <c r="BK42" s="1093"/>
      <c r="BL42" s="1093"/>
      <c r="BM42" s="1093"/>
      <c r="BN42" s="1093"/>
      <c r="BO42" s="1093"/>
      <c r="BP42" s="1093"/>
      <c r="BQ42" s="1093"/>
      <c r="BR42" s="1093"/>
      <c r="BS42" s="1093"/>
      <c r="BT42" s="1093"/>
      <c r="BU42" s="1093"/>
      <c r="BV42" s="1092"/>
      <c r="BW42" s="1092"/>
      <c r="BX42" s="1092"/>
      <c r="BY42" s="1092"/>
      <c r="BZ42" s="1092"/>
      <c r="CA42" s="1092"/>
      <c r="CB42" s="1092"/>
      <c r="CC42" s="1092"/>
      <c r="CD42" s="1092"/>
      <c r="CE42" s="1092"/>
      <c r="CF42" s="1092"/>
      <c r="CG42" s="1092"/>
      <c r="CH42" s="1092"/>
      <c r="CI42" s="1092"/>
    </row>
    <row r="43" spans="1:87" ht="20.25" customHeight="1">
      <c r="A43" s="207" t="s">
        <v>517</v>
      </c>
      <c r="B43" s="224">
        <f ca="1">SUM(E43:AR43)</f>
        <v>-493812.05895457545</v>
      </c>
      <c r="C43" s="223"/>
      <c r="D43" s="223"/>
      <c r="E43" s="223">
        <f ca="1">IF(E42&gt;0,-'3-G Amortization'!$F$11,0)</f>
        <v>0</v>
      </c>
      <c r="F43" s="223">
        <f ca="1">IF(F42&gt;0,-'3-G Amortization'!$F$11,0)</f>
        <v>0</v>
      </c>
      <c r="G43" s="223">
        <f ca="1">IF(G42&gt;0,-'3-G Amortization'!$F$11,0)</f>
        <v>0</v>
      </c>
      <c r="H43" s="223">
        <f ca="1">IF(H42&gt;0,-'3-G Amortization'!$F$11,0)</f>
        <v>0</v>
      </c>
      <c r="I43" s="223">
        <f ca="1">IF(I42&gt;0,-'3-G Amortization'!$F$11,0)</f>
        <v>0</v>
      </c>
      <c r="J43" s="223">
        <f ca="1">IF(J42&gt;0,-'3-G Amortization'!$F$11,0)</f>
        <v>0</v>
      </c>
      <c r="K43" s="223">
        <f ca="1">IF(K42&gt;0,-'3-G Amortization'!$F$11,0)</f>
        <v>0</v>
      </c>
      <c r="L43" s="223">
        <f ca="1">IF(L42&gt;0,-'3-G Amortization'!$F$11,0)</f>
        <v>0</v>
      </c>
      <c r="M43" s="223">
        <f ca="1">IF(M42&gt;0,-'3-G Amortization'!$F$11,0)</f>
        <v>0</v>
      </c>
      <c r="N43" s="223">
        <f ca="1">IF(N42&gt;0,-'3-G Amortization'!$F$11,0)</f>
        <v>0</v>
      </c>
      <c r="O43" s="223">
        <f ca="1">IF(O42&gt;0,-'3-G Amortization'!$F$11,0)</f>
        <v>0</v>
      </c>
      <c r="P43" s="223">
        <f ca="1">IF(P42&gt;0,-'3-G Amortization'!$F$11,0)</f>
        <v>0</v>
      </c>
      <c r="Q43" s="223">
        <f ca="1">IF(Q42&gt;0,-'3-G Amortization'!$F$11,0)</f>
        <v>0</v>
      </c>
      <c r="R43" s="223">
        <f ca="1">IF(R42&gt;0,-'3-G Amortization'!$F$11,0)</f>
        <v>0</v>
      </c>
      <c r="S43" s="223">
        <f ca="1">IF(S42&gt;0,-'3-G Amortization'!$F$11,0)</f>
        <v>0</v>
      </c>
      <c r="T43" s="223">
        <f ca="1">IF(T42&gt;0,-'3-G Amortization'!$F$11,0)</f>
        <v>0</v>
      </c>
      <c r="U43" s="223">
        <f ca="1">IF(U42&gt;0,-'3-G Amortization'!$F$11,0)</f>
        <v>-493812.05895457545</v>
      </c>
      <c r="V43" s="223">
        <f ca="1">IF(V42&gt;0,-'3-G Amortization'!$F$11,0)</f>
        <v>0</v>
      </c>
      <c r="W43" s="223">
        <f ca="1">IF(W42&gt;0,-'3-G Amortization'!$F$11,0)</f>
        <v>0</v>
      </c>
      <c r="X43" s="223">
        <f ca="1">IF(X42&gt;0,-'3-G Amortization'!$F$11,0)</f>
        <v>0</v>
      </c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4"/>
      <c r="AS43" s="223"/>
      <c r="AT43" s="223"/>
      <c r="AU43" s="223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CH43" s="207"/>
      <c r="CI43" s="207"/>
    </row>
    <row r="44" spans="1:87" s="227" customFormat="1" ht="20.25" customHeight="1">
      <c r="A44" s="227" t="s">
        <v>499</v>
      </c>
      <c r="B44" s="369">
        <f ca="1">SUM(E44:AR44)</f>
        <v>3453133.6439001919</v>
      </c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>
        <f ca="1">U40+U41+U42+U43</f>
        <v>3453133.6439001919</v>
      </c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9"/>
      <c r="AS44" s="228"/>
      <c r="AT44" s="228"/>
      <c r="AU44" s="228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</row>
    <row r="45" spans="1:87" s="227" customFormat="1" ht="20.25" customHeight="1">
      <c r="A45" s="227" t="s">
        <v>500</v>
      </c>
      <c r="B45" s="369">
        <f>SUM(E45:AR45)</f>
        <v>45881219.2572117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>
        <f>'3-G Financial'!$D$5*(1+'3-G Financial'!$D$7)^(Y5-1)/4</f>
        <v>2117729.2687499998</v>
      </c>
      <c r="Z45" s="228">
        <f>'3-G Financial'!$D$5*(1+'3-G Financial'!$D$7)^(Z5-1)/4</f>
        <v>2117729.2687499998</v>
      </c>
      <c r="AA45" s="228">
        <f>'3-G Financial'!$D$5*(1+'3-G Financial'!$D$7)^(AA5-1)/4</f>
        <v>2117729.2687499998</v>
      </c>
      <c r="AB45" s="228">
        <f>'3-G Financial'!$D$5*(1+'3-G Financial'!$D$7)^(AB5-1)/4</f>
        <v>2117729.2687499998</v>
      </c>
      <c r="AC45" s="228">
        <f>'3-G Financial'!$D$5*(1+'3-G Financial'!$D$7)^(AC5-1)/4</f>
        <v>2202438.4394999999</v>
      </c>
      <c r="AD45" s="228">
        <f>'3-G Financial'!$D$5*(1+'3-G Financial'!$D$7)^(AD5-1)/4</f>
        <v>2202438.4394999999</v>
      </c>
      <c r="AE45" s="228">
        <f>'3-G Financial'!$D$5*(1+'3-G Financial'!$D$7)^(AE5-1)/4</f>
        <v>2202438.4394999999</v>
      </c>
      <c r="AF45" s="228">
        <f>'3-G Financial'!$D$5*(1+'3-G Financial'!$D$7)^(AF5-1)/4</f>
        <v>2202438.4394999999</v>
      </c>
      <c r="AG45" s="228">
        <f>'3-G Financial'!$D$5*(1+'3-G Financial'!$D$7)^(AG5-1)/4</f>
        <v>2290535.9770800001</v>
      </c>
      <c r="AH45" s="228">
        <f>'3-G Financial'!$D$5*(1+'3-G Financial'!$D$7)^(AH5-1)/4</f>
        <v>2290535.9770800001</v>
      </c>
      <c r="AI45" s="228">
        <f>'3-G Financial'!$D$5*(1+'3-G Financial'!$D$7)^(AI5-1)/4</f>
        <v>2290535.9770800001</v>
      </c>
      <c r="AJ45" s="228">
        <f>'3-G Financial'!$D$5*(1+'3-G Financial'!$D$7)^(AJ5-1)/4</f>
        <v>2290535.9770800001</v>
      </c>
      <c r="AK45" s="228">
        <f>'3-G Financial'!$D$5*(1+'3-G Financial'!$D$7)^(AK5-1)/4</f>
        <v>2382157.4161632</v>
      </c>
      <c r="AL45" s="228">
        <f>'3-G Financial'!$D$5*(1+'3-G Financial'!$D$7)^(AL5-1)/4</f>
        <v>2382157.4161632</v>
      </c>
      <c r="AM45" s="228">
        <f>'3-G Financial'!$D$5*(1+'3-G Financial'!$D$7)^(AM5-1)/4</f>
        <v>2382157.4161632</v>
      </c>
      <c r="AN45" s="228">
        <f>'3-G Financial'!$D$5*(1+'3-G Financial'!$D$7)^(AN5-1)/4</f>
        <v>2382157.4161632</v>
      </c>
      <c r="AO45" s="228">
        <f>'3-G Financial'!$D$5*(1+'3-G Financial'!$D$7)^(AO5-1)/4</f>
        <v>2477443.7128097285</v>
      </c>
      <c r="AP45" s="228">
        <f>'3-G Financial'!$D$5*(1+'3-G Financial'!$D$7)^(AP5-1)/4</f>
        <v>2477443.7128097285</v>
      </c>
      <c r="AQ45" s="228">
        <f>'3-G Financial'!$D$5*(1+'3-G Financial'!$D$7)^(AQ5-1)/4</f>
        <v>2477443.7128097285</v>
      </c>
      <c r="AR45" s="229">
        <f>'3-G Financial'!$D$5*(1+'3-G Financial'!$D$7)^(AR5-1)/4</f>
        <v>2477443.7128097285</v>
      </c>
      <c r="AS45" s="228"/>
      <c r="AT45" s="228"/>
      <c r="AU45" s="228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  <c r="BH45" s="230"/>
      <c r="BI45" s="230"/>
      <c r="BJ45" s="230"/>
      <c r="BK45" s="230"/>
      <c r="BL45" s="230"/>
      <c r="BM45" s="230"/>
      <c r="BN45" s="230"/>
      <c r="BO45" s="230"/>
      <c r="BP45" s="230"/>
      <c r="BQ45" s="230"/>
      <c r="BR45" s="230"/>
      <c r="BS45" s="230"/>
      <c r="BT45" s="230"/>
      <c r="BU45" s="230"/>
    </row>
    <row r="46" spans="1:87" ht="20.25" customHeight="1">
      <c r="A46" s="207" t="s">
        <v>501</v>
      </c>
      <c r="B46" s="224">
        <f>SUM(E46:AR46)</f>
        <v>-33343668.801855434</v>
      </c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 cm="1">
        <f t="array" ref="Y46">INDEX('3-G Amortization'!$J$4:$J$23,MATCH(1,('3-G Amortization'!$I$4:$I$23=Y7)*('3-G Amortization'!$H$4:$H$23=Y5),0),0)</f>
        <v>-1419709.6694944045</v>
      </c>
      <c r="Z46" s="223" cm="1">
        <f t="array" ref="Z46">INDEX('3-G Amortization'!$J$4:$J$23,MATCH(1,('3-G Amortization'!$I$4:$I$23=Z7)*('3-G Amortization'!$H$4:$H$23=Z5),0),0)</f>
        <v>-1419709.6694944045</v>
      </c>
      <c r="AA46" s="223" cm="1">
        <f t="array" ref="AA46">INDEX('3-G Amortization'!$J$4:$J$23,MATCH(1,('3-G Amortization'!$I$4:$I$23=AA7)*('3-G Amortization'!$H$4:$H$23=AA5),0),0)</f>
        <v>-1419709.6694944045</v>
      </c>
      <c r="AB46" s="223" cm="1">
        <f t="array" ref="AB46">INDEX('3-G Amortization'!$J$4:$J$23,MATCH(1,('3-G Amortization'!$I$4:$I$23=AB7)*('3-G Amortization'!$H$4:$H$23=AB5),0),0)</f>
        <v>-1419709.6694944045</v>
      </c>
      <c r="AC46" s="223" cm="1">
        <f t="array" ref="AC46">INDEX('3-G Amortization'!$J$4:$J$23,MATCH(1,('3-G Amortization'!$I$4:$I$23=AC7)*('3-G Amortization'!$H$4:$H$23=AC5),0),0)</f>
        <v>-1729051.8827423626</v>
      </c>
      <c r="AD46" s="223" cm="1">
        <f t="array" ref="AD46">INDEX('3-G Amortization'!$J$4:$J$23,MATCH(1,('3-G Amortization'!$I$4:$I$23=AD7)*('3-G Amortization'!$H$4:$H$23=AD5),0),0)</f>
        <v>-1729051.8827423626</v>
      </c>
      <c r="AE46" s="223" cm="1">
        <f t="array" ref="AE46">INDEX('3-G Amortization'!$J$4:$J$23,MATCH(1,('3-G Amortization'!$I$4:$I$23=AE7)*('3-G Amortization'!$H$4:$H$23=AE5),0),0)</f>
        <v>-1729051.8827423626</v>
      </c>
      <c r="AF46" s="223" cm="1">
        <f t="array" ref="AF46">INDEX('3-G Amortization'!$J$4:$J$23,MATCH(1,('3-G Amortization'!$I$4:$I$23=AF7)*('3-G Amortization'!$H$4:$H$23=AF5),0),0)</f>
        <v>-1729051.882742363</v>
      </c>
      <c r="AG46" s="223" cm="1">
        <f t="array" ref="AG46">INDEX('3-G Amortization'!$J$4:$J$23,MATCH(1,('3-G Amortization'!$I$4:$I$23=AG7)*('3-G Amortization'!$H$4:$H$23=AG5),0),0)</f>
        <v>-1729051.882742363</v>
      </c>
      <c r="AH46" s="223" cm="1">
        <f t="array" ref="AH46">INDEX('3-G Amortization'!$J$4:$J$23,MATCH(1,('3-G Amortization'!$I$4:$I$23=AH7)*('3-G Amortization'!$H$4:$H$23=AH5),0),0)</f>
        <v>-1729051.882742363</v>
      </c>
      <c r="AI46" s="223" cm="1">
        <f t="array" ref="AI46">INDEX('3-G Amortization'!$J$4:$J$23,MATCH(1,('3-G Amortization'!$I$4:$I$23=AI7)*('3-G Amortization'!$H$4:$H$23=AI5),0),0)</f>
        <v>-1729051.882742363</v>
      </c>
      <c r="AJ46" s="223" cm="1">
        <f t="array" ref="AJ46">INDEX('3-G Amortization'!$J$4:$J$23,MATCH(1,('3-G Amortization'!$I$4:$I$23=AJ7)*('3-G Amortization'!$H$4:$H$23=AJ5),0),0)</f>
        <v>-1729051.8827423633</v>
      </c>
      <c r="AK46" s="223" cm="1">
        <f t="array" ref="AK46">INDEX('3-G Amortization'!$J$4:$J$23,MATCH(1,('3-G Amortization'!$I$4:$I$23=AK7)*('3-G Amortization'!$H$4:$H$23=AK5),0),0)</f>
        <v>-1729051.8827423633</v>
      </c>
      <c r="AL46" s="223" cm="1">
        <f t="array" ref="AL46">INDEX('3-G Amortization'!$J$4:$J$23,MATCH(1,('3-G Amortization'!$I$4:$I$23=AL7)*('3-G Amortization'!$H$4:$H$23=AL5),0),0)</f>
        <v>-1729051.8827423633</v>
      </c>
      <c r="AM46" s="223" cm="1">
        <f t="array" ref="AM46">INDEX('3-G Amortization'!$J$4:$J$23,MATCH(1,('3-G Amortization'!$I$4:$I$23=AM7)*('3-G Amortization'!$H$4:$H$23=AM5),0),0)</f>
        <v>-1729051.882742363</v>
      </c>
      <c r="AN46" s="223" cm="1">
        <f t="array" ref="AN46">INDEX('3-G Amortization'!$J$4:$J$23,MATCH(1,('3-G Amortization'!$I$4:$I$23=AN7)*('3-G Amortization'!$H$4:$H$23=AN5),0),0)</f>
        <v>-1729051.8827423633</v>
      </c>
      <c r="AO46" s="223" cm="1">
        <f t="array" ref="AO46">INDEX('3-G Amortization'!$J$4:$J$23,MATCH(1,('3-G Amortization'!$I$4:$I$23=AO7)*('3-G Amortization'!$H$4:$H$23=AO5),0),0)</f>
        <v>-1729051.8827423633</v>
      </c>
      <c r="AP46" s="223" cm="1">
        <f t="array" ref="AP46">INDEX('3-G Amortization'!$J$4:$J$23,MATCH(1,('3-G Amortization'!$I$4:$I$23=AP7)*('3-G Amortization'!$H$4:$H$23=AP5),0),0)</f>
        <v>-1729051.8827423633</v>
      </c>
      <c r="AQ46" s="223" cm="1">
        <f t="array" ref="AQ46">INDEX('3-G Amortization'!$J$4:$J$23,MATCH(1,('3-G Amortization'!$I$4:$I$23=AQ7)*('3-G Amortization'!$H$4:$H$23=AQ5),0),0)</f>
        <v>-1729051.882742363</v>
      </c>
      <c r="AR46" s="224" cm="1">
        <f t="array" ref="AR46">INDEX('3-G Amortization'!$J$4:$J$23,MATCH(1,('3-G Amortization'!$I$4:$I$23=AR7)*('3-G Amortization'!$H$4:$H$23=AR5),0),0)</f>
        <v>-1729051.882742363</v>
      </c>
      <c r="AS46" s="223"/>
      <c r="AT46" s="223"/>
      <c r="AU46" s="223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CH46" s="207"/>
      <c r="CI46" s="207"/>
    </row>
    <row r="47" spans="1:87" ht="20.25" customHeight="1">
      <c r="A47" s="207" t="s">
        <v>502</v>
      </c>
      <c r="B47" s="224">
        <f ca="1">-B42</f>
        <v>-98762411.790915087</v>
      </c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N47" s="223"/>
      <c r="AO47" s="223"/>
      <c r="AP47" s="223"/>
      <c r="AQ47" s="223"/>
      <c r="AR47" s="224">
        <f>-'3-G Amortization'!$E$13</f>
        <v>-93212352.694799051</v>
      </c>
      <c r="AS47" s="223"/>
      <c r="AT47" s="223"/>
      <c r="AU47" s="223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CH47" s="207"/>
      <c r="CI47" s="207"/>
    </row>
    <row r="48" spans="1:87" ht="20.25" customHeight="1">
      <c r="A48" s="207" t="s">
        <v>503</v>
      </c>
      <c r="B48" s="224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837">
        <f t="shared" ref="Y48:AR48" si="37">Y45/(-Y46)</f>
        <v>1.4916636226786977</v>
      </c>
      <c r="Z48" s="837">
        <f t="shared" si="37"/>
        <v>1.4916636226786977</v>
      </c>
      <c r="AA48" s="837">
        <f t="shared" si="37"/>
        <v>1.4916636226786977</v>
      </c>
      <c r="AB48" s="837">
        <f t="shared" si="37"/>
        <v>1.4916636226786977</v>
      </c>
      <c r="AC48" s="837">
        <f t="shared" si="37"/>
        <v>1.2737838936370276</v>
      </c>
      <c r="AD48" s="837">
        <f t="shared" si="37"/>
        <v>1.2737838936370276</v>
      </c>
      <c r="AE48" s="837">
        <f t="shared" si="37"/>
        <v>1.2737838936370276</v>
      </c>
      <c r="AF48" s="837">
        <f t="shared" si="37"/>
        <v>1.2737838936370272</v>
      </c>
      <c r="AG48" s="837">
        <f t="shared" si="37"/>
        <v>1.3247352493825084</v>
      </c>
      <c r="AH48" s="837">
        <f t="shared" si="37"/>
        <v>1.3247352493825084</v>
      </c>
      <c r="AI48" s="837">
        <f t="shared" si="37"/>
        <v>1.3247352493825084</v>
      </c>
      <c r="AJ48" s="837">
        <f t="shared" si="37"/>
        <v>1.3247352493825082</v>
      </c>
      <c r="AK48" s="837">
        <f t="shared" si="37"/>
        <v>1.3777246593578085</v>
      </c>
      <c r="AL48" s="837">
        <f t="shared" si="37"/>
        <v>1.3777246593578085</v>
      </c>
      <c r="AM48" s="837">
        <f t="shared" si="37"/>
        <v>1.3777246593578087</v>
      </c>
      <c r="AN48" s="837">
        <f t="shared" si="37"/>
        <v>1.3777246593578085</v>
      </c>
      <c r="AO48" s="837">
        <f t="shared" si="37"/>
        <v>1.4328336457321211</v>
      </c>
      <c r="AP48" s="837">
        <f t="shared" si="37"/>
        <v>1.4328336457321211</v>
      </c>
      <c r="AQ48" s="837">
        <f t="shared" si="37"/>
        <v>1.4328336457321214</v>
      </c>
      <c r="AR48" s="839">
        <f t="shared" si="37"/>
        <v>1.4328336457321214</v>
      </c>
      <c r="AS48" s="223"/>
      <c r="AT48" s="223"/>
      <c r="AU48" s="223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CH48" s="207"/>
      <c r="CI48" s="207"/>
    </row>
    <row r="49" spans="1:87" s="371" customFormat="1" ht="20.25" customHeight="1">
      <c r="A49" s="371" t="s">
        <v>504</v>
      </c>
      <c r="B49" s="372">
        <f>'3-G Financial'!$D$10</f>
        <v>210132791.0445002</v>
      </c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N49" s="373"/>
      <c r="AO49" s="373"/>
      <c r="AP49" s="373"/>
      <c r="AQ49" s="373"/>
      <c r="AR49" s="372">
        <f>B49</f>
        <v>210132791.0445002</v>
      </c>
      <c r="AS49" s="373"/>
      <c r="AT49" s="373"/>
      <c r="AU49" s="373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</row>
    <row r="50" spans="1:87" s="367" customFormat="1" ht="20.25" customHeight="1">
      <c r="A50" s="1092" t="s">
        <v>505</v>
      </c>
      <c r="B50" s="224">
        <f ca="1">SUM(E50:AR50)</f>
        <v>132911122.44895762</v>
      </c>
      <c r="C50" s="1095"/>
      <c r="D50" s="1095"/>
      <c r="E50" s="1095"/>
      <c r="F50" s="1095"/>
      <c r="G50" s="1095"/>
      <c r="H50" s="1095"/>
      <c r="I50" s="1095"/>
      <c r="J50" s="1095"/>
      <c r="K50" s="1095"/>
      <c r="L50" s="1095"/>
      <c r="M50" s="1095"/>
      <c r="N50" s="1095"/>
      <c r="O50" s="1095"/>
      <c r="P50" s="1095"/>
      <c r="Q50" s="1095"/>
      <c r="R50" s="1095"/>
      <c r="S50" s="1095"/>
      <c r="T50" s="1095"/>
      <c r="U50" s="1095">
        <f ca="1">SUM(U45,U44,U46,U47,U49)</f>
        <v>3453133.6439001919</v>
      </c>
      <c r="V50" s="1095"/>
      <c r="W50" s="1095"/>
      <c r="X50" s="1095"/>
      <c r="Y50" s="1095">
        <f t="shared" ref="Y50:AR50" si="38">SUM(Y45,Y44,Y46,Y47,Y49)</f>
        <v>698019.59925559536</v>
      </c>
      <c r="Z50" s="1095">
        <f t="shared" si="38"/>
        <v>698019.59925559536</v>
      </c>
      <c r="AA50" s="1095">
        <f t="shared" si="38"/>
        <v>698019.59925559536</v>
      </c>
      <c r="AB50" s="1095">
        <f t="shared" si="38"/>
        <v>698019.59925559536</v>
      </c>
      <c r="AC50" s="1095">
        <f t="shared" si="38"/>
        <v>473386.5567576373</v>
      </c>
      <c r="AD50" s="1095">
        <f t="shared" si="38"/>
        <v>473386.5567576373</v>
      </c>
      <c r="AE50" s="1095">
        <f t="shared" si="38"/>
        <v>473386.5567576373</v>
      </c>
      <c r="AF50" s="1095">
        <f t="shared" si="38"/>
        <v>473386.55675763683</v>
      </c>
      <c r="AG50" s="1095">
        <f t="shared" si="38"/>
        <v>561484.09433763707</v>
      </c>
      <c r="AH50" s="1095">
        <f t="shared" si="38"/>
        <v>561484.09433763707</v>
      </c>
      <c r="AI50" s="1095">
        <f t="shared" si="38"/>
        <v>561484.09433763707</v>
      </c>
      <c r="AJ50" s="1095">
        <f t="shared" si="38"/>
        <v>561484.09433763684</v>
      </c>
      <c r="AK50" s="1095">
        <f t="shared" si="38"/>
        <v>653105.53342083679</v>
      </c>
      <c r="AL50" s="1095">
        <f t="shared" si="38"/>
        <v>653105.53342083679</v>
      </c>
      <c r="AM50" s="1095">
        <f t="shared" si="38"/>
        <v>653105.53342083702</v>
      </c>
      <c r="AN50" s="1095">
        <f t="shared" si="38"/>
        <v>653105.53342083679</v>
      </c>
      <c r="AO50" s="1095">
        <f t="shared" si="38"/>
        <v>748391.8300673652</v>
      </c>
      <c r="AP50" s="1095">
        <f t="shared" si="38"/>
        <v>748391.8300673652</v>
      </c>
      <c r="AQ50" s="1095">
        <f t="shared" si="38"/>
        <v>748391.83006736543</v>
      </c>
      <c r="AR50" s="764">
        <f t="shared" si="38"/>
        <v>117668830.17976852</v>
      </c>
      <c r="AS50" s="1095"/>
      <c r="AT50" s="1095"/>
      <c r="AU50" s="1095"/>
      <c r="AV50" s="1093"/>
      <c r="AW50" s="1093"/>
      <c r="AX50" s="1093"/>
      <c r="AY50" s="1093"/>
      <c r="AZ50" s="1093"/>
      <c r="BA50" s="1093"/>
      <c r="BB50" s="1093"/>
      <c r="BC50" s="1093"/>
      <c r="BD50" s="1093"/>
      <c r="BE50" s="1093"/>
      <c r="BF50" s="1093"/>
      <c r="BG50" s="1093"/>
      <c r="BH50" s="1093"/>
      <c r="BI50" s="1093"/>
      <c r="BJ50" s="1093"/>
      <c r="BK50" s="1093"/>
      <c r="BL50" s="1093"/>
      <c r="BM50" s="1093"/>
      <c r="BN50" s="1093"/>
      <c r="BO50" s="1093"/>
      <c r="BP50" s="1093"/>
      <c r="BQ50" s="1093"/>
      <c r="BR50" s="1093"/>
      <c r="BS50" s="1093"/>
      <c r="BT50" s="1093"/>
      <c r="BU50" s="1093"/>
      <c r="BV50" s="1092"/>
      <c r="BW50" s="1092"/>
      <c r="BX50" s="1092"/>
      <c r="BY50" s="1092"/>
      <c r="BZ50" s="1092"/>
      <c r="CA50" s="1092"/>
      <c r="CB50" s="1092"/>
      <c r="CC50" s="1092"/>
      <c r="CD50" s="1092"/>
      <c r="CE50" s="1092"/>
      <c r="CF50" s="1092"/>
      <c r="CG50" s="1092"/>
      <c r="CH50" s="1092"/>
      <c r="CI50" s="1092"/>
    </row>
    <row r="51" spans="1:87" ht="20.25" customHeight="1">
      <c r="B51" s="224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4"/>
      <c r="AS51" s="223"/>
      <c r="AT51" s="223"/>
      <c r="AU51" s="223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CH51" s="207"/>
      <c r="CI51" s="207"/>
    </row>
    <row r="52" spans="1:87" s="238" customFormat="1" ht="20.25" customHeight="1">
      <c r="A52" s="241" t="s">
        <v>506</v>
      </c>
      <c r="B52" s="253"/>
      <c r="C52" s="242"/>
      <c r="D52" s="242"/>
      <c r="E52" s="242"/>
      <c r="F52" s="242"/>
      <c r="G52" s="242"/>
      <c r="H52" s="242"/>
      <c r="I52" s="242"/>
      <c r="J52" s="242"/>
      <c r="K52" s="243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4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T52" s="239"/>
      <c r="BU52" s="239"/>
    </row>
    <row r="53" spans="1:87" ht="20.25" customHeight="1">
      <c r="A53" s="207" t="s">
        <v>507</v>
      </c>
      <c r="B53" s="224">
        <f ca="1">SUM(F53:AR53)</f>
        <v>73676575.516980708</v>
      </c>
      <c r="C53" s="223"/>
      <c r="D53" s="223"/>
      <c r="E53" s="223">
        <f t="shared" ref="E53:AR53" si="39">SUM(-E36,E45,E49)</f>
        <v>0</v>
      </c>
      <c r="F53" s="223">
        <f t="shared" ca="1" si="39"/>
        <v>-638074.94400000013</v>
      </c>
      <c r="G53" s="223">
        <f t="shared" ca="1" si="39"/>
        <v>-638074.94400000013</v>
      </c>
      <c r="H53" s="223">
        <f t="shared" ca="1" si="39"/>
        <v>-638074.94400000013</v>
      </c>
      <c r="I53" s="223">
        <f t="shared" ca="1" si="39"/>
        <v>-638074.94400000013</v>
      </c>
      <c r="J53" s="223">
        <f t="shared" ca="1" si="39"/>
        <v>-1467206.8740000001</v>
      </c>
      <c r="K53" s="223">
        <f t="shared" ca="1" si="39"/>
        <v>-7463839.8371067448</v>
      </c>
      <c r="L53" s="223">
        <f t="shared" ca="1" si="39"/>
        <v>-10392022.638170647</v>
      </c>
      <c r="M53" s="223">
        <f t="shared" ca="1" si="39"/>
        <v>-19764063.840497125</v>
      </c>
      <c r="N53" s="223">
        <f t="shared" ca="1" si="39"/>
        <v>-30338237.836355694</v>
      </c>
      <c r="O53" s="223">
        <f t="shared" ca="1" si="39"/>
        <v>-34391072.48172085</v>
      </c>
      <c r="P53" s="223">
        <f t="shared" ca="1" si="39"/>
        <v>-29873237.836355694</v>
      </c>
      <c r="Q53" s="223">
        <f t="shared" ca="1" si="39"/>
        <v>-19453888.520497132</v>
      </c>
      <c r="R53" s="223">
        <f t="shared" ca="1" si="39"/>
        <v>-12589927.734837303</v>
      </c>
      <c r="S53" s="223">
        <f t="shared" ca="1" si="39"/>
        <v>-8066557.573773413</v>
      </c>
      <c r="T53" s="223">
        <f t="shared" ca="1" si="39"/>
        <v>-4404625.5541666672</v>
      </c>
      <c r="U53" s="223">
        <f t="shared" ca="1" si="39"/>
        <v>-1580454.28125</v>
      </c>
      <c r="V53" s="223">
        <f t="shared" ca="1" si="39"/>
        <v>0</v>
      </c>
      <c r="W53" s="223">
        <f t="shared" ca="1" si="39"/>
        <v>0</v>
      </c>
      <c r="X53" s="223">
        <f t="shared" ca="1" si="39"/>
        <v>0</v>
      </c>
      <c r="Y53" s="223">
        <f t="shared" si="39"/>
        <v>2117729.2687499998</v>
      </c>
      <c r="Z53" s="223">
        <f t="shared" si="39"/>
        <v>2117729.2687499998</v>
      </c>
      <c r="AA53" s="223">
        <f t="shared" si="39"/>
        <v>2117729.2687499998</v>
      </c>
      <c r="AB53" s="223">
        <f t="shared" si="39"/>
        <v>2117729.2687499998</v>
      </c>
      <c r="AC53" s="223">
        <f t="shared" si="39"/>
        <v>2202438.4394999999</v>
      </c>
      <c r="AD53" s="223">
        <f t="shared" si="39"/>
        <v>2202438.4394999999</v>
      </c>
      <c r="AE53" s="223">
        <f t="shared" si="39"/>
        <v>2202438.4394999999</v>
      </c>
      <c r="AF53" s="223">
        <f t="shared" si="39"/>
        <v>2202438.4394999999</v>
      </c>
      <c r="AG53" s="223">
        <f t="shared" si="39"/>
        <v>2290535.9770800001</v>
      </c>
      <c r="AH53" s="223">
        <f t="shared" si="39"/>
        <v>2290535.9770800001</v>
      </c>
      <c r="AI53" s="223">
        <f t="shared" si="39"/>
        <v>2290535.9770800001</v>
      </c>
      <c r="AJ53" s="223">
        <f t="shared" si="39"/>
        <v>2290535.9770800001</v>
      </c>
      <c r="AK53" s="223">
        <f t="shared" si="39"/>
        <v>2382157.4161632</v>
      </c>
      <c r="AL53" s="223">
        <f t="shared" si="39"/>
        <v>2382157.4161632</v>
      </c>
      <c r="AM53" s="223">
        <f t="shared" si="39"/>
        <v>2382157.4161632</v>
      </c>
      <c r="AN53" s="223">
        <f t="shared" si="39"/>
        <v>2382157.4161632</v>
      </c>
      <c r="AO53" s="223">
        <f t="shared" si="39"/>
        <v>2477443.7128097285</v>
      </c>
      <c r="AP53" s="223">
        <f t="shared" si="39"/>
        <v>2477443.7128097285</v>
      </c>
      <c r="AQ53" s="223">
        <f t="shared" si="39"/>
        <v>2477443.7128097285</v>
      </c>
      <c r="AR53" s="224">
        <f t="shared" si="39"/>
        <v>212610234.75730994</v>
      </c>
      <c r="AS53" s="231"/>
      <c r="BT53" s="209"/>
      <c r="BU53" s="209"/>
      <c r="CH53" s="207"/>
      <c r="CI53" s="207"/>
    </row>
    <row r="54" spans="1:87" ht="20.25" customHeight="1">
      <c r="A54" s="207" t="s">
        <v>508</v>
      </c>
      <c r="B54" s="777">
        <f ca="1">IF(B53&lt;0,0,IRR(F53:AR53))</f>
        <v>1.2556260023842025E-2</v>
      </c>
      <c r="G54" s="223"/>
      <c r="BT54" s="209"/>
      <c r="BU54" s="209"/>
      <c r="CH54" s="207"/>
      <c r="CI54" s="207"/>
    </row>
    <row r="55" spans="1:87" ht="20.25" customHeight="1">
      <c r="A55" s="207" t="s">
        <v>509</v>
      </c>
      <c r="B55" s="368">
        <f ca="1">POWER((1+B54),4)-1</f>
        <v>5.1178941409691925E-2</v>
      </c>
      <c r="G55" s="223"/>
      <c r="BT55" s="209"/>
      <c r="BU55" s="209"/>
      <c r="CH55" s="207"/>
      <c r="CI55" s="207"/>
    </row>
    <row r="56" spans="1:87" s="238" customFormat="1" ht="20.25" customHeight="1">
      <c r="A56" s="241" t="s">
        <v>510</v>
      </c>
      <c r="B56" s="253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6"/>
      <c r="AS56" s="240"/>
      <c r="AT56" s="225"/>
      <c r="AU56" s="225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</row>
    <row r="57" spans="1:87" ht="20.25" customHeight="1">
      <c r="A57" s="207" t="s">
        <v>511</v>
      </c>
      <c r="B57" s="224">
        <f ca="1">SUM(F57:AR57)</f>
        <v>45389153.752286658</v>
      </c>
      <c r="C57" s="223"/>
      <c r="D57" s="223"/>
      <c r="E57" s="223">
        <f t="shared" ref="E57:AR57" si="40">SUM(-E37,E50)</f>
        <v>0</v>
      </c>
      <c r="F57" s="223">
        <f t="shared" ca="1" si="40"/>
        <v>-638074.94400000013</v>
      </c>
      <c r="G57" s="223">
        <f t="shared" ca="1" si="40"/>
        <v>-638074.94400000013</v>
      </c>
      <c r="H57" s="223">
        <f t="shared" ca="1" si="40"/>
        <v>-638074.94400000013</v>
      </c>
      <c r="I57" s="223">
        <f t="shared" ca="1" si="40"/>
        <v>-638074.94400000013</v>
      </c>
      <c r="J57" s="223">
        <f t="shared" ca="1" si="40"/>
        <v>-1467206.8740000001</v>
      </c>
      <c r="K57" s="223">
        <f t="shared" ca="1" si="40"/>
        <v>-7463839.8371067448</v>
      </c>
      <c r="L57" s="223">
        <f t="shared" ca="1" si="40"/>
        <v>-10392022.638170647</v>
      </c>
      <c r="M57" s="223">
        <f t="shared" ca="1" si="40"/>
        <v>-19764063.840497125</v>
      </c>
      <c r="N57" s="223">
        <f t="shared" ca="1" si="40"/>
        <v>-30338237.836355694</v>
      </c>
      <c r="O57" s="223">
        <f t="shared" ca="1" si="40"/>
        <v>-15544297.894540757</v>
      </c>
      <c r="P57" s="223">
        <f t="shared" ca="1" si="40"/>
        <v>0</v>
      </c>
      <c r="Q57" s="223">
        <f t="shared" ca="1" si="40"/>
        <v>0</v>
      </c>
      <c r="R57" s="223">
        <f t="shared" ca="1" si="40"/>
        <v>0</v>
      </c>
      <c r="S57" s="223">
        <f t="shared" ca="1" si="40"/>
        <v>0</v>
      </c>
      <c r="T57" s="223">
        <f t="shared" ca="1" si="40"/>
        <v>0</v>
      </c>
      <c r="U57" s="223">
        <f t="shared" ca="1" si="40"/>
        <v>3453133.6439001919</v>
      </c>
      <c r="V57" s="223">
        <f t="shared" ca="1" si="40"/>
        <v>0</v>
      </c>
      <c r="W57" s="223">
        <f t="shared" ca="1" si="40"/>
        <v>0</v>
      </c>
      <c r="X57" s="223">
        <f t="shared" ca="1" si="40"/>
        <v>0</v>
      </c>
      <c r="Y57" s="223">
        <f t="shared" si="40"/>
        <v>698019.59925559536</v>
      </c>
      <c r="Z57" s="223">
        <f t="shared" si="40"/>
        <v>698019.59925559536</v>
      </c>
      <c r="AA57" s="223">
        <f t="shared" si="40"/>
        <v>698019.59925559536</v>
      </c>
      <c r="AB57" s="223">
        <f t="shared" si="40"/>
        <v>698019.59925559536</v>
      </c>
      <c r="AC57" s="223">
        <f t="shared" si="40"/>
        <v>473386.5567576373</v>
      </c>
      <c r="AD57" s="223">
        <f t="shared" si="40"/>
        <v>473386.5567576373</v>
      </c>
      <c r="AE57" s="223">
        <f t="shared" si="40"/>
        <v>473386.5567576373</v>
      </c>
      <c r="AF57" s="223">
        <f t="shared" si="40"/>
        <v>473386.55675763683</v>
      </c>
      <c r="AG57" s="223">
        <f t="shared" si="40"/>
        <v>561484.09433763707</v>
      </c>
      <c r="AH57" s="223">
        <f t="shared" si="40"/>
        <v>561484.09433763707</v>
      </c>
      <c r="AI57" s="223">
        <f t="shared" si="40"/>
        <v>561484.09433763707</v>
      </c>
      <c r="AJ57" s="223">
        <f t="shared" si="40"/>
        <v>561484.09433763684</v>
      </c>
      <c r="AK57" s="223">
        <f t="shared" si="40"/>
        <v>653105.53342083679</v>
      </c>
      <c r="AL57" s="223">
        <f t="shared" si="40"/>
        <v>653105.53342083679</v>
      </c>
      <c r="AM57" s="223">
        <f t="shared" si="40"/>
        <v>653105.53342083702</v>
      </c>
      <c r="AN57" s="223">
        <f t="shared" si="40"/>
        <v>653105.53342083679</v>
      </c>
      <c r="AO57" s="223">
        <f t="shared" si="40"/>
        <v>748391.8300673652</v>
      </c>
      <c r="AP57" s="223">
        <f t="shared" si="40"/>
        <v>748391.8300673652</v>
      </c>
      <c r="AQ57" s="223">
        <f t="shared" si="40"/>
        <v>748391.83006736543</v>
      </c>
      <c r="AR57" s="224">
        <f t="shared" si="40"/>
        <v>117668830.17976852</v>
      </c>
      <c r="AS57" s="233"/>
      <c r="AT57" s="223"/>
      <c r="AU57" s="223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CH57" s="207"/>
      <c r="CI57" s="207"/>
    </row>
    <row r="58" spans="1:87" ht="20.25" customHeight="1">
      <c r="A58" s="207" t="s">
        <v>512</v>
      </c>
      <c r="B58" s="777">
        <f ca="1">IF(B57&lt;0,0,IRR(F57:AR57))</f>
        <v>1.4421337722235528E-2</v>
      </c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2"/>
      <c r="AT58" s="231"/>
      <c r="AU58" s="231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CH58" s="207"/>
      <c r="CI58" s="207"/>
    </row>
    <row r="59" spans="1:87" ht="20.25" customHeight="1">
      <c r="A59" s="207" t="s">
        <v>377</v>
      </c>
      <c r="B59" s="368">
        <f ca="1">POWER((1+B58),4)-1</f>
        <v>5.8945241142523086E-2</v>
      </c>
      <c r="C59" s="234"/>
      <c r="D59" s="234"/>
      <c r="E59" s="234"/>
      <c r="F59" s="234"/>
      <c r="G59" s="234"/>
      <c r="H59" s="234"/>
      <c r="I59" s="234"/>
      <c r="J59" s="234"/>
      <c r="K59" s="235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6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T59" s="209"/>
      <c r="BU59" s="209"/>
      <c r="CH59" s="207"/>
      <c r="CI59" s="207"/>
    </row>
    <row r="160" spans="2:2">
      <c r="B160" s="370">
        <v>0.06</v>
      </c>
    </row>
    <row r="181" spans="1:7">
      <c r="E181" s="207">
        <f>A98</f>
        <v>0</v>
      </c>
    </row>
    <row r="182" spans="1:7">
      <c r="E182" s="207" t="s">
        <v>513</v>
      </c>
      <c r="F182" s="207" t="s">
        <v>514</v>
      </c>
    </row>
    <row r="183" spans="1:7">
      <c r="A183" s="207" t="s">
        <v>515</v>
      </c>
      <c r="B183" s="208">
        <f>IFERROR(G183/$B$100,0)</f>
        <v>0</v>
      </c>
      <c r="E183" s="207">
        <f>IFERROR(G183/$B$99,0)</f>
        <v>0</v>
      </c>
      <c r="G183" s="207">
        <f>G106</f>
        <v>0</v>
      </c>
    </row>
    <row r="184" spans="1:7">
      <c r="A184" s="207" t="s">
        <v>516</v>
      </c>
      <c r="F184" s="237">
        <f>IFERROR(G184/$B$166,0)</f>
        <v>0</v>
      </c>
      <c r="G184" s="207">
        <f>G166</f>
        <v>0</v>
      </c>
    </row>
    <row r="185" spans="1:7">
      <c r="G185" s="207">
        <f>SUM(G183:G184)</f>
        <v>0</v>
      </c>
    </row>
  </sheetData>
  <mergeCells count="6">
    <mergeCell ref="BG4:BI4"/>
    <mergeCell ref="A2:A4"/>
    <mergeCell ref="E2:G2"/>
    <mergeCell ref="H2:J2"/>
    <mergeCell ref="K2:M2"/>
    <mergeCell ref="BA4:BE4"/>
  </mergeCells>
  <conditionalFormatting sqref="C9:D10">
    <cfRule type="cellIs" dxfId="47" priority="1" operator="equal">
      <formula>#REF!</formula>
    </cfRule>
    <cfRule type="cellIs" dxfId="46" priority="2" operator="equal">
      <formula>#REF!</formula>
    </cfRule>
    <cfRule type="cellIs" dxfId="45" priority="3" operator="equal">
      <formula>#REF!</formula>
    </cfRule>
    <cfRule type="cellIs" dxfId="44" priority="4" operator="equal">
      <formula>#REF!</formula>
    </cfRule>
  </conditionalFormatting>
  <pageMargins left="0.7" right="0.7" top="0.75" bottom="0.75" header="0.3" footer="0.3"/>
  <pageSetup paperSize="3" orientation="landscape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C00D7-698E-419D-94C0-0D7ADB930C17}">
  <dimension ref="A1:T86"/>
  <sheetViews>
    <sheetView workbookViewId="0">
      <selection activeCell="E5" sqref="E5"/>
    </sheetView>
  </sheetViews>
  <sheetFormatPr defaultRowHeight="14.45"/>
  <cols>
    <col min="2" max="2" width="2" customWidth="1"/>
    <col min="4" max="4" width="10.42578125" bestFit="1" customWidth="1"/>
    <col min="5" max="5" width="15" bestFit="1" customWidth="1"/>
    <col min="6" max="6" width="15" customWidth="1"/>
    <col min="7" max="7" width="15.7109375" bestFit="1" customWidth="1"/>
    <col min="8" max="8" width="15" bestFit="1" customWidth="1"/>
    <col min="9" max="9" width="17.140625" bestFit="1" customWidth="1"/>
    <col min="10" max="10" width="13.5703125" bestFit="1" customWidth="1"/>
    <col min="11" max="11" width="13.5703125" customWidth="1"/>
    <col min="12" max="12" width="15" bestFit="1" customWidth="1"/>
    <col min="13" max="15" width="13.5703125" bestFit="1" customWidth="1"/>
    <col min="18" max="18" width="13.5703125" bestFit="1" customWidth="1"/>
    <col min="20" max="20" width="13.5703125" bestFit="1" customWidth="1"/>
  </cols>
  <sheetData>
    <row r="1" spans="1:13">
      <c r="A1" t="s">
        <v>114</v>
      </c>
    </row>
    <row r="3" spans="1:13">
      <c r="B3" s="778" t="s">
        <v>90</v>
      </c>
      <c r="C3" s="842"/>
      <c r="D3" s="842"/>
      <c r="E3" s="914">
        <f>IFERROR(INDEX(Assumptions!$J$27:$L$36,MATCH(A1,Assumptions!$J$27:$J$36,0),3),0)</f>
        <v>0.47</v>
      </c>
      <c r="H3" s="778" t="s">
        <v>518</v>
      </c>
      <c r="I3" s="1098"/>
      <c r="J3" s="827"/>
      <c r="L3" s="804" t="s">
        <v>519</v>
      </c>
      <c r="M3" s="805"/>
    </row>
    <row r="4" spans="1:13">
      <c r="B4" s="778" t="s">
        <v>520</v>
      </c>
      <c r="C4" s="1099"/>
      <c r="D4" s="779"/>
      <c r="E4" s="780">
        <f>'3-G Financial'!$D$10*E3</f>
        <v>98762411.790915087</v>
      </c>
      <c r="F4" s="823"/>
      <c r="H4" s="832">
        <v>1</v>
      </c>
      <c r="I4" s="831">
        <v>1</v>
      </c>
      <c r="J4" s="791">
        <f>SUMIFS('3-G Amortization'!$K$26:$K$86,'3-G Amortization'!$E$26:$E$86,H4,'3-G Amortization'!$F$26:$F$86,I4)</f>
        <v>-1419709.6694944045</v>
      </c>
      <c r="L4" s="806">
        <v>1</v>
      </c>
      <c r="M4" s="791">
        <f t="shared" ref="M4:M13" si="0">SUMIF($E$26:$E$386,L4,$K$26:$K$386)</f>
        <v>-5678838.6779776169</v>
      </c>
    </row>
    <row r="5" spans="1:13">
      <c r="B5" s="1026" t="s">
        <v>521</v>
      </c>
      <c r="C5" s="781"/>
      <c r="D5" s="782"/>
      <c r="E5" s="783">
        <f>'3-G DRAW'!U9+1</f>
        <v>48945</v>
      </c>
      <c r="F5" s="824"/>
      <c r="H5" s="832">
        <v>1</v>
      </c>
      <c r="I5" s="831">
        <v>2</v>
      </c>
      <c r="J5" s="791">
        <f>SUMIFS('3-G Amortization'!$K$26:$K$86,'3-G Amortization'!$E$26:$E$86,H5,'3-G Amortization'!$F$26:$F$86,I5)</f>
        <v>-1419709.6694944045</v>
      </c>
      <c r="L5" s="806">
        <f>L4+1</f>
        <v>2</v>
      </c>
      <c r="M5" s="791">
        <f t="shared" si="0"/>
        <v>-6916207.5309694521</v>
      </c>
    </row>
    <row r="6" spans="1:13">
      <c r="B6" s="1026" t="s">
        <v>522</v>
      </c>
      <c r="C6" s="781"/>
      <c r="D6" s="782"/>
      <c r="E6" s="784">
        <f>Assumptions!$L$41</f>
        <v>5</v>
      </c>
      <c r="F6" s="825"/>
      <c r="G6" s="785"/>
      <c r="H6" s="832">
        <v>1</v>
      </c>
      <c r="I6" s="831">
        <v>3</v>
      </c>
      <c r="J6" s="791">
        <f>SUMIFS('3-G Amortization'!$K$26:$K$86,'3-G Amortization'!$E$26:$E$86,H6,'3-G Amortization'!$F$26:$F$86,I6)</f>
        <v>-1419709.6694944045</v>
      </c>
      <c r="L6" s="806">
        <f t="shared" ref="L6:L13" si="1">L5+1</f>
        <v>3</v>
      </c>
      <c r="M6" s="791">
        <f t="shared" si="0"/>
        <v>-6916207.530969454</v>
      </c>
    </row>
    <row r="7" spans="1:13">
      <c r="B7" s="1026" t="s">
        <v>523</v>
      </c>
      <c r="C7" s="781"/>
      <c r="D7" s="782"/>
      <c r="E7" s="803">
        <v>360</v>
      </c>
      <c r="F7" s="826"/>
      <c r="H7" s="832">
        <v>1</v>
      </c>
      <c r="I7" s="831">
        <v>4</v>
      </c>
      <c r="J7" s="791">
        <f>SUMIFS('3-G Amortization'!$K$26:$K$86,'3-G Amortization'!$E$26:$E$86,H7,'3-G Amortization'!$F$26:$F$86,I7)</f>
        <v>-1419709.6694944045</v>
      </c>
      <c r="L7" s="806">
        <f t="shared" si="1"/>
        <v>4</v>
      </c>
      <c r="M7" s="791">
        <f t="shared" si="0"/>
        <v>-6916207.5309694549</v>
      </c>
    </row>
    <row r="8" spans="1:13">
      <c r="B8" s="1026" t="s">
        <v>524</v>
      </c>
      <c r="C8" s="781"/>
      <c r="D8" s="782"/>
      <c r="E8" s="801">
        <v>1</v>
      </c>
      <c r="F8" s="786">
        <f>IF(E8="","",VLOOKUP(E8,$C$26:$D$386,2,FALSE))</f>
        <v>48975</v>
      </c>
      <c r="H8" s="832">
        <v>2</v>
      </c>
      <c r="I8" s="831">
        <v>1</v>
      </c>
      <c r="J8" s="791">
        <f>SUMIFS('3-G Amortization'!$K$26:$K$86,'3-G Amortization'!$E$26:$E$86,H8,'3-G Amortization'!$F$26:$F$86,I8)</f>
        <v>-1729051.8827423626</v>
      </c>
      <c r="L8" s="806">
        <f t="shared" si="1"/>
        <v>5</v>
      </c>
      <c r="M8" s="791">
        <f t="shared" si="0"/>
        <v>-6916207.5309694549</v>
      </c>
    </row>
    <row r="9" spans="1:13">
      <c r="B9" s="1026" t="s">
        <v>525</v>
      </c>
      <c r="C9" s="781"/>
      <c r="D9" s="782"/>
      <c r="E9" s="802">
        <v>12</v>
      </c>
      <c r="F9" s="787">
        <f>IF(E9="","",VLOOKUP(E9,$C$26:$D$386,2,FALSE))</f>
        <v>49309</v>
      </c>
      <c r="H9" s="832">
        <v>2</v>
      </c>
      <c r="I9" s="831">
        <v>2</v>
      </c>
      <c r="J9" s="791">
        <f>SUMIFS('3-G Amortization'!$K$26:$K$86,'3-G Amortization'!$E$26:$E$86,H9,'3-G Amortization'!$F$26:$F$86,I9)</f>
        <v>-1729051.8827423626</v>
      </c>
      <c r="L9" s="806">
        <f t="shared" si="1"/>
        <v>6</v>
      </c>
      <c r="M9" s="791">
        <f t="shared" si="0"/>
        <v>0</v>
      </c>
    </row>
    <row r="10" spans="1:13">
      <c r="B10" s="1026" t="s">
        <v>526</v>
      </c>
      <c r="C10" s="781"/>
      <c r="D10" s="782"/>
      <c r="E10" s="788">
        <f>Assumptions!$L6</f>
        <v>5.7500000000000002E-2</v>
      </c>
      <c r="H10" s="832">
        <v>2</v>
      </c>
      <c r="I10" s="831">
        <v>3</v>
      </c>
      <c r="J10" s="791">
        <f>SUMIFS('3-G Amortization'!$K$26:$K$86,'3-G Amortization'!$E$26:$E$86,H10,'3-G Amortization'!$F$26:$F$86,I10)</f>
        <v>-1729051.8827423626</v>
      </c>
      <c r="L10" s="806">
        <f t="shared" si="1"/>
        <v>7</v>
      </c>
      <c r="M10" s="791">
        <f t="shared" si="0"/>
        <v>0</v>
      </c>
    </row>
    <row r="11" spans="1:13">
      <c r="B11" s="1026" t="s">
        <v>527</v>
      </c>
      <c r="C11" s="781"/>
      <c r="D11" s="782"/>
      <c r="E11" s="788">
        <f>Assumptions!$L7</f>
        <v>5.0000000000000001E-3</v>
      </c>
      <c r="F11" s="789">
        <f>E11*E4</f>
        <v>493812.05895457545</v>
      </c>
      <c r="H11" s="832">
        <v>2</v>
      </c>
      <c r="I11" s="831">
        <v>4</v>
      </c>
      <c r="J11" s="791">
        <f>SUMIFS('3-G Amortization'!$K$26:$K$86,'3-G Amortization'!$E$26:$E$86,H11,'3-G Amortization'!$F$26:$F$86,I11)</f>
        <v>-1729051.882742363</v>
      </c>
      <c r="L11" s="806">
        <f t="shared" si="1"/>
        <v>8</v>
      </c>
      <c r="M11" s="791">
        <f t="shared" si="0"/>
        <v>0</v>
      </c>
    </row>
    <row r="12" spans="1:13">
      <c r="B12" s="1026" t="s">
        <v>528</v>
      </c>
      <c r="C12" s="781"/>
      <c r="D12" s="782"/>
      <c r="E12" s="1027" t="s">
        <v>529</v>
      </c>
      <c r="H12" s="832">
        <v>3</v>
      </c>
      <c r="I12" s="831">
        <v>1</v>
      </c>
      <c r="J12" s="791">
        <f>SUMIFS('3-G Amortization'!$K$26:$K$86,'3-G Amortization'!$E$26:$E$86,H12,'3-G Amortization'!$F$26:$F$86,I12)</f>
        <v>-1729051.882742363</v>
      </c>
      <c r="L12" s="806">
        <f t="shared" si="1"/>
        <v>9</v>
      </c>
      <c r="M12" s="791">
        <f t="shared" si="0"/>
        <v>0</v>
      </c>
    </row>
    <row r="13" spans="1:13">
      <c r="B13" s="1026" t="s">
        <v>530</v>
      </c>
      <c r="C13" s="781"/>
      <c r="D13" s="782"/>
      <c r="E13" s="791">
        <f>VLOOKUP(MIN(E6*12,E14),$C$26:$L$386,10,FALSE)</f>
        <v>93212352.694799051</v>
      </c>
      <c r="H13" s="832">
        <v>3</v>
      </c>
      <c r="I13" s="831">
        <v>2</v>
      </c>
      <c r="J13" s="791">
        <f>SUMIFS('3-G Amortization'!$K$26:$K$86,'3-G Amortization'!$E$26:$E$86,H13,'3-G Amortization'!$F$26:$F$86,I13)</f>
        <v>-1729051.882742363</v>
      </c>
      <c r="L13" s="807">
        <f t="shared" si="1"/>
        <v>10</v>
      </c>
      <c r="M13" s="808">
        <f t="shared" si="0"/>
        <v>0</v>
      </c>
    </row>
    <row r="14" spans="1:13">
      <c r="B14" s="792" t="s">
        <v>531</v>
      </c>
      <c r="C14" s="793"/>
      <c r="D14" s="794"/>
      <c r="E14" s="790">
        <f>E6*12</f>
        <v>60</v>
      </c>
      <c r="F14" s="795"/>
      <c r="H14" s="832">
        <v>3</v>
      </c>
      <c r="I14" s="831">
        <v>3</v>
      </c>
      <c r="J14" s="791">
        <f>SUMIFS('3-G Amortization'!$K$26:$K$86,'3-G Amortization'!$E$26:$E$86,H14,'3-G Amortization'!$F$26:$F$86,I14)</f>
        <v>-1729051.882742363</v>
      </c>
      <c r="K14" s="809"/>
    </row>
    <row r="15" spans="1:13">
      <c r="H15" s="832">
        <v>3</v>
      </c>
      <c r="I15" s="831">
        <v>4</v>
      </c>
      <c r="J15" s="791">
        <f>SUMIFS('3-G Amortization'!$K$26:$K$86,'3-G Amortization'!$E$26:$E$86,H15,'3-G Amortization'!$F$26:$F$86,I15)</f>
        <v>-1729051.8827423633</v>
      </c>
      <c r="K15" s="809"/>
    </row>
    <row r="16" spans="1:13">
      <c r="H16" s="832">
        <v>4</v>
      </c>
      <c r="I16" s="831">
        <v>1</v>
      </c>
      <c r="J16" s="791">
        <f>SUMIFS('3-G Amortization'!$K$26:$K$86,'3-G Amortization'!$E$26:$E$86,H16,'3-G Amortization'!$F$26:$F$86,I16)</f>
        <v>-1729051.8827423633</v>
      </c>
      <c r="K16" s="809"/>
    </row>
    <row r="17" spans="3:20">
      <c r="H17" s="832">
        <v>4</v>
      </c>
      <c r="I17" s="831">
        <v>2</v>
      </c>
      <c r="J17" s="791">
        <f>SUMIFS('3-G Amortization'!$K$26:$K$86,'3-G Amortization'!$E$26:$E$86,H17,'3-G Amortization'!$F$26:$F$86,I17)</f>
        <v>-1729051.8827423633</v>
      </c>
      <c r="K17" s="809"/>
    </row>
    <row r="18" spans="3:20">
      <c r="H18" s="832">
        <v>4</v>
      </c>
      <c r="I18" s="831">
        <v>3</v>
      </c>
      <c r="J18" s="791">
        <f>SUMIFS('3-G Amortization'!$K$26:$K$86,'3-G Amortization'!$E$26:$E$86,H18,'3-G Amortization'!$F$26:$F$86,I18)</f>
        <v>-1729051.882742363</v>
      </c>
      <c r="K18" s="809"/>
    </row>
    <row r="19" spans="3:20">
      <c r="H19" s="832">
        <v>4</v>
      </c>
      <c r="I19" s="831">
        <v>4</v>
      </c>
      <c r="J19" s="791">
        <f>SUMIFS('3-G Amortization'!$K$26:$K$86,'3-G Amortization'!$E$26:$E$86,H19,'3-G Amortization'!$F$26:$F$86,I19)</f>
        <v>-1729051.8827423633</v>
      </c>
      <c r="K19" s="809"/>
    </row>
    <row r="20" spans="3:20">
      <c r="H20" s="832">
        <v>5</v>
      </c>
      <c r="I20" s="831">
        <v>1</v>
      </c>
      <c r="J20" s="791">
        <f>SUMIFS('3-G Amortization'!$K$26:$K$86,'3-G Amortization'!$E$26:$E$86,H20,'3-G Amortization'!$F$26:$F$86,I20)</f>
        <v>-1729051.8827423633</v>
      </c>
      <c r="K20" s="809"/>
    </row>
    <row r="21" spans="3:20">
      <c r="H21" s="832">
        <v>5</v>
      </c>
      <c r="I21" s="831">
        <v>2</v>
      </c>
      <c r="J21" s="791">
        <f>SUMIFS('3-G Amortization'!$K$26:$K$86,'3-G Amortization'!$E$26:$E$86,H21,'3-G Amortization'!$F$26:$F$86,I21)</f>
        <v>-1729051.8827423633</v>
      </c>
      <c r="K21" s="809"/>
    </row>
    <row r="22" spans="3:20">
      <c r="H22" s="832">
        <v>5</v>
      </c>
      <c r="I22" s="831">
        <v>3</v>
      </c>
      <c r="J22" s="791">
        <f>SUMIFS('3-G Amortization'!$K$26:$K$86,'3-G Amortization'!$E$26:$E$86,H22,'3-G Amortization'!$F$26:$F$86,I22)</f>
        <v>-1729051.882742363</v>
      </c>
      <c r="K22" s="809"/>
    </row>
    <row r="23" spans="3:20">
      <c r="H23" s="833">
        <v>5</v>
      </c>
      <c r="I23" s="834">
        <v>4</v>
      </c>
      <c r="J23" s="808">
        <f>SUMIFS('3-G Amortization'!$K$26:$K$86,'3-G Amortization'!$E$26:$E$86,H23,'3-G Amortization'!$F$26:$F$86,I23)</f>
        <v>-1729051.882742363</v>
      </c>
      <c r="K23" s="809"/>
    </row>
    <row r="24" spans="3:20">
      <c r="R24" s="809"/>
      <c r="T24" s="809"/>
    </row>
    <row r="25" spans="3:20" ht="15" thickBot="1">
      <c r="C25" s="811" t="s">
        <v>532</v>
      </c>
      <c r="D25" s="812" t="s">
        <v>533</v>
      </c>
      <c r="E25" s="812" t="s">
        <v>534</v>
      </c>
      <c r="F25" s="1100" t="s">
        <v>535</v>
      </c>
      <c r="G25" s="1100" t="s">
        <v>536</v>
      </c>
      <c r="H25" s="812" t="s">
        <v>537</v>
      </c>
      <c r="I25" s="812" t="s">
        <v>538</v>
      </c>
      <c r="J25" s="812" t="s">
        <v>520</v>
      </c>
      <c r="K25" s="812" t="s">
        <v>539</v>
      </c>
      <c r="L25" s="813" t="s">
        <v>540</v>
      </c>
    </row>
    <row r="26" spans="3:20">
      <c r="C26" s="796">
        <v>0</v>
      </c>
      <c r="D26" s="797">
        <f>E5</f>
        <v>48945</v>
      </c>
      <c r="E26" s="798">
        <f>ROUNDUP(C26/12,0)</f>
        <v>0</v>
      </c>
      <c r="F26" s="798"/>
      <c r="G26" s="799"/>
      <c r="I26" s="809"/>
      <c r="K26" s="809">
        <f t="shared" ref="K26:K86" si="2">SUM(I26:J26)</f>
        <v>0</v>
      </c>
      <c r="L26" s="791">
        <f t="shared" ref="L26:L57" si="3">IF(C26=0,$E$4,H26+J26)</f>
        <v>98762411.790915087</v>
      </c>
    </row>
    <row r="27" spans="3:20" ht="15" customHeight="1">
      <c r="C27" s="814">
        <f>C26+1</f>
        <v>1</v>
      </c>
      <c r="D27" s="815">
        <f t="shared" ref="D27:D58" si="4">EOMONTH($E$5,C27-1)</f>
        <v>48975</v>
      </c>
      <c r="E27" s="800">
        <f t="shared" ref="E27:E86" si="5">ROUNDUP(C27/12,0)</f>
        <v>1</v>
      </c>
      <c r="F27" s="800">
        <f>CHOOSE(MONTH(D27), 1, 1, 1, 2, 2, 2, 3, 3, 3, 4, 4, 4)</f>
        <v>1</v>
      </c>
      <c r="G27" s="816" t="str">
        <f>IF($E$12="NO",G26+1,
IF(OR(D27&lt;$F$8,D27&gt;$F$9),MAX($G$26:G26)+1,""))</f>
        <v/>
      </c>
      <c r="H27" s="809">
        <f t="shared" ref="H27:H58" si="6">IF(OR(E27&gt;$E$6,C27&gt;$E$14),0,L26)</f>
        <v>98762411.790915087</v>
      </c>
      <c r="I27" s="809">
        <f t="shared" ref="I27:I58" si="7">IF(OR(E27&gt;$E$6*12,C27&gt;$E$14),0,-H27*$E$10/12)</f>
        <v>-473236.5564981348</v>
      </c>
      <c r="J27" s="817">
        <f t="shared" ref="J27:J58" si="8">IF(OR(E27&gt;$E$6,C27&gt;$E$14),0,
IF(AND($E$8&lt;&gt;OR(0,""),$E$9&lt;&gt;OR(0,""),C27&gt;=$E$8,C27&lt;=$E$9),0,PPMT($E$10/12,IF($E$12="YES",G27,C27),$E$7,$E$4)))</f>
        <v>0</v>
      </c>
      <c r="K27" s="809">
        <f t="shared" si="2"/>
        <v>-473236.5564981348</v>
      </c>
      <c r="L27" s="791">
        <f t="shared" si="3"/>
        <v>98762411.790915087</v>
      </c>
    </row>
    <row r="28" spans="3:20">
      <c r="C28" s="814">
        <f t="shared" ref="C28:C86" si="9">C27+1</f>
        <v>2</v>
      </c>
      <c r="D28" s="815">
        <f t="shared" si="4"/>
        <v>49003</v>
      </c>
      <c r="E28" s="800">
        <f t="shared" si="5"/>
        <v>1</v>
      </c>
      <c r="F28" s="800">
        <f t="shared" ref="F28:F86" si="10">CHOOSE(MONTH(D28), 1, 1, 1, 2, 2, 2, 3, 3, 3, 4, 4, 4)</f>
        <v>1</v>
      </c>
      <c r="G28" s="816" t="str">
        <f>IF($E$12="NO",G27+1,
IF(OR(D28&lt;$F$8,D28&gt;$F$9),MAX($G$26:G27)+1,""))</f>
        <v/>
      </c>
      <c r="H28" s="809">
        <f t="shared" si="6"/>
        <v>98762411.790915087</v>
      </c>
      <c r="I28" s="809">
        <f t="shared" si="7"/>
        <v>-473236.5564981348</v>
      </c>
      <c r="J28" s="817">
        <f t="shared" si="8"/>
        <v>0</v>
      </c>
      <c r="K28" s="809">
        <f t="shared" si="2"/>
        <v>-473236.5564981348</v>
      </c>
      <c r="L28" s="791">
        <f t="shared" si="3"/>
        <v>98762411.790915087</v>
      </c>
    </row>
    <row r="29" spans="3:20">
      <c r="C29" s="814">
        <f t="shared" si="9"/>
        <v>3</v>
      </c>
      <c r="D29" s="815">
        <f t="shared" si="4"/>
        <v>49034</v>
      </c>
      <c r="E29" s="800">
        <f t="shared" si="5"/>
        <v>1</v>
      </c>
      <c r="F29" s="800">
        <f t="shared" si="10"/>
        <v>1</v>
      </c>
      <c r="G29" s="816" t="str">
        <f>IF($E$12="NO",G28+1,
IF(OR(D29&lt;$F$8,D29&gt;$F$9),MAX($G$26:G28)+1,""))</f>
        <v/>
      </c>
      <c r="H29" s="809">
        <f t="shared" si="6"/>
        <v>98762411.790915087</v>
      </c>
      <c r="I29" s="809">
        <f t="shared" si="7"/>
        <v>-473236.5564981348</v>
      </c>
      <c r="J29" s="817">
        <f t="shared" si="8"/>
        <v>0</v>
      </c>
      <c r="K29" s="809">
        <f t="shared" si="2"/>
        <v>-473236.5564981348</v>
      </c>
      <c r="L29" s="791">
        <f t="shared" si="3"/>
        <v>98762411.790915087</v>
      </c>
    </row>
    <row r="30" spans="3:20">
      <c r="C30" s="814">
        <f t="shared" si="9"/>
        <v>4</v>
      </c>
      <c r="D30" s="815">
        <f t="shared" si="4"/>
        <v>49064</v>
      </c>
      <c r="E30" s="800">
        <f t="shared" si="5"/>
        <v>1</v>
      </c>
      <c r="F30" s="800">
        <f t="shared" si="10"/>
        <v>2</v>
      </c>
      <c r="G30" s="816" t="str">
        <f>IF($E$12="NO",G29+1,
IF(OR(D30&lt;$F$8,D30&gt;$F$9),MAX($G$26:G29)+1,""))</f>
        <v/>
      </c>
      <c r="H30" s="809">
        <f t="shared" si="6"/>
        <v>98762411.790915087</v>
      </c>
      <c r="I30" s="809">
        <f t="shared" si="7"/>
        <v>-473236.5564981348</v>
      </c>
      <c r="J30" s="817">
        <f t="shared" si="8"/>
        <v>0</v>
      </c>
      <c r="K30" s="809">
        <f t="shared" si="2"/>
        <v>-473236.5564981348</v>
      </c>
      <c r="L30" s="791">
        <f t="shared" si="3"/>
        <v>98762411.790915087</v>
      </c>
    </row>
    <row r="31" spans="3:20">
      <c r="C31" s="814">
        <f t="shared" si="9"/>
        <v>5</v>
      </c>
      <c r="D31" s="815">
        <f t="shared" si="4"/>
        <v>49095</v>
      </c>
      <c r="E31" s="800">
        <f t="shared" si="5"/>
        <v>1</v>
      </c>
      <c r="F31" s="800">
        <f t="shared" si="10"/>
        <v>2</v>
      </c>
      <c r="G31" s="816" t="str">
        <f>IF($E$12="NO",G30+1,
IF(OR(D31&lt;$F$8,D31&gt;$F$9),MAX($G$26:G30)+1,""))</f>
        <v/>
      </c>
      <c r="H31" s="809">
        <f t="shared" si="6"/>
        <v>98762411.790915087</v>
      </c>
      <c r="I31" s="809">
        <f t="shared" si="7"/>
        <v>-473236.5564981348</v>
      </c>
      <c r="J31" s="817">
        <f t="shared" si="8"/>
        <v>0</v>
      </c>
      <c r="K31" s="809">
        <f t="shared" si="2"/>
        <v>-473236.5564981348</v>
      </c>
      <c r="L31" s="791">
        <f t="shared" si="3"/>
        <v>98762411.790915087</v>
      </c>
    </row>
    <row r="32" spans="3:20">
      <c r="C32" s="814">
        <f t="shared" si="9"/>
        <v>6</v>
      </c>
      <c r="D32" s="815">
        <f t="shared" si="4"/>
        <v>49125</v>
      </c>
      <c r="E32" s="800">
        <f t="shared" si="5"/>
        <v>1</v>
      </c>
      <c r="F32" s="800">
        <f t="shared" si="10"/>
        <v>2</v>
      </c>
      <c r="G32" s="816" t="str">
        <f>IF($E$12="NO",G31+1,
IF(OR(D32&lt;$F$8,D32&gt;$F$9),MAX($G$26:G31)+1,""))</f>
        <v/>
      </c>
      <c r="H32" s="809">
        <f t="shared" si="6"/>
        <v>98762411.790915087</v>
      </c>
      <c r="I32" s="809">
        <f t="shared" si="7"/>
        <v>-473236.5564981348</v>
      </c>
      <c r="J32" s="817">
        <f t="shared" si="8"/>
        <v>0</v>
      </c>
      <c r="K32" s="809">
        <f t="shared" si="2"/>
        <v>-473236.5564981348</v>
      </c>
      <c r="L32" s="791">
        <f t="shared" si="3"/>
        <v>98762411.790915087</v>
      </c>
    </row>
    <row r="33" spans="3:12">
      <c r="C33" s="814">
        <f t="shared" si="9"/>
        <v>7</v>
      </c>
      <c r="D33" s="815">
        <f t="shared" si="4"/>
        <v>49156</v>
      </c>
      <c r="E33" s="800">
        <f t="shared" si="5"/>
        <v>1</v>
      </c>
      <c r="F33" s="800">
        <f t="shared" si="10"/>
        <v>3</v>
      </c>
      <c r="G33" s="816" t="str">
        <f>IF($E$12="NO",G32+1,
IF(OR(D33&lt;$F$8,D33&gt;$F$9),MAX($G$26:G32)+1,""))</f>
        <v/>
      </c>
      <c r="H33" s="809">
        <f t="shared" si="6"/>
        <v>98762411.790915087</v>
      </c>
      <c r="I33" s="809">
        <f t="shared" si="7"/>
        <v>-473236.5564981348</v>
      </c>
      <c r="J33" s="817">
        <f t="shared" si="8"/>
        <v>0</v>
      </c>
      <c r="K33" s="809">
        <f t="shared" si="2"/>
        <v>-473236.5564981348</v>
      </c>
      <c r="L33" s="791">
        <f t="shared" si="3"/>
        <v>98762411.790915087</v>
      </c>
    </row>
    <row r="34" spans="3:12">
      <c r="C34" s="814">
        <f t="shared" si="9"/>
        <v>8</v>
      </c>
      <c r="D34" s="815">
        <f t="shared" si="4"/>
        <v>49187</v>
      </c>
      <c r="E34" s="800">
        <f t="shared" si="5"/>
        <v>1</v>
      </c>
      <c r="F34" s="800">
        <f t="shared" si="10"/>
        <v>3</v>
      </c>
      <c r="G34" s="816" t="str">
        <f>IF($E$12="NO",G33+1,
IF(OR(D34&lt;$F$8,D34&gt;$F$9),MAX($G$26:G33)+1,""))</f>
        <v/>
      </c>
      <c r="H34" s="809">
        <f t="shared" si="6"/>
        <v>98762411.790915087</v>
      </c>
      <c r="I34" s="809">
        <f t="shared" si="7"/>
        <v>-473236.5564981348</v>
      </c>
      <c r="J34" s="817">
        <f t="shared" si="8"/>
        <v>0</v>
      </c>
      <c r="K34" s="809">
        <f t="shared" si="2"/>
        <v>-473236.5564981348</v>
      </c>
      <c r="L34" s="791">
        <f t="shared" si="3"/>
        <v>98762411.790915087</v>
      </c>
    </row>
    <row r="35" spans="3:12">
      <c r="C35" s="814">
        <f t="shared" si="9"/>
        <v>9</v>
      </c>
      <c r="D35" s="815">
        <f t="shared" si="4"/>
        <v>49217</v>
      </c>
      <c r="E35" s="800">
        <f t="shared" si="5"/>
        <v>1</v>
      </c>
      <c r="F35" s="800">
        <f t="shared" si="10"/>
        <v>3</v>
      </c>
      <c r="G35" s="816" t="str">
        <f>IF($E$12="NO",G34+1,
IF(OR(D35&lt;$F$8,D35&gt;$F$9),MAX($G$26:G34)+1,""))</f>
        <v/>
      </c>
      <c r="H35" s="809">
        <f t="shared" si="6"/>
        <v>98762411.790915087</v>
      </c>
      <c r="I35" s="809">
        <f t="shared" si="7"/>
        <v>-473236.5564981348</v>
      </c>
      <c r="J35" s="817">
        <f t="shared" si="8"/>
        <v>0</v>
      </c>
      <c r="K35" s="809">
        <f t="shared" si="2"/>
        <v>-473236.5564981348</v>
      </c>
      <c r="L35" s="791">
        <f t="shared" si="3"/>
        <v>98762411.790915087</v>
      </c>
    </row>
    <row r="36" spans="3:12">
      <c r="C36" s="814">
        <f t="shared" si="9"/>
        <v>10</v>
      </c>
      <c r="D36" s="815">
        <f t="shared" si="4"/>
        <v>49248</v>
      </c>
      <c r="E36" s="800">
        <f t="shared" si="5"/>
        <v>1</v>
      </c>
      <c r="F36" s="800">
        <f t="shared" si="10"/>
        <v>4</v>
      </c>
      <c r="G36" s="816" t="str">
        <f>IF($E$12="NO",G35+1,
IF(OR(D36&lt;$F$8,D36&gt;$F$9),MAX($G$26:G35)+1,""))</f>
        <v/>
      </c>
      <c r="H36" s="809">
        <f t="shared" si="6"/>
        <v>98762411.790915087</v>
      </c>
      <c r="I36" s="809">
        <f t="shared" si="7"/>
        <v>-473236.5564981348</v>
      </c>
      <c r="J36" s="817">
        <f t="shared" si="8"/>
        <v>0</v>
      </c>
      <c r="K36" s="809">
        <f t="shared" si="2"/>
        <v>-473236.5564981348</v>
      </c>
      <c r="L36" s="791">
        <f t="shared" si="3"/>
        <v>98762411.790915087</v>
      </c>
    </row>
    <row r="37" spans="3:12">
      <c r="C37" s="814">
        <f t="shared" si="9"/>
        <v>11</v>
      </c>
      <c r="D37" s="815">
        <f t="shared" si="4"/>
        <v>49278</v>
      </c>
      <c r="E37" s="800">
        <f t="shared" si="5"/>
        <v>1</v>
      </c>
      <c r="F37" s="800">
        <f t="shared" si="10"/>
        <v>4</v>
      </c>
      <c r="G37" s="816" t="str">
        <f>IF($E$12="NO",G36+1,
IF(OR(D37&lt;$F$8,D37&gt;$F$9),MAX($G$26:G36)+1,""))</f>
        <v/>
      </c>
      <c r="H37" s="809">
        <f t="shared" si="6"/>
        <v>98762411.790915087</v>
      </c>
      <c r="I37" s="809">
        <f t="shared" si="7"/>
        <v>-473236.5564981348</v>
      </c>
      <c r="J37" s="817">
        <f t="shared" si="8"/>
        <v>0</v>
      </c>
      <c r="K37" s="809">
        <f t="shared" si="2"/>
        <v>-473236.5564981348</v>
      </c>
      <c r="L37" s="791">
        <f t="shared" si="3"/>
        <v>98762411.790915087</v>
      </c>
    </row>
    <row r="38" spans="3:12">
      <c r="C38" s="814">
        <f t="shared" si="9"/>
        <v>12</v>
      </c>
      <c r="D38" s="815">
        <f t="shared" si="4"/>
        <v>49309</v>
      </c>
      <c r="E38" s="800">
        <f t="shared" si="5"/>
        <v>1</v>
      </c>
      <c r="F38" s="800">
        <f t="shared" si="10"/>
        <v>4</v>
      </c>
      <c r="G38" s="816" t="str">
        <f>IF($E$12="NO",G37+1,
IF(OR(D38&lt;$F$8,D38&gt;$F$9),MAX($G$26:G37)+1,""))</f>
        <v/>
      </c>
      <c r="H38" s="809">
        <f t="shared" si="6"/>
        <v>98762411.790915087</v>
      </c>
      <c r="I38" s="809">
        <f t="shared" si="7"/>
        <v>-473236.5564981348</v>
      </c>
      <c r="J38" s="817">
        <f t="shared" si="8"/>
        <v>0</v>
      </c>
      <c r="K38" s="809">
        <f t="shared" si="2"/>
        <v>-473236.5564981348</v>
      </c>
      <c r="L38" s="791">
        <f t="shared" si="3"/>
        <v>98762411.790915087</v>
      </c>
    </row>
    <row r="39" spans="3:12">
      <c r="C39" s="814">
        <f t="shared" si="9"/>
        <v>13</v>
      </c>
      <c r="D39" s="815">
        <f t="shared" si="4"/>
        <v>49340</v>
      </c>
      <c r="E39" s="800">
        <f t="shared" si="5"/>
        <v>2</v>
      </c>
      <c r="F39" s="800">
        <f t="shared" si="10"/>
        <v>1</v>
      </c>
      <c r="G39" s="816">
        <f>IF($E$12="NO",G38+1,
IF(OR(D39&lt;$F$8,D39&gt;$F$9),MAX($G$26:G38)+1,""))</f>
        <v>1</v>
      </c>
      <c r="H39" s="809">
        <f t="shared" si="6"/>
        <v>98762411.790915087</v>
      </c>
      <c r="I39" s="809">
        <f t="shared" si="7"/>
        <v>-473236.5564981348</v>
      </c>
      <c r="J39" s="817">
        <f t="shared" si="8"/>
        <v>-103114.07108265268</v>
      </c>
      <c r="K39" s="809">
        <f t="shared" si="2"/>
        <v>-576350.62758078752</v>
      </c>
      <c r="L39" s="791">
        <f t="shared" si="3"/>
        <v>98659297.719832435</v>
      </c>
    </row>
    <row r="40" spans="3:12">
      <c r="C40" s="814">
        <f t="shared" si="9"/>
        <v>14</v>
      </c>
      <c r="D40" s="815">
        <f t="shared" si="4"/>
        <v>49368</v>
      </c>
      <c r="E40" s="800">
        <f t="shared" si="5"/>
        <v>2</v>
      </c>
      <c r="F40" s="800">
        <f t="shared" si="10"/>
        <v>1</v>
      </c>
      <c r="G40" s="816">
        <f>IF($E$12="NO",G39+1,
IF(OR(D40&lt;$F$8,D40&gt;$F$9),MAX($G$26:G39)+1,""))</f>
        <v>2</v>
      </c>
      <c r="H40" s="809">
        <f t="shared" si="6"/>
        <v>98659297.719832435</v>
      </c>
      <c r="I40" s="809">
        <f t="shared" si="7"/>
        <v>-472742.46824086382</v>
      </c>
      <c r="J40" s="817">
        <f t="shared" si="8"/>
        <v>-103608.1593399237</v>
      </c>
      <c r="K40" s="809">
        <f t="shared" si="2"/>
        <v>-576350.62758078752</v>
      </c>
      <c r="L40" s="791">
        <f t="shared" si="3"/>
        <v>98555689.560492516</v>
      </c>
    </row>
    <row r="41" spans="3:12">
      <c r="C41" s="814">
        <f t="shared" si="9"/>
        <v>15</v>
      </c>
      <c r="D41" s="815">
        <f t="shared" si="4"/>
        <v>49399</v>
      </c>
      <c r="E41" s="800">
        <f t="shared" si="5"/>
        <v>2</v>
      </c>
      <c r="F41" s="800">
        <f t="shared" si="10"/>
        <v>1</v>
      </c>
      <c r="G41" s="816">
        <f>IF($E$12="NO",G40+1,
IF(OR(D41&lt;$F$8,D41&gt;$F$9),MAX($G$26:G40)+1,""))</f>
        <v>3</v>
      </c>
      <c r="H41" s="809">
        <f t="shared" si="6"/>
        <v>98555689.560492516</v>
      </c>
      <c r="I41" s="809">
        <f t="shared" si="7"/>
        <v>-472246.01247735997</v>
      </c>
      <c r="J41" s="817">
        <f t="shared" si="8"/>
        <v>-104104.6151034275</v>
      </c>
      <c r="K41" s="809">
        <f t="shared" si="2"/>
        <v>-576350.62758078752</v>
      </c>
      <c r="L41" s="791">
        <f t="shared" si="3"/>
        <v>98451584.945389092</v>
      </c>
    </row>
    <row r="42" spans="3:12">
      <c r="C42" s="814">
        <f t="shared" si="9"/>
        <v>16</v>
      </c>
      <c r="D42" s="815">
        <f t="shared" si="4"/>
        <v>49429</v>
      </c>
      <c r="E42" s="800">
        <f t="shared" si="5"/>
        <v>2</v>
      </c>
      <c r="F42" s="800">
        <f t="shared" si="10"/>
        <v>2</v>
      </c>
      <c r="G42" s="816">
        <f>IF($E$12="NO",G41+1,
IF(OR(D42&lt;$F$8,D42&gt;$F$9),MAX($G$26:G41)+1,""))</f>
        <v>4</v>
      </c>
      <c r="H42" s="809">
        <f t="shared" si="6"/>
        <v>98451584.945389092</v>
      </c>
      <c r="I42" s="809">
        <f t="shared" si="7"/>
        <v>-471747.17786332272</v>
      </c>
      <c r="J42" s="817">
        <f t="shared" si="8"/>
        <v>-104603.44971746477</v>
      </c>
      <c r="K42" s="809">
        <f t="shared" si="2"/>
        <v>-576350.62758078752</v>
      </c>
      <c r="L42" s="791">
        <f t="shared" si="3"/>
        <v>98346981.49567163</v>
      </c>
    </row>
    <row r="43" spans="3:12">
      <c r="C43" s="814">
        <f t="shared" si="9"/>
        <v>17</v>
      </c>
      <c r="D43" s="815">
        <f t="shared" si="4"/>
        <v>49460</v>
      </c>
      <c r="E43" s="800">
        <f t="shared" si="5"/>
        <v>2</v>
      </c>
      <c r="F43" s="800">
        <f t="shared" si="10"/>
        <v>2</v>
      </c>
      <c r="G43" s="816">
        <f>IF($E$12="NO",G42+1,
IF(OR(D43&lt;$F$8,D43&gt;$F$9),MAX($G$26:G42)+1,""))</f>
        <v>5</v>
      </c>
      <c r="H43" s="809">
        <f t="shared" si="6"/>
        <v>98346981.49567163</v>
      </c>
      <c r="I43" s="809">
        <f t="shared" si="7"/>
        <v>-471245.95300009329</v>
      </c>
      <c r="J43" s="817">
        <f t="shared" si="8"/>
        <v>-105104.67458069428</v>
      </c>
      <c r="K43" s="809">
        <f t="shared" si="2"/>
        <v>-576350.62758078752</v>
      </c>
      <c r="L43" s="791">
        <f t="shared" si="3"/>
        <v>98241876.821090937</v>
      </c>
    </row>
    <row r="44" spans="3:12">
      <c r="C44" s="814">
        <f t="shared" si="9"/>
        <v>18</v>
      </c>
      <c r="D44" s="815">
        <f t="shared" si="4"/>
        <v>49490</v>
      </c>
      <c r="E44" s="800">
        <f t="shared" si="5"/>
        <v>2</v>
      </c>
      <c r="F44" s="800">
        <f t="shared" si="10"/>
        <v>2</v>
      </c>
      <c r="G44" s="816">
        <f>IF($E$12="NO",G43+1,
IF(OR(D44&lt;$F$8,D44&gt;$F$9),MAX($G$26:G43)+1,""))</f>
        <v>6</v>
      </c>
      <c r="H44" s="809">
        <f t="shared" si="6"/>
        <v>98241876.821090937</v>
      </c>
      <c r="I44" s="809">
        <f t="shared" si="7"/>
        <v>-470742.32643439411</v>
      </c>
      <c r="J44" s="817">
        <f t="shared" si="8"/>
        <v>-105608.30114639344</v>
      </c>
      <c r="K44" s="809">
        <f t="shared" si="2"/>
        <v>-576350.62758078752</v>
      </c>
      <c r="L44" s="791">
        <f t="shared" si="3"/>
        <v>98136268.519944549</v>
      </c>
    </row>
    <row r="45" spans="3:12">
      <c r="C45" s="814">
        <f t="shared" si="9"/>
        <v>19</v>
      </c>
      <c r="D45" s="815">
        <f t="shared" si="4"/>
        <v>49521</v>
      </c>
      <c r="E45" s="800">
        <f t="shared" si="5"/>
        <v>2</v>
      </c>
      <c r="F45" s="800">
        <f t="shared" si="10"/>
        <v>3</v>
      </c>
      <c r="G45" s="816">
        <f>IF($E$12="NO",G44+1,
IF(OR(D45&lt;$F$8,D45&gt;$F$9),MAX($G$26:G44)+1,""))</f>
        <v>7</v>
      </c>
      <c r="H45" s="809">
        <f t="shared" si="6"/>
        <v>98136268.519944549</v>
      </c>
      <c r="I45" s="809">
        <f t="shared" si="7"/>
        <v>-470236.28665806766</v>
      </c>
      <c r="J45" s="817">
        <f t="shared" si="8"/>
        <v>-106114.34092271992</v>
      </c>
      <c r="K45" s="809">
        <f t="shared" si="2"/>
        <v>-576350.62758078752</v>
      </c>
      <c r="L45" s="791">
        <f t="shared" si="3"/>
        <v>98030154.179021835</v>
      </c>
    </row>
    <row r="46" spans="3:12">
      <c r="C46" s="814">
        <f t="shared" si="9"/>
        <v>20</v>
      </c>
      <c r="D46" s="815">
        <f t="shared" si="4"/>
        <v>49552</v>
      </c>
      <c r="E46" s="800">
        <f t="shared" si="5"/>
        <v>2</v>
      </c>
      <c r="F46" s="800">
        <f t="shared" si="10"/>
        <v>3</v>
      </c>
      <c r="G46" s="816">
        <f>IF($E$12="NO",G45+1,
IF(OR(D46&lt;$F$8,D46&gt;$F$9),MAX($G$26:G45)+1,""))</f>
        <v>8</v>
      </c>
      <c r="H46" s="809">
        <f t="shared" si="6"/>
        <v>98030154.179021835</v>
      </c>
      <c r="I46" s="809">
        <f t="shared" si="7"/>
        <v>-469727.82210781303</v>
      </c>
      <c r="J46" s="817">
        <f t="shared" si="8"/>
        <v>-106622.80547297459</v>
      </c>
      <c r="K46" s="809">
        <f t="shared" si="2"/>
        <v>-576350.62758078764</v>
      </c>
      <c r="L46" s="791">
        <f t="shared" si="3"/>
        <v>97923531.373548865</v>
      </c>
    </row>
    <row r="47" spans="3:12">
      <c r="C47" s="814">
        <f t="shared" si="9"/>
        <v>21</v>
      </c>
      <c r="D47" s="815">
        <f t="shared" si="4"/>
        <v>49582</v>
      </c>
      <c r="E47" s="800">
        <f t="shared" si="5"/>
        <v>2</v>
      </c>
      <c r="F47" s="800">
        <f t="shared" si="10"/>
        <v>3</v>
      </c>
      <c r="G47" s="816">
        <f>IF($E$12="NO",G46+1,
IF(OR(D47&lt;$F$8,D47&gt;$F$9),MAX($G$26:G46)+1,""))</f>
        <v>9</v>
      </c>
      <c r="H47" s="809">
        <f t="shared" si="6"/>
        <v>97923531.373548865</v>
      </c>
      <c r="I47" s="809">
        <f t="shared" si="7"/>
        <v>-469216.92116492166</v>
      </c>
      <c r="J47" s="817">
        <f t="shared" si="8"/>
        <v>-107133.70641586595</v>
      </c>
      <c r="K47" s="809">
        <f t="shared" si="2"/>
        <v>-576350.62758078764</v>
      </c>
      <c r="L47" s="791">
        <f t="shared" si="3"/>
        <v>97816397.667133003</v>
      </c>
    </row>
    <row r="48" spans="3:12">
      <c r="C48" s="814">
        <f t="shared" si="9"/>
        <v>22</v>
      </c>
      <c r="D48" s="815">
        <f t="shared" si="4"/>
        <v>49613</v>
      </c>
      <c r="E48" s="800">
        <f t="shared" si="5"/>
        <v>2</v>
      </c>
      <c r="F48" s="800">
        <f t="shared" si="10"/>
        <v>4</v>
      </c>
      <c r="G48" s="816">
        <f>IF($E$12="NO",G47+1,
IF(OR(D48&lt;$F$8,D48&gt;$F$9),MAX($G$26:G47)+1,""))</f>
        <v>10</v>
      </c>
      <c r="H48" s="809">
        <f t="shared" si="6"/>
        <v>97816397.667133003</v>
      </c>
      <c r="I48" s="809">
        <f t="shared" si="7"/>
        <v>-468703.57215501234</v>
      </c>
      <c r="J48" s="817">
        <f t="shared" si="8"/>
        <v>-107647.05542577532</v>
      </c>
      <c r="K48" s="809">
        <f t="shared" si="2"/>
        <v>-576350.62758078764</v>
      </c>
      <c r="L48" s="791">
        <f t="shared" si="3"/>
        <v>97708750.611707225</v>
      </c>
    </row>
    <row r="49" spans="3:12">
      <c r="C49" s="814">
        <f t="shared" si="9"/>
        <v>23</v>
      </c>
      <c r="D49" s="815">
        <f t="shared" si="4"/>
        <v>49643</v>
      </c>
      <c r="E49" s="800">
        <f t="shared" si="5"/>
        <v>2</v>
      </c>
      <c r="F49" s="800">
        <f t="shared" si="10"/>
        <v>4</v>
      </c>
      <c r="G49" s="816">
        <f>IF($E$12="NO",G48+1,
IF(OR(D49&lt;$F$8,D49&gt;$F$9),MAX($G$26:G48)+1,""))</f>
        <v>11</v>
      </c>
      <c r="H49" s="809">
        <f t="shared" si="6"/>
        <v>97708750.611707225</v>
      </c>
      <c r="I49" s="809">
        <f t="shared" si="7"/>
        <v>-468187.7633477638</v>
      </c>
      <c r="J49" s="817">
        <f t="shared" si="8"/>
        <v>-108162.86423302381</v>
      </c>
      <c r="K49" s="809">
        <f t="shared" si="2"/>
        <v>-576350.62758078764</v>
      </c>
      <c r="L49" s="791">
        <f t="shared" si="3"/>
        <v>97600587.747474208</v>
      </c>
    </row>
    <row r="50" spans="3:12">
      <c r="C50" s="814">
        <f t="shared" si="9"/>
        <v>24</v>
      </c>
      <c r="D50" s="815">
        <f t="shared" si="4"/>
        <v>49674</v>
      </c>
      <c r="E50" s="800">
        <f t="shared" si="5"/>
        <v>2</v>
      </c>
      <c r="F50" s="800">
        <f t="shared" si="10"/>
        <v>4</v>
      </c>
      <c r="G50" s="816">
        <f>IF($E$12="NO",G49+1,
IF(OR(D50&lt;$F$8,D50&gt;$F$9),MAX($G$26:G49)+1,""))</f>
        <v>12</v>
      </c>
      <c r="H50" s="809">
        <f t="shared" si="6"/>
        <v>97600587.747474208</v>
      </c>
      <c r="I50" s="809">
        <f t="shared" si="7"/>
        <v>-467669.48295664723</v>
      </c>
      <c r="J50" s="817">
        <f t="shared" si="8"/>
        <v>-108681.14462414038</v>
      </c>
      <c r="K50" s="809">
        <f t="shared" si="2"/>
        <v>-576350.62758078764</v>
      </c>
      <c r="L50" s="791">
        <f t="shared" si="3"/>
        <v>97491906.602850065</v>
      </c>
    </row>
    <row r="51" spans="3:12">
      <c r="C51" s="814">
        <f t="shared" si="9"/>
        <v>25</v>
      </c>
      <c r="D51" s="815">
        <f t="shared" si="4"/>
        <v>49705</v>
      </c>
      <c r="E51" s="800">
        <f t="shared" si="5"/>
        <v>3</v>
      </c>
      <c r="F51" s="800">
        <f t="shared" si="10"/>
        <v>1</v>
      </c>
      <c r="G51" s="816">
        <f>IF($E$12="NO",G50+1,
IF(OR(D51&lt;$F$8,D51&gt;$F$9),MAX($G$26:G50)+1,""))</f>
        <v>13</v>
      </c>
      <c r="H51" s="809">
        <f t="shared" si="6"/>
        <v>97491906.602850065</v>
      </c>
      <c r="I51" s="809">
        <f t="shared" si="7"/>
        <v>-467148.71913865657</v>
      </c>
      <c r="J51" s="817">
        <f t="shared" si="8"/>
        <v>-109201.90844213105</v>
      </c>
      <c r="K51" s="809">
        <f t="shared" si="2"/>
        <v>-576350.62758078764</v>
      </c>
      <c r="L51" s="791">
        <f t="shared" si="3"/>
        <v>97382704.69440794</v>
      </c>
    </row>
    <row r="52" spans="3:12">
      <c r="C52" s="814">
        <f t="shared" si="9"/>
        <v>26</v>
      </c>
      <c r="D52" s="815">
        <f t="shared" si="4"/>
        <v>49734</v>
      </c>
      <c r="E52" s="800">
        <f t="shared" si="5"/>
        <v>3</v>
      </c>
      <c r="F52" s="800">
        <f t="shared" si="10"/>
        <v>1</v>
      </c>
      <c r="G52" s="816">
        <f>IF($E$12="NO",G51+1,
IF(OR(D52&lt;$F$8,D52&gt;$F$9),MAX($G$26:G51)+1,""))</f>
        <v>14</v>
      </c>
      <c r="H52" s="809">
        <f t="shared" si="6"/>
        <v>97382704.69440794</v>
      </c>
      <c r="I52" s="809">
        <f t="shared" si="7"/>
        <v>-466625.4599940381</v>
      </c>
      <c r="J52" s="817">
        <f t="shared" si="8"/>
        <v>-109725.16758674962</v>
      </c>
      <c r="K52" s="809">
        <f t="shared" si="2"/>
        <v>-576350.62758078775</v>
      </c>
      <c r="L52" s="791">
        <f t="shared" si="3"/>
        <v>97272979.526821196</v>
      </c>
    </row>
    <row r="53" spans="3:12">
      <c r="C53" s="814">
        <f t="shared" si="9"/>
        <v>27</v>
      </c>
      <c r="D53" s="815">
        <f t="shared" si="4"/>
        <v>49765</v>
      </c>
      <c r="E53" s="800">
        <f t="shared" si="5"/>
        <v>3</v>
      </c>
      <c r="F53" s="800">
        <f t="shared" si="10"/>
        <v>1</v>
      </c>
      <c r="G53" s="816">
        <f>IF($E$12="NO",G52+1,
IF(OR(D53&lt;$F$8,D53&gt;$F$9),MAX($G$26:G52)+1,""))</f>
        <v>15</v>
      </c>
      <c r="H53" s="809">
        <f t="shared" si="6"/>
        <v>97272979.526821196</v>
      </c>
      <c r="I53" s="809">
        <f t="shared" si="7"/>
        <v>-466099.69356601825</v>
      </c>
      <c r="J53" s="817">
        <f t="shared" si="8"/>
        <v>-110250.93401476943</v>
      </c>
      <c r="K53" s="809">
        <f t="shared" si="2"/>
        <v>-576350.62758078764</v>
      </c>
      <c r="L53" s="791">
        <f t="shared" si="3"/>
        <v>97162728.592806429</v>
      </c>
    </row>
    <row r="54" spans="3:12">
      <c r="C54" s="814">
        <f t="shared" si="9"/>
        <v>28</v>
      </c>
      <c r="D54" s="815">
        <f t="shared" si="4"/>
        <v>49795</v>
      </c>
      <c r="E54" s="800">
        <f t="shared" si="5"/>
        <v>3</v>
      </c>
      <c r="F54" s="800">
        <f t="shared" si="10"/>
        <v>2</v>
      </c>
      <c r="G54" s="816">
        <f>IF($E$12="NO",G53+1,
IF(OR(D54&lt;$F$8,D54&gt;$F$9),MAX($G$26:G53)+1,""))</f>
        <v>16</v>
      </c>
      <c r="H54" s="809">
        <f t="shared" si="6"/>
        <v>97162728.592806429</v>
      </c>
      <c r="I54" s="809">
        <f t="shared" si="7"/>
        <v>-465571.40784053085</v>
      </c>
      <c r="J54" s="817">
        <f t="shared" si="8"/>
        <v>-110779.21974025689</v>
      </c>
      <c r="K54" s="809">
        <f t="shared" si="2"/>
        <v>-576350.62758078775</v>
      </c>
      <c r="L54" s="791">
        <f t="shared" si="3"/>
        <v>97051949.373066172</v>
      </c>
    </row>
    <row r="55" spans="3:12">
      <c r="C55" s="814">
        <f t="shared" si="9"/>
        <v>29</v>
      </c>
      <c r="D55" s="815">
        <f t="shared" si="4"/>
        <v>49826</v>
      </c>
      <c r="E55" s="800">
        <f t="shared" si="5"/>
        <v>3</v>
      </c>
      <c r="F55" s="800">
        <f t="shared" si="10"/>
        <v>2</v>
      </c>
      <c r="G55" s="816">
        <f>IF($E$12="NO",G54+1,
IF(OR(D55&lt;$F$8,D55&gt;$F$9),MAX($G$26:G54)+1,""))</f>
        <v>17</v>
      </c>
      <c r="H55" s="809">
        <f t="shared" si="6"/>
        <v>97051949.373066172</v>
      </c>
      <c r="I55" s="809">
        <f t="shared" si="7"/>
        <v>-465040.59074594214</v>
      </c>
      <c r="J55" s="817">
        <f t="shared" si="8"/>
        <v>-111310.03683484561</v>
      </c>
      <c r="K55" s="809">
        <f t="shared" si="2"/>
        <v>-576350.62758078775</v>
      </c>
      <c r="L55" s="791">
        <f t="shared" si="3"/>
        <v>96940639.336231321</v>
      </c>
    </row>
    <row r="56" spans="3:12">
      <c r="C56" s="814">
        <f t="shared" si="9"/>
        <v>30</v>
      </c>
      <c r="D56" s="815">
        <f t="shared" si="4"/>
        <v>49856</v>
      </c>
      <c r="E56" s="800">
        <f t="shared" si="5"/>
        <v>3</v>
      </c>
      <c r="F56" s="800">
        <f t="shared" si="10"/>
        <v>2</v>
      </c>
      <c r="G56" s="816">
        <f>IF($E$12="NO",G55+1,
IF(OR(D56&lt;$F$8,D56&gt;$F$9),MAX($G$26:G55)+1,""))</f>
        <v>18</v>
      </c>
      <c r="H56" s="809">
        <f t="shared" si="6"/>
        <v>96940639.336231321</v>
      </c>
      <c r="I56" s="809">
        <f t="shared" si="7"/>
        <v>-464507.23015277507</v>
      </c>
      <c r="J56" s="817">
        <f t="shared" si="8"/>
        <v>-111843.39742801258</v>
      </c>
      <c r="K56" s="809">
        <f t="shared" si="2"/>
        <v>-576350.62758078764</v>
      </c>
      <c r="L56" s="791">
        <f t="shared" si="3"/>
        <v>96828795.938803315</v>
      </c>
    </row>
    <row r="57" spans="3:12">
      <c r="C57" s="814">
        <f t="shared" si="9"/>
        <v>31</v>
      </c>
      <c r="D57" s="815">
        <f t="shared" si="4"/>
        <v>49887</v>
      </c>
      <c r="E57" s="800">
        <f t="shared" si="5"/>
        <v>3</v>
      </c>
      <c r="F57" s="800">
        <f t="shared" si="10"/>
        <v>3</v>
      </c>
      <c r="G57" s="816">
        <f>IF($E$12="NO",G56+1,
IF(OR(D57&lt;$F$8,D57&gt;$F$9),MAX($G$26:G56)+1,""))</f>
        <v>19</v>
      </c>
      <c r="H57" s="809">
        <f t="shared" si="6"/>
        <v>96828795.938803315</v>
      </c>
      <c r="I57" s="809">
        <f t="shared" si="7"/>
        <v>-463971.31387343258</v>
      </c>
      <c r="J57" s="817">
        <f t="shared" si="8"/>
        <v>-112379.31370735515</v>
      </c>
      <c r="K57" s="809">
        <f t="shared" si="2"/>
        <v>-576350.62758078775</v>
      </c>
      <c r="L57" s="791">
        <f t="shared" si="3"/>
        <v>96716416.625095963</v>
      </c>
    </row>
    <row r="58" spans="3:12">
      <c r="C58" s="814">
        <f t="shared" si="9"/>
        <v>32</v>
      </c>
      <c r="D58" s="815">
        <f t="shared" si="4"/>
        <v>49918</v>
      </c>
      <c r="E58" s="800">
        <f t="shared" si="5"/>
        <v>3</v>
      </c>
      <c r="F58" s="800">
        <f t="shared" si="10"/>
        <v>3</v>
      </c>
      <c r="G58" s="816">
        <f>IF($E$12="NO",G57+1,
IF(OR(D58&lt;$F$8,D58&gt;$F$9),MAX($G$26:G57)+1,""))</f>
        <v>20</v>
      </c>
      <c r="H58" s="809">
        <f t="shared" si="6"/>
        <v>96716416.625095963</v>
      </c>
      <c r="I58" s="809">
        <f t="shared" si="7"/>
        <v>-463432.82966191816</v>
      </c>
      <c r="J58" s="817">
        <f t="shared" si="8"/>
        <v>-112917.79791886956</v>
      </c>
      <c r="K58" s="809">
        <f t="shared" si="2"/>
        <v>-576350.62758078775</v>
      </c>
      <c r="L58" s="791">
        <f t="shared" ref="L58:L86" si="11">IF(C58=0,$E$4,H58+J58)</f>
        <v>96603498.827177092</v>
      </c>
    </row>
    <row r="59" spans="3:12">
      <c r="C59" s="814">
        <f t="shared" si="9"/>
        <v>33</v>
      </c>
      <c r="D59" s="815">
        <f t="shared" ref="D59:D86" si="12">EOMONTH($E$5,C59-1)</f>
        <v>49948</v>
      </c>
      <c r="E59" s="800">
        <f t="shared" si="5"/>
        <v>3</v>
      </c>
      <c r="F59" s="800">
        <f t="shared" si="10"/>
        <v>3</v>
      </c>
      <c r="G59" s="816">
        <f>IF($E$12="NO",G58+1,
IF(OR(D59&lt;$F$8,D59&gt;$F$9),MAX($G$26:G58)+1,""))</f>
        <v>21</v>
      </c>
      <c r="H59" s="809">
        <f t="shared" ref="H59:H86" si="13">IF(OR(E59&gt;$E$6,C59&gt;$E$14),0,L58)</f>
        <v>96603498.827177092</v>
      </c>
      <c r="I59" s="809">
        <f t="shared" ref="I59:I86" si="14">IF(OR(E59&gt;$E$6*12,C59&gt;$E$14),0,-H59*$E$10/12)</f>
        <v>-462891.76521355688</v>
      </c>
      <c r="J59" s="817">
        <f t="shared" ref="J59:J86" si="15">IF(OR(E59&gt;$E$6,C59&gt;$E$14),0,
IF(AND($E$8&lt;&gt;OR(0,""),$E$9&lt;&gt;OR(0,""),C59&gt;=$E$8,C59&lt;=$E$9),0,PPMT($E$10/12,IF($E$12="YES",G59,C59),$E$7,$E$4)))</f>
        <v>-113458.8623672308</v>
      </c>
      <c r="K59" s="809">
        <f t="shared" si="2"/>
        <v>-576350.62758078764</v>
      </c>
      <c r="L59" s="791">
        <f t="shared" si="11"/>
        <v>96490039.964809865</v>
      </c>
    </row>
    <row r="60" spans="3:12">
      <c r="C60" s="814">
        <f t="shared" si="9"/>
        <v>34</v>
      </c>
      <c r="D60" s="815">
        <f t="shared" si="12"/>
        <v>49979</v>
      </c>
      <c r="E60" s="800">
        <f t="shared" si="5"/>
        <v>3</v>
      </c>
      <c r="F60" s="800">
        <f t="shared" si="10"/>
        <v>4</v>
      </c>
      <c r="G60" s="816">
        <f>IF($E$12="NO",G59+1,
IF(OR(D60&lt;$F$8,D60&gt;$F$9),MAX($G$26:G59)+1,""))</f>
        <v>22</v>
      </c>
      <c r="H60" s="809">
        <f t="shared" si="13"/>
        <v>96490039.964809865</v>
      </c>
      <c r="I60" s="809">
        <f t="shared" si="14"/>
        <v>-462348.10816471395</v>
      </c>
      <c r="J60" s="817">
        <f t="shared" si="15"/>
        <v>-114002.51941607379</v>
      </c>
      <c r="K60" s="809">
        <f t="shared" si="2"/>
        <v>-576350.62758078775</v>
      </c>
      <c r="L60" s="791">
        <f t="shared" si="11"/>
        <v>96376037.445393786</v>
      </c>
    </row>
    <row r="61" spans="3:12">
      <c r="C61" s="814">
        <f t="shared" si="9"/>
        <v>35</v>
      </c>
      <c r="D61" s="815">
        <f t="shared" si="12"/>
        <v>50009</v>
      </c>
      <c r="E61" s="800">
        <f t="shared" si="5"/>
        <v>3</v>
      </c>
      <c r="F61" s="800">
        <f t="shared" si="10"/>
        <v>4</v>
      </c>
      <c r="G61" s="816">
        <f>IF($E$12="NO",G60+1,
IF(OR(D61&lt;$F$8,D61&gt;$F$9),MAX($G$26:G60)+1,""))</f>
        <v>23</v>
      </c>
      <c r="H61" s="809">
        <f t="shared" si="13"/>
        <v>96376037.445393786</v>
      </c>
      <c r="I61" s="809">
        <f t="shared" si="14"/>
        <v>-461801.8460925119</v>
      </c>
      <c r="J61" s="817">
        <f t="shared" si="15"/>
        <v>-114548.78148827581</v>
      </c>
      <c r="K61" s="809">
        <f t="shared" si="2"/>
        <v>-576350.62758078775</v>
      </c>
      <c r="L61" s="791">
        <f t="shared" si="11"/>
        <v>96261488.663905516</v>
      </c>
    </row>
    <row r="62" spans="3:12">
      <c r="C62" s="814">
        <f t="shared" si="9"/>
        <v>36</v>
      </c>
      <c r="D62" s="815">
        <f t="shared" si="12"/>
        <v>50040</v>
      </c>
      <c r="E62" s="800">
        <f t="shared" si="5"/>
        <v>3</v>
      </c>
      <c r="F62" s="800">
        <f t="shared" si="10"/>
        <v>4</v>
      </c>
      <c r="G62" s="816">
        <f>IF($E$12="NO",G61+1,
IF(OR(D62&lt;$F$8,D62&gt;$F$9),MAX($G$26:G61)+1,""))</f>
        <v>24</v>
      </c>
      <c r="H62" s="809">
        <f t="shared" si="13"/>
        <v>96261488.663905516</v>
      </c>
      <c r="I62" s="809">
        <f t="shared" si="14"/>
        <v>-461252.9665145473</v>
      </c>
      <c r="J62" s="817">
        <f t="shared" si="15"/>
        <v>-115097.66106624046</v>
      </c>
      <c r="K62" s="809">
        <f t="shared" si="2"/>
        <v>-576350.62758078775</v>
      </c>
      <c r="L62" s="791">
        <f t="shared" si="11"/>
        <v>96146391.002839282</v>
      </c>
    </row>
    <row r="63" spans="3:12">
      <c r="C63" s="814">
        <f t="shared" si="9"/>
        <v>37</v>
      </c>
      <c r="D63" s="815">
        <f t="shared" si="12"/>
        <v>50071</v>
      </c>
      <c r="E63" s="800">
        <f t="shared" si="5"/>
        <v>4</v>
      </c>
      <c r="F63" s="800">
        <f t="shared" si="10"/>
        <v>1</v>
      </c>
      <c r="G63" s="816">
        <f>IF($E$12="NO",G62+1,
IF(OR(D63&lt;$F$8,D63&gt;$F$9),MAX($G$26:G62)+1,""))</f>
        <v>25</v>
      </c>
      <c r="H63" s="809">
        <f t="shared" si="13"/>
        <v>96146391.002839282</v>
      </c>
      <c r="I63" s="809">
        <f t="shared" si="14"/>
        <v>-460701.45688860491</v>
      </c>
      <c r="J63" s="817">
        <f t="shared" si="15"/>
        <v>-115649.17069218286</v>
      </c>
      <c r="K63" s="809">
        <f t="shared" si="2"/>
        <v>-576350.62758078775</v>
      </c>
      <c r="L63" s="791">
        <f t="shared" si="11"/>
        <v>96030741.832147107</v>
      </c>
    </row>
    <row r="64" spans="3:12">
      <c r="C64" s="814">
        <f t="shared" si="9"/>
        <v>38</v>
      </c>
      <c r="D64" s="815">
        <f t="shared" si="12"/>
        <v>50099</v>
      </c>
      <c r="E64" s="800">
        <f t="shared" si="5"/>
        <v>4</v>
      </c>
      <c r="F64" s="800">
        <f t="shared" si="10"/>
        <v>1</v>
      </c>
      <c r="G64" s="816">
        <f>IF($E$12="NO",G63+1,
IF(OR(D64&lt;$F$8,D64&gt;$F$9),MAX($G$26:G63)+1,""))</f>
        <v>26</v>
      </c>
      <c r="H64" s="809">
        <f t="shared" si="13"/>
        <v>96030741.832147107</v>
      </c>
      <c r="I64" s="809">
        <f t="shared" si="14"/>
        <v>-460147.3046123716</v>
      </c>
      <c r="J64" s="817">
        <f t="shared" si="15"/>
        <v>-116203.32296841624</v>
      </c>
      <c r="K64" s="809">
        <f t="shared" si="2"/>
        <v>-576350.62758078787</v>
      </c>
      <c r="L64" s="791">
        <f t="shared" si="11"/>
        <v>95914538.509178683</v>
      </c>
    </row>
    <row r="65" spans="3:12">
      <c r="C65" s="814">
        <f t="shared" si="9"/>
        <v>39</v>
      </c>
      <c r="D65" s="815">
        <f t="shared" si="12"/>
        <v>50130</v>
      </c>
      <c r="E65" s="800">
        <f t="shared" si="5"/>
        <v>4</v>
      </c>
      <c r="F65" s="800">
        <f t="shared" si="10"/>
        <v>1</v>
      </c>
      <c r="G65" s="816">
        <f>IF($E$12="NO",G64+1,
IF(OR(D65&lt;$F$8,D65&gt;$F$9),MAX($G$26:G64)+1,""))</f>
        <v>27</v>
      </c>
      <c r="H65" s="809">
        <f t="shared" si="13"/>
        <v>95914538.509178683</v>
      </c>
      <c r="I65" s="809">
        <f t="shared" si="14"/>
        <v>-459590.49702314782</v>
      </c>
      <c r="J65" s="817">
        <f t="shared" si="15"/>
        <v>-116760.13055763989</v>
      </c>
      <c r="K65" s="809">
        <f t="shared" si="2"/>
        <v>-576350.62758078775</v>
      </c>
      <c r="L65" s="791">
        <f t="shared" si="11"/>
        <v>95797778.378621042</v>
      </c>
    </row>
    <row r="66" spans="3:12">
      <c r="C66" s="814">
        <f t="shared" si="9"/>
        <v>40</v>
      </c>
      <c r="D66" s="815">
        <f t="shared" si="12"/>
        <v>50160</v>
      </c>
      <c r="E66" s="800">
        <f t="shared" si="5"/>
        <v>4</v>
      </c>
      <c r="F66" s="800">
        <f t="shared" si="10"/>
        <v>2</v>
      </c>
      <c r="G66" s="816">
        <f>IF($E$12="NO",G65+1,
IF(OR(D66&lt;$F$8,D66&gt;$F$9),MAX($G$26:G65)+1,""))</f>
        <v>28</v>
      </c>
      <c r="H66" s="809">
        <f t="shared" si="13"/>
        <v>95797778.378621042</v>
      </c>
      <c r="I66" s="809">
        <f t="shared" si="14"/>
        <v>-459031.02139755921</v>
      </c>
      <c r="J66" s="817">
        <f t="shared" si="15"/>
        <v>-117319.60618322858</v>
      </c>
      <c r="K66" s="809">
        <f t="shared" si="2"/>
        <v>-576350.62758078775</v>
      </c>
      <c r="L66" s="791">
        <f t="shared" si="11"/>
        <v>95680458.772437811</v>
      </c>
    </row>
    <row r="67" spans="3:12">
      <c r="C67" s="814">
        <f t="shared" si="9"/>
        <v>41</v>
      </c>
      <c r="D67" s="815">
        <f t="shared" si="12"/>
        <v>50191</v>
      </c>
      <c r="E67" s="800">
        <f t="shared" si="5"/>
        <v>4</v>
      </c>
      <c r="F67" s="800">
        <f t="shared" si="10"/>
        <v>2</v>
      </c>
      <c r="G67" s="816">
        <f>IF($E$12="NO",G66+1,
IF(OR(D67&lt;$F$8,D67&gt;$F$9),MAX($G$26:G66)+1,""))</f>
        <v>29</v>
      </c>
      <c r="H67" s="809">
        <f t="shared" si="13"/>
        <v>95680458.772437811</v>
      </c>
      <c r="I67" s="809">
        <f t="shared" si="14"/>
        <v>-458468.86495126452</v>
      </c>
      <c r="J67" s="817">
        <f t="shared" si="15"/>
        <v>-117881.76262952323</v>
      </c>
      <c r="K67" s="809">
        <f t="shared" si="2"/>
        <v>-576350.62758078775</v>
      </c>
      <c r="L67" s="791">
        <f t="shared" si="11"/>
        <v>95562577.009808287</v>
      </c>
    </row>
    <row r="68" spans="3:12">
      <c r="C68" s="814">
        <f t="shared" si="9"/>
        <v>42</v>
      </c>
      <c r="D68" s="815">
        <f t="shared" si="12"/>
        <v>50221</v>
      </c>
      <c r="E68" s="800">
        <f t="shared" si="5"/>
        <v>4</v>
      </c>
      <c r="F68" s="800">
        <f t="shared" si="10"/>
        <v>2</v>
      </c>
      <c r="G68" s="816">
        <f>IF($E$12="NO",G67+1,
IF(OR(D68&lt;$F$8,D68&gt;$F$9),MAX($G$26:G67)+1,""))</f>
        <v>30</v>
      </c>
      <c r="H68" s="809">
        <f t="shared" si="13"/>
        <v>95562577.009808287</v>
      </c>
      <c r="I68" s="809">
        <f t="shared" si="14"/>
        <v>-457904.01483866473</v>
      </c>
      <c r="J68" s="817">
        <f t="shared" si="15"/>
        <v>-118446.61274212303</v>
      </c>
      <c r="K68" s="809">
        <f t="shared" si="2"/>
        <v>-576350.62758078775</v>
      </c>
      <c r="L68" s="791">
        <f t="shared" si="11"/>
        <v>95444130.397066161</v>
      </c>
    </row>
    <row r="69" spans="3:12">
      <c r="C69" s="814">
        <f t="shared" si="9"/>
        <v>43</v>
      </c>
      <c r="D69" s="815">
        <f t="shared" si="12"/>
        <v>50252</v>
      </c>
      <c r="E69" s="800">
        <f t="shared" si="5"/>
        <v>4</v>
      </c>
      <c r="F69" s="800">
        <f t="shared" si="10"/>
        <v>3</v>
      </c>
      <c r="G69" s="816">
        <f>IF($E$12="NO",G68+1,
IF(OR(D69&lt;$F$8,D69&gt;$F$9),MAX($G$26:G68)+1,""))</f>
        <v>31</v>
      </c>
      <c r="H69" s="809">
        <f t="shared" si="13"/>
        <v>95444130.397066161</v>
      </c>
      <c r="I69" s="809">
        <f t="shared" si="14"/>
        <v>-457336.45815260871</v>
      </c>
      <c r="J69" s="817">
        <f t="shared" si="15"/>
        <v>-119014.16942817903</v>
      </c>
      <c r="K69" s="809">
        <f t="shared" si="2"/>
        <v>-576350.62758078775</v>
      </c>
      <c r="L69" s="791">
        <f t="shared" si="11"/>
        <v>95325116.227637976</v>
      </c>
    </row>
    <row r="70" spans="3:12">
      <c r="C70" s="814">
        <f t="shared" si="9"/>
        <v>44</v>
      </c>
      <c r="D70" s="815">
        <f t="shared" si="12"/>
        <v>50283</v>
      </c>
      <c r="E70" s="800">
        <f t="shared" si="5"/>
        <v>4</v>
      </c>
      <c r="F70" s="800">
        <f t="shared" si="10"/>
        <v>3</v>
      </c>
      <c r="G70" s="816">
        <f>IF($E$12="NO",G69+1,
IF(OR(D70&lt;$F$8,D70&gt;$F$9),MAX($G$26:G69)+1,""))</f>
        <v>32</v>
      </c>
      <c r="H70" s="809">
        <f t="shared" si="13"/>
        <v>95325116.227637976</v>
      </c>
      <c r="I70" s="809">
        <f t="shared" si="14"/>
        <v>-456766.18192409864</v>
      </c>
      <c r="J70" s="817">
        <f t="shared" si="15"/>
        <v>-119584.44565668906</v>
      </c>
      <c r="K70" s="809">
        <f t="shared" si="2"/>
        <v>-576350.62758078775</v>
      </c>
      <c r="L70" s="791">
        <f t="shared" si="11"/>
        <v>95205531.781981289</v>
      </c>
    </row>
    <row r="71" spans="3:12">
      <c r="C71" s="814">
        <f t="shared" si="9"/>
        <v>45</v>
      </c>
      <c r="D71" s="815">
        <f t="shared" si="12"/>
        <v>50313</v>
      </c>
      <c r="E71" s="800">
        <f t="shared" si="5"/>
        <v>4</v>
      </c>
      <c r="F71" s="800">
        <f t="shared" si="10"/>
        <v>3</v>
      </c>
      <c r="G71" s="816">
        <f>IF($E$12="NO",G70+1,
IF(OR(D71&lt;$F$8,D71&gt;$F$9),MAX($G$26:G70)+1,""))</f>
        <v>33</v>
      </c>
      <c r="H71" s="809">
        <f t="shared" si="13"/>
        <v>95205531.781981289</v>
      </c>
      <c r="I71" s="809">
        <f t="shared" si="14"/>
        <v>-456193.17312199366</v>
      </c>
      <c r="J71" s="817">
        <f t="shared" si="15"/>
        <v>-120157.454458794</v>
      </c>
      <c r="K71" s="809">
        <f t="shared" si="2"/>
        <v>-576350.62758078764</v>
      </c>
      <c r="L71" s="791">
        <f t="shared" si="11"/>
        <v>95085374.327522501</v>
      </c>
    </row>
    <row r="72" spans="3:12">
      <c r="C72" s="814">
        <f t="shared" si="9"/>
        <v>46</v>
      </c>
      <c r="D72" s="815">
        <f t="shared" si="12"/>
        <v>50344</v>
      </c>
      <c r="E72" s="800">
        <f t="shared" si="5"/>
        <v>4</v>
      </c>
      <c r="F72" s="800">
        <f t="shared" si="10"/>
        <v>4</v>
      </c>
      <c r="G72" s="816">
        <f>IF($E$12="NO",G71+1,
IF(OR(D72&lt;$F$8,D72&gt;$F$9),MAX($G$26:G71)+1,""))</f>
        <v>34</v>
      </c>
      <c r="H72" s="809">
        <f t="shared" si="13"/>
        <v>95085374.327522501</v>
      </c>
      <c r="I72" s="809">
        <f t="shared" si="14"/>
        <v>-455617.41865271196</v>
      </c>
      <c r="J72" s="817">
        <f t="shared" si="15"/>
        <v>-120733.20892807574</v>
      </c>
      <c r="K72" s="809">
        <f t="shared" si="2"/>
        <v>-576350.62758078775</v>
      </c>
      <c r="L72" s="791">
        <f t="shared" si="11"/>
        <v>94964641.118594423</v>
      </c>
    </row>
    <row r="73" spans="3:12">
      <c r="C73" s="814">
        <f t="shared" si="9"/>
        <v>47</v>
      </c>
      <c r="D73" s="815">
        <f t="shared" si="12"/>
        <v>50374</v>
      </c>
      <c r="E73" s="800">
        <f t="shared" si="5"/>
        <v>4</v>
      </c>
      <c r="F73" s="800">
        <f t="shared" si="10"/>
        <v>4</v>
      </c>
      <c r="G73" s="816">
        <f>IF($E$12="NO",G72+1,
IF(OR(D73&lt;$F$8,D73&gt;$F$9),MAX($G$26:G72)+1,""))</f>
        <v>35</v>
      </c>
      <c r="H73" s="809">
        <f t="shared" si="13"/>
        <v>94964641.118594423</v>
      </c>
      <c r="I73" s="809">
        <f t="shared" si="14"/>
        <v>-455038.90535993158</v>
      </c>
      <c r="J73" s="817">
        <f t="shared" si="15"/>
        <v>-121311.72222085611</v>
      </c>
      <c r="K73" s="809">
        <f t="shared" si="2"/>
        <v>-576350.62758078775</v>
      </c>
      <c r="L73" s="791">
        <f t="shared" si="11"/>
        <v>94843329.39637357</v>
      </c>
    </row>
    <row r="74" spans="3:12">
      <c r="C74" s="814">
        <f t="shared" si="9"/>
        <v>48</v>
      </c>
      <c r="D74" s="815">
        <f t="shared" si="12"/>
        <v>50405</v>
      </c>
      <c r="E74" s="800">
        <f t="shared" si="5"/>
        <v>4</v>
      </c>
      <c r="F74" s="800">
        <f t="shared" si="10"/>
        <v>4</v>
      </c>
      <c r="G74" s="816">
        <f>IF($E$12="NO",G73+1,
IF(OR(D74&lt;$F$8,D74&gt;$F$9),MAX($G$26:G73)+1,""))</f>
        <v>36</v>
      </c>
      <c r="H74" s="809">
        <f t="shared" si="13"/>
        <v>94843329.39637357</v>
      </c>
      <c r="I74" s="809">
        <f t="shared" si="14"/>
        <v>-454457.62002428999</v>
      </c>
      <c r="J74" s="817">
        <f t="shared" si="15"/>
        <v>-121893.0075564977</v>
      </c>
      <c r="K74" s="809">
        <f t="shared" si="2"/>
        <v>-576350.62758078775</v>
      </c>
      <c r="L74" s="791">
        <f t="shared" si="11"/>
        <v>94721436.388817072</v>
      </c>
    </row>
    <row r="75" spans="3:12">
      <c r="C75" s="814">
        <f t="shared" si="9"/>
        <v>49</v>
      </c>
      <c r="D75" s="815">
        <f t="shared" si="12"/>
        <v>50436</v>
      </c>
      <c r="E75" s="800">
        <f t="shared" si="5"/>
        <v>5</v>
      </c>
      <c r="F75" s="800">
        <f t="shared" si="10"/>
        <v>1</v>
      </c>
      <c r="G75" s="816">
        <f>IF($E$12="NO",G74+1,
IF(OR(D75&lt;$F$8,D75&gt;$F$9),MAX($G$26:G74)+1,""))</f>
        <v>37</v>
      </c>
      <c r="H75" s="809">
        <f t="shared" si="13"/>
        <v>94721436.388817072</v>
      </c>
      <c r="I75" s="809">
        <f t="shared" si="14"/>
        <v>-453873.54936308181</v>
      </c>
      <c r="J75" s="817">
        <f t="shared" si="15"/>
        <v>-122477.07821770593</v>
      </c>
      <c r="K75" s="809">
        <f t="shared" si="2"/>
        <v>-576350.62758078775</v>
      </c>
      <c r="L75" s="791">
        <f t="shared" si="11"/>
        <v>94598959.310599372</v>
      </c>
    </row>
    <row r="76" spans="3:12">
      <c r="C76" s="814">
        <f t="shared" si="9"/>
        <v>50</v>
      </c>
      <c r="D76" s="815">
        <f t="shared" si="12"/>
        <v>50464</v>
      </c>
      <c r="E76" s="800">
        <f t="shared" si="5"/>
        <v>5</v>
      </c>
      <c r="F76" s="800">
        <f t="shared" si="10"/>
        <v>1</v>
      </c>
      <c r="G76" s="816">
        <f>IF($E$12="NO",G75+1,
IF(OR(D76&lt;$F$8,D76&gt;$F$9),MAX($G$26:G75)+1,""))</f>
        <v>38</v>
      </c>
      <c r="H76" s="809">
        <f t="shared" si="13"/>
        <v>94598959.310599372</v>
      </c>
      <c r="I76" s="809">
        <f t="shared" si="14"/>
        <v>-453286.68002995529</v>
      </c>
      <c r="J76" s="817">
        <f t="shared" si="15"/>
        <v>-123063.94755083245</v>
      </c>
      <c r="K76" s="809">
        <f t="shared" si="2"/>
        <v>-576350.62758078775</v>
      </c>
      <c r="L76" s="791">
        <f t="shared" si="11"/>
        <v>94475895.363048539</v>
      </c>
    </row>
    <row r="77" spans="3:12">
      <c r="C77" s="814">
        <f t="shared" si="9"/>
        <v>51</v>
      </c>
      <c r="D77" s="815">
        <f t="shared" si="12"/>
        <v>50495</v>
      </c>
      <c r="E77" s="800">
        <f t="shared" si="5"/>
        <v>5</v>
      </c>
      <c r="F77" s="800">
        <f t="shared" si="10"/>
        <v>1</v>
      </c>
      <c r="G77" s="816">
        <f>IF($E$12="NO",G76+1,
IF(OR(D77&lt;$F$8,D77&gt;$F$9),MAX($G$26:G76)+1,""))</f>
        <v>39</v>
      </c>
      <c r="H77" s="809">
        <f t="shared" si="13"/>
        <v>94475895.363048539</v>
      </c>
      <c r="I77" s="809">
        <f t="shared" si="14"/>
        <v>-452696.99861460761</v>
      </c>
      <c r="J77" s="817">
        <f t="shared" si="15"/>
        <v>-123653.62896618016</v>
      </c>
      <c r="K77" s="809">
        <f t="shared" si="2"/>
        <v>-576350.62758078775</v>
      </c>
      <c r="L77" s="791">
        <f t="shared" si="11"/>
        <v>94352241.734082356</v>
      </c>
    </row>
    <row r="78" spans="3:12">
      <c r="C78" s="814">
        <f t="shared" si="9"/>
        <v>52</v>
      </c>
      <c r="D78" s="815">
        <f t="shared" si="12"/>
        <v>50525</v>
      </c>
      <c r="E78" s="800">
        <f t="shared" si="5"/>
        <v>5</v>
      </c>
      <c r="F78" s="800">
        <f t="shared" si="10"/>
        <v>2</v>
      </c>
      <c r="G78" s="816">
        <f>IF($E$12="NO",G77+1,
IF(OR(D78&lt;$F$8,D78&gt;$F$9),MAX($G$26:G77)+1,""))</f>
        <v>40</v>
      </c>
      <c r="H78" s="809">
        <f t="shared" si="13"/>
        <v>94352241.734082356</v>
      </c>
      <c r="I78" s="809">
        <f t="shared" si="14"/>
        <v>-452104.49164247798</v>
      </c>
      <c r="J78" s="817">
        <f t="shared" si="15"/>
        <v>-124246.13593830979</v>
      </c>
      <c r="K78" s="809">
        <f t="shared" si="2"/>
        <v>-576350.62758078775</v>
      </c>
      <c r="L78" s="791">
        <f t="shared" si="11"/>
        <v>94227995.59814404</v>
      </c>
    </row>
    <row r="79" spans="3:12">
      <c r="C79" s="814">
        <f t="shared" si="9"/>
        <v>53</v>
      </c>
      <c r="D79" s="815">
        <f t="shared" si="12"/>
        <v>50556</v>
      </c>
      <c r="E79" s="800">
        <f t="shared" si="5"/>
        <v>5</v>
      </c>
      <c r="F79" s="800">
        <f t="shared" si="10"/>
        <v>2</v>
      </c>
      <c r="G79" s="816">
        <f>IF($E$12="NO",G78+1,
IF(OR(D79&lt;$F$8,D79&gt;$F$9),MAX($G$26:G78)+1,""))</f>
        <v>41</v>
      </c>
      <c r="H79" s="809">
        <f t="shared" si="13"/>
        <v>94227995.59814404</v>
      </c>
      <c r="I79" s="809">
        <f t="shared" si="14"/>
        <v>-451509.14557444019</v>
      </c>
      <c r="J79" s="817">
        <f t="shared" si="15"/>
        <v>-124841.48200634753</v>
      </c>
      <c r="K79" s="809">
        <f t="shared" si="2"/>
        <v>-576350.62758078775</v>
      </c>
      <c r="L79" s="791">
        <f t="shared" si="11"/>
        <v>94103154.116137698</v>
      </c>
    </row>
    <row r="80" spans="3:12">
      <c r="C80" s="814">
        <f t="shared" si="9"/>
        <v>54</v>
      </c>
      <c r="D80" s="815">
        <f t="shared" si="12"/>
        <v>50586</v>
      </c>
      <c r="E80" s="800">
        <f t="shared" si="5"/>
        <v>5</v>
      </c>
      <c r="F80" s="800">
        <f t="shared" si="10"/>
        <v>2</v>
      </c>
      <c r="G80" s="816">
        <f>IF($E$12="NO",G79+1,
IF(OR(D80&lt;$F$8,D80&gt;$F$9),MAX($G$26:G79)+1,""))</f>
        <v>42</v>
      </c>
      <c r="H80" s="809">
        <f t="shared" si="13"/>
        <v>94103154.116137698</v>
      </c>
      <c r="I80" s="809">
        <f t="shared" si="14"/>
        <v>-450910.94680649316</v>
      </c>
      <c r="J80" s="817">
        <f t="shared" si="15"/>
        <v>-125439.68077429458</v>
      </c>
      <c r="K80" s="809">
        <f t="shared" si="2"/>
        <v>-576350.62758078775</v>
      </c>
      <c r="L80" s="791">
        <f t="shared" si="11"/>
        <v>93977714.435363397</v>
      </c>
    </row>
    <row r="81" spans="3:12">
      <c r="C81" s="814">
        <f t="shared" si="9"/>
        <v>55</v>
      </c>
      <c r="D81" s="815">
        <f t="shared" si="12"/>
        <v>50617</v>
      </c>
      <c r="E81" s="800">
        <f t="shared" si="5"/>
        <v>5</v>
      </c>
      <c r="F81" s="800">
        <f t="shared" si="10"/>
        <v>3</v>
      </c>
      <c r="G81" s="816">
        <f>IF($E$12="NO",G80+1,
IF(OR(D81&lt;$F$8,D81&gt;$F$9),MAX($G$26:G80)+1,""))</f>
        <v>43</v>
      </c>
      <c r="H81" s="809">
        <f t="shared" si="13"/>
        <v>93977714.435363397</v>
      </c>
      <c r="I81" s="809">
        <f t="shared" si="14"/>
        <v>-450309.88166944962</v>
      </c>
      <c r="J81" s="817">
        <f t="shared" si="15"/>
        <v>-126040.74591133809</v>
      </c>
      <c r="K81" s="809">
        <f t="shared" si="2"/>
        <v>-576350.62758078775</v>
      </c>
      <c r="L81" s="791">
        <f t="shared" si="11"/>
        <v>93851673.689452052</v>
      </c>
    </row>
    <row r="82" spans="3:12">
      <c r="C82" s="814">
        <f t="shared" si="9"/>
        <v>56</v>
      </c>
      <c r="D82" s="815">
        <f t="shared" si="12"/>
        <v>50648</v>
      </c>
      <c r="E82" s="800">
        <f t="shared" si="5"/>
        <v>5</v>
      </c>
      <c r="F82" s="800">
        <f t="shared" si="10"/>
        <v>3</v>
      </c>
      <c r="G82" s="816">
        <f>IF($E$12="NO",G81+1,
IF(OR(D82&lt;$F$8,D82&gt;$F$9),MAX($G$26:G81)+1,""))</f>
        <v>44</v>
      </c>
      <c r="H82" s="809">
        <f t="shared" si="13"/>
        <v>93851673.689452052</v>
      </c>
      <c r="I82" s="809">
        <f t="shared" si="14"/>
        <v>-449705.93642862444</v>
      </c>
      <c r="J82" s="817">
        <f t="shared" si="15"/>
        <v>-126644.69115216327</v>
      </c>
      <c r="K82" s="809">
        <f t="shared" si="2"/>
        <v>-576350.62758078775</v>
      </c>
      <c r="L82" s="791">
        <f t="shared" si="11"/>
        <v>93725028.998299882</v>
      </c>
    </row>
    <row r="83" spans="3:12">
      <c r="C83" s="814">
        <f t="shared" si="9"/>
        <v>57</v>
      </c>
      <c r="D83" s="815">
        <f t="shared" si="12"/>
        <v>50678</v>
      </c>
      <c r="E83" s="800">
        <f t="shared" si="5"/>
        <v>5</v>
      </c>
      <c r="F83" s="800">
        <f t="shared" si="10"/>
        <v>3</v>
      </c>
      <c r="G83" s="816">
        <f>IF($E$12="NO",G82+1,
IF(OR(D83&lt;$F$8,D83&gt;$F$9),MAX($G$26:G82)+1,""))</f>
        <v>45</v>
      </c>
      <c r="H83" s="809">
        <f t="shared" si="13"/>
        <v>93725028.998299882</v>
      </c>
      <c r="I83" s="809">
        <f t="shared" si="14"/>
        <v>-449099.09728352027</v>
      </c>
      <c r="J83" s="817">
        <f t="shared" si="15"/>
        <v>-127251.53029726737</v>
      </c>
      <c r="K83" s="809">
        <f t="shared" si="2"/>
        <v>-576350.62758078764</v>
      </c>
      <c r="L83" s="791">
        <f t="shared" si="11"/>
        <v>93597777.468002617</v>
      </c>
    </row>
    <row r="84" spans="3:12">
      <c r="C84" s="814">
        <f t="shared" si="9"/>
        <v>58</v>
      </c>
      <c r="D84" s="815">
        <f t="shared" si="12"/>
        <v>50709</v>
      </c>
      <c r="E84" s="800">
        <f t="shared" si="5"/>
        <v>5</v>
      </c>
      <c r="F84" s="800">
        <f t="shared" si="10"/>
        <v>4</v>
      </c>
      <c r="G84" s="816">
        <f>IF($E$12="NO",G83+1,
IF(OR(D84&lt;$F$8,D84&gt;$F$9),MAX($G$26:G83)+1,""))</f>
        <v>46</v>
      </c>
      <c r="H84" s="809">
        <f t="shared" si="13"/>
        <v>93597777.468002617</v>
      </c>
      <c r="I84" s="809">
        <f t="shared" si="14"/>
        <v>-448489.35036751255</v>
      </c>
      <c r="J84" s="817">
        <f t="shared" si="15"/>
        <v>-127861.27721327511</v>
      </c>
      <c r="K84" s="809">
        <f t="shared" si="2"/>
        <v>-576350.62758078764</v>
      </c>
      <c r="L84" s="791">
        <f t="shared" si="11"/>
        <v>93469916.190789342</v>
      </c>
    </row>
    <row r="85" spans="3:12">
      <c r="C85" s="814">
        <f t="shared" si="9"/>
        <v>59</v>
      </c>
      <c r="D85" s="815">
        <f t="shared" si="12"/>
        <v>50739</v>
      </c>
      <c r="E85" s="800">
        <f t="shared" si="5"/>
        <v>5</v>
      </c>
      <c r="F85" s="800">
        <f t="shared" si="10"/>
        <v>4</v>
      </c>
      <c r="G85" s="816">
        <f>IF($E$12="NO",G84+1,
IF(OR(D85&lt;$F$8,D85&gt;$F$9),MAX($G$26:G84)+1,""))</f>
        <v>47</v>
      </c>
      <c r="H85" s="809">
        <f t="shared" si="13"/>
        <v>93469916.190789342</v>
      </c>
      <c r="I85" s="809">
        <f t="shared" si="14"/>
        <v>-447876.68174753228</v>
      </c>
      <c r="J85" s="817">
        <f t="shared" si="15"/>
        <v>-128473.94583325541</v>
      </c>
      <c r="K85" s="809">
        <f t="shared" si="2"/>
        <v>-576350.62758078764</v>
      </c>
      <c r="L85" s="791">
        <f t="shared" si="11"/>
        <v>93341442.244956091</v>
      </c>
    </row>
    <row r="86" spans="3:12">
      <c r="C86" s="818">
        <f t="shared" si="9"/>
        <v>60</v>
      </c>
      <c r="D86" s="819">
        <f t="shared" si="12"/>
        <v>50770</v>
      </c>
      <c r="E86" s="820">
        <f t="shared" si="5"/>
        <v>5</v>
      </c>
      <c r="F86" s="821">
        <f t="shared" si="10"/>
        <v>4</v>
      </c>
      <c r="G86" s="821">
        <f>IF($E$12="NO",G85+1,
IF(OR(D86&lt;$F$8,D86&gt;$F$9),MAX($G$26:G85)+1,""))</f>
        <v>48</v>
      </c>
      <c r="H86" s="810">
        <f t="shared" si="13"/>
        <v>93341442.244956091</v>
      </c>
      <c r="I86" s="810">
        <f t="shared" si="14"/>
        <v>-447261.07742374792</v>
      </c>
      <c r="J86" s="822">
        <f t="shared" si="15"/>
        <v>-129089.55015703973</v>
      </c>
      <c r="K86" s="810">
        <f t="shared" si="2"/>
        <v>-576350.62758078764</v>
      </c>
      <c r="L86" s="808">
        <f t="shared" si="11"/>
        <v>93212352.694799051</v>
      </c>
    </row>
  </sheetData>
  <conditionalFormatting sqref="F10">
    <cfRule type="expression" dxfId="43" priority="2">
      <formula>#REF!=#REF!</formula>
    </cfRule>
  </conditionalFormatting>
  <conditionalFormatting sqref="E10:E11">
    <cfRule type="expression" dxfId="42" priority="1">
      <formula>#REF!=#REF!</formula>
    </cfRule>
  </conditionalFormatting>
  <dataValidations disablePrompts="1" count="1">
    <dataValidation type="list" allowBlank="1" showInputMessage="1" showErrorMessage="1" sqref="E12:F12" xr:uid="{F08716A4-CAB1-4AF7-96E4-C0613DE624C4}">
      <formula1>"YES, NO"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A10F5-CD83-4DE3-A786-443B51C8B806}">
  <sheetPr>
    <tabColor rgb="FF92D050"/>
    <pageSetUpPr fitToPage="1"/>
  </sheetPr>
  <dimension ref="A1:AC185"/>
  <sheetViews>
    <sheetView showGridLines="0" zoomScaleNormal="100" zoomScaleSheetLayoutView="90" workbookViewId="0">
      <selection activeCell="D8" sqref="D8"/>
    </sheetView>
  </sheetViews>
  <sheetFormatPr defaultColWidth="8.85546875" defaultRowHeight="23.25" customHeight="1"/>
  <cols>
    <col min="1" max="1" width="46.140625" style="5" bestFit="1" customWidth="1"/>
    <col min="2" max="2" width="28.85546875" style="5" bestFit="1" customWidth="1"/>
    <col min="3" max="3" width="35.5703125" style="5" customWidth="1"/>
    <col min="4" max="4" width="19.42578125" style="5" bestFit="1" customWidth="1"/>
    <col min="5" max="5" width="19.85546875" style="5" bestFit="1" customWidth="1"/>
    <col min="6" max="6" width="12.42578125" style="5" bestFit="1" customWidth="1"/>
    <col min="7" max="7" width="32.85546875" style="5" bestFit="1" customWidth="1"/>
    <col min="8" max="8" width="28.85546875" style="5" bestFit="1" customWidth="1"/>
    <col min="9" max="9" width="35.5703125" style="5" customWidth="1"/>
    <col min="10" max="11" width="26.85546875" style="5" customWidth="1"/>
    <col min="12" max="12" width="1.5703125" style="5" customWidth="1"/>
    <col min="13" max="13" width="32.85546875" style="5" bestFit="1" customWidth="1"/>
    <col min="14" max="14" width="28.85546875" style="5" bestFit="1" customWidth="1"/>
    <col min="15" max="15" width="35.5703125" style="5" customWidth="1"/>
    <col min="16" max="17" width="26.85546875" style="5" customWidth="1"/>
    <col min="18" max="18" width="1.5703125" style="5" customWidth="1"/>
    <col min="19" max="19" width="32.85546875" style="5" bestFit="1" customWidth="1"/>
    <col min="20" max="20" width="28.85546875" style="5" bestFit="1" customWidth="1"/>
    <col min="21" max="21" width="35.5703125" style="5" customWidth="1"/>
    <col min="22" max="23" width="26.85546875" style="5" customWidth="1"/>
    <col min="24" max="24" width="21.42578125" style="5" bestFit="1" customWidth="1"/>
    <col min="25" max="26" width="24.42578125" style="5" customWidth="1"/>
    <col min="27" max="27" width="32.42578125" style="5" customWidth="1"/>
    <col min="28" max="28" width="20.140625" style="5" customWidth="1"/>
    <col min="29" max="29" width="13.42578125" style="5" bestFit="1" customWidth="1"/>
    <col min="30" max="16384" width="8.85546875" style="5"/>
  </cols>
  <sheetData>
    <row r="1" spans="1:29" ht="23.25" customHeight="1" thickBot="1">
      <c r="A1" s="2"/>
      <c r="B1" s="75"/>
      <c r="C1" s="3"/>
      <c r="D1" s="4"/>
      <c r="Y1" s="124"/>
    </row>
    <row r="2" spans="1:29" ht="30" customHeight="1" thickBot="1">
      <c r="A2" s="1000" t="s">
        <v>381</v>
      </c>
      <c r="B2" s="142"/>
      <c r="C2" s="142" t="s">
        <v>89</v>
      </c>
      <c r="D2" s="1075" t="s">
        <v>115</v>
      </c>
      <c r="E2" s="1076"/>
      <c r="Y2" s="99"/>
    </row>
    <row r="3" spans="1:29" ht="20.25" customHeight="1">
      <c r="B3" s="55"/>
      <c r="C3" s="55"/>
      <c r="D3" s="55"/>
      <c r="E3" s="55"/>
      <c r="Y3" s="137"/>
    </row>
    <row r="4" spans="1:29" ht="24.95" customHeight="1" thickBot="1">
      <c r="A4" s="181" t="s">
        <v>382</v>
      </c>
      <c r="B4" s="117"/>
      <c r="Y4" s="123"/>
      <c r="Z4" s="135"/>
      <c r="AA4" s="55"/>
      <c r="AB4" s="55"/>
      <c r="AC4" s="55"/>
    </row>
    <row r="5" spans="1:29" ht="15" customHeight="1" thickBot="1">
      <c r="A5" s="750" t="s">
        <v>383</v>
      </c>
      <c r="B5" s="751"/>
      <c r="C5" s="180" t="s">
        <v>384</v>
      </c>
      <c r="D5" s="170">
        <f>SUM(E129,K129,Q129)</f>
        <v>4029090.9567999993</v>
      </c>
      <c r="E5" s="568">
        <f>B28-B10-B11+B25</f>
        <v>97556203.013728663</v>
      </c>
      <c r="J5" s="168"/>
      <c r="Y5" s="123"/>
      <c r="Z5" s="135"/>
      <c r="AA5" s="55"/>
      <c r="AB5" s="135"/>
      <c r="AC5" s="55"/>
    </row>
    <row r="6" spans="1:29" ht="15" customHeight="1" thickBot="1">
      <c r="A6" s="752" t="s">
        <v>33</v>
      </c>
      <c r="B6" s="753" t="s">
        <v>385</v>
      </c>
      <c r="C6" s="180" t="s">
        <v>386</v>
      </c>
      <c r="D6" s="170">
        <f>SUM(B171,H171,N171)</f>
        <v>5238047.7880573524</v>
      </c>
      <c r="E6" s="274"/>
      <c r="J6" s="168"/>
      <c r="Y6" s="123"/>
      <c r="Z6" s="135"/>
      <c r="AA6" s="55"/>
      <c r="AB6" s="135"/>
      <c r="AC6" s="55"/>
    </row>
    <row r="7" spans="1:29" ht="15" customHeight="1">
      <c r="A7" s="754" t="s">
        <v>387</v>
      </c>
      <c r="B7" s="755">
        <f>SUM(C133,I133,O133)</f>
        <v>79977070</v>
      </c>
      <c r="C7" s="180" t="s">
        <v>388</v>
      </c>
      <c r="D7" s="364">
        <f>IFERROR((D6/D5)^(1/(D8+1))-1,0)</f>
        <v>4.4705138323376303E-2</v>
      </c>
      <c r="G7" s="278"/>
      <c r="J7" s="168"/>
      <c r="Y7" s="123"/>
      <c r="Z7" s="135"/>
      <c r="AA7" s="55"/>
      <c r="AB7" s="135"/>
      <c r="AC7" s="55"/>
    </row>
    <row r="8" spans="1:29" ht="15" customHeight="1">
      <c r="A8" s="17" t="s">
        <v>77</v>
      </c>
      <c r="B8" s="143">
        <f>SUM(C134,I134,O134)</f>
        <v>3998853.5</v>
      </c>
      <c r="C8" s="180" t="s">
        <v>125</v>
      </c>
      <c r="D8" s="362">
        <f>Assumptions!$L$41</f>
        <v>5</v>
      </c>
      <c r="E8" s="274"/>
      <c r="F8" s="361"/>
      <c r="J8" s="168"/>
      <c r="Y8" s="123"/>
      <c r="Z8" s="135"/>
      <c r="AA8" s="55"/>
      <c r="AB8" s="135"/>
      <c r="AC8" s="55"/>
    </row>
    <row r="9" spans="1:29" ht="15" customHeight="1">
      <c r="A9" s="17" t="s">
        <v>389</v>
      </c>
      <c r="B9" s="143">
        <f>SUM(C135,I135,O135)</f>
        <v>0</v>
      </c>
      <c r="C9" s="272" t="s">
        <v>390</v>
      </c>
      <c r="D9" s="170">
        <f>SUM(B$164,H$164,N$164)</f>
        <v>37272444</v>
      </c>
      <c r="J9" s="168"/>
      <c r="Y9" s="123"/>
      <c r="Z9" s="135"/>
      <c r="AA9" s="55"/>
      <c r="AB9" s="135"/>
      <c r="AC9" s="55"/>
    </row>
    <row r="10" spans="1:29" ht="15" customHeight="1">
      <c r="A10" s="17" t="s">
        <v>391</v>
      </c>
      <c r="B10" s="143">
        <f t="shared" ref="B10:B23" si="0">SUM(C136,I136,O136)</f>
        <v>808909.2</v>
      </c>
      <c r="C10" s="180" t="s">
        <v>392</v>
      </c>
      <c r="D10" s="170">
        <f>SUM(B$175,H$175,N$175)</f>
        <v>114203375.98039369</v>
      </c>
      <c r="J10" s="168"/>
      <c r="Y10" s="123"/>
      <c r="Z10" s="135"/>
      <c r="AA10" s="55"/>
      <c r="AB10" s="135"/>
      <c r="AC10" s="55"/>
    </row>
    <row r="11" spans="1:29" ht="15" customHeight="1" thickBot="1">
      <c r="A11" s="17" t="s">
        <v>393</v>
      </c>
      <c r="B11" s="143">
        <f t="shared" si="0"/>
        <v>4146666.666666667</v>
      </c>
      <c r="C11" s="180" t="s">
        <v>394</v>
      </c>
      <c r="D11" s="543" t="str">
        <f>IF(OR(B35="YES",H35="YES",N35="YES"),"YES","NO")</f>
        <v>YES</v>
      </c>
      <c r="J11" s="168"/>
      <c r="Y11" s="123"/>
      <c r="Z11" s="135"/>
      <c r="AA11" s="55"/>
      <c r="AB11" s="135"/>
      <c r="AC11" s="55"/>
    </row>
    <row r="12" spans="1:29" ht="15" customHeight="1">
      <c r="A12" s="17" t="s">
        <v>79</v>
      </c>
      <c r="B12" s="143">
        <f t="shared" si="0"/>
        <v>1599541.4</v>
      </c>
      <c r="C12" s="749" t="s">
        <v>395</v>
      </c>
      <c r="D12" s="757"/>
      <c r="E12" s="758"/>
      <c r="G12" s="124"/>
      <c r="H12" s="124"/>
      <c r="J12" s="117"/>
      <c r="Y12" s="123"/>
      <c r="Z12" s="135"/>
      <c r="AA12" s="55"/>
      <c r="AB12" s="135"/>
      <c r="AC12" s="55"/>
    </row>
    <row r="13" spans="1:29" ht="15" customHeight="1">
      <c r="A13" s="377" t="s">
        <v>83</v>
      </c>
      <c r="B13" s="143">
        <f t="shared" si="0"/>
        <v>1199656.0499999998</v>
      </c>
      <c r="C13" s="844"/>
      <c r="D13" s="541" t="s">
        <v>12</v>
      </c>
      <c r="E13" s="542" t="s">
        <v>396</v>
      </c>
      <c r="G13" s="289"/>
      <c r="H13" s="554"/>
      <c r="Y13" s="123"/>
      <c r="Z13" s="135"/>
      <c r="AA13" s="55"/>
      <c r="AB13" s="135"/>
      <c r="AC13" s="55"/>
    </row>
    <row r="14" spans="1:29" ht="15" customHeight="1">
      <c r="A14" s="377" t="s">
        <v>84</v>
      </c>
      <c r="B14" s="143">
        <f t="shared" si="0"/>
        <v>40445.46</v>
      </c>
      <c r="C14" s="845" t="s">
        <v>9</v>
      </c>
      <c r="D14" s="546">
        <f>SUM(B157,H157,N157)</f>
        <v>79253693.981307492</v>
      </c>
      <c r="E14" s="759">
        <f>D14/$D$17</f>
        <v>0.66686540577940845</v>
      </c>
      <c r="G14" s="283"/>
      <c r="H14" s="130"/>
      <c r="Y14" s="123"/>
      <c r="Z14" s="135"/>
      <c r="AA14" s="55"/>
      <c r="AB14" s="135"/>
      <c r="AC14" s="55"/>
    </row>
    <row r="15" spans="1:29" ht="15" customHeight="1">
      <c r="A15" s="377" t="s">
        <v>85</v>
      </c>
      <c r="B15" s="143">
        <f t="shared" si="0"/>
        <v>1599541.4</v>
      </c>
      <c r="C15" s="846" t="s">
        <v>11</v>
      </c>
      <c r="D15" s="546">
        <f>SUM(B158,H158,N158)</f>
        <v>31424751.565754503</v>
      </c>
      <c r="E15" s="759">
        <f>D15/$D$17</f>
        <v>0.26441770284368837</v>
      </c>
      <c r="G15" s="283"/>
      <c r="H15" s="130"/>
      <c r="Y15" s="123"/>
      <c r="Z15" s="135"/>
      <c r="AA15" s="55"/>
      <c r="AB15" s="135"/>
      <c r="AC15" s="55"/>
    </row>
    <row r="16" spans="1:29" ht="15" customHeight="1">
      <c r="A16" s="377" t="s">
        <v>86</v>
      </c>
      <c r="B16" s="143">
        <f t="shared" si="0"/>
        <v>2799197.45</v>
      </c>
      <c r="C16" s="847" t="s">
        <v>10</v>
      </c>
      <c r="D16" s="547">
        <f>-B25</f>
        <v>8166666.666666667</v>
      </c>
      <c r="E16" s="759">
        <f>D16/$D$17</f>
        <v>6.8716891376903219E-2</v>
      </c>
      <c r="Y16" s="123"/>
      <c r="Z16" s="135"/>
      <c r="AA16" s="55"/>
      <c r="AB16" s="135"/>
      <c r="AC16" s="55"/>
    </row>
    <row r="17" spans="1:29" ht="15" customHeight="1" thickBot="1">
      <c r="A17" s="377" t="s">
        <v>88</v>
      </c>
      <c r="B17" s="143">
        <f t="shared" si="0"/>
        <v>1599541.4</v>
      </c>
      <c r="C17" s="848" t="s">
        <v>397</v>
      </c>
      <c r="D17" s="552">
        <f>SUM(D14:D16)</f>
        <v>118845112.21372867</v>
      </c>
      <c r="E17" s="561">
        <f>SUM(E14:E16)</f>
        <v>1</v>
      </c>
      <c r="Y17" s="123"/>
      <c r="Z17" s="135"/>
      <c r="AA17" s="55"/>
      <c r="AB17" s="135"/>
      <c r="AC17" s="55"/>
    </row>
    <row r="18" spans="1:29" ht="15" customHeight="1" thickTop="1" thickBot="1">
      <c r="A18" s="377" t="s">
        <v>93</v>
      </c>
      <c r="B18" s="143">
        <f t="shared" si="0"/>
        <v>3998853.5</v>
      </c>
      <c r="C18" s="849" t="s">
        <v>398</v>
      </c>
      <c r="D18" s="550" t="str">
        <f>IF(B29=D17,"YES","NO")</f>
        <v>YES</v>
      </c>
      <c r="E18" s="551"/>
      <c r="G18" s="356"/>
      <c r="H18" s="555"/>
      <c r="Y18" s="123"/>
      <c r="Z18" s="135"/>
      <c r="AA18" s="55"/>
      <c r="AB18" s="135"/>
      <c r="AC18" s="55"/>
    </row>
    <row r="19" spans="1:29" ht="15" customHeight="1">
      <c r="A19" s="377" t="s">
        <v>97</v>
      </c>
      <c r="B19" s="143">
        <f t="shared" si="0"/>
        <v>1199656.0499999998</v>
      </c>
      <c r="C19" s="854" t="s">
        <v>399</v>
      </c>
      <c r="D19" s="853"/>
      <c r="G19" s="124"/>
      <c r="H19" s="124"/>
      <c r="Y19" s="123"/>
      <c r="Z19" s="135"/>
      <c r="AA19" s="55"/>
      <c r="AB19" s="135"/>
      <c r="AC19" s="55"/>
    </row>
    <row r="20" spans="1:29" ht="15" customHeight="1">
      <c r="A20" s="377" t="s">
        <v>100</v>
      </c>
      <c r="B20" s="143">
        <f t="shared" si="0"/>
        <v>1200000</v>
      </c>
      <c r="C20" s="377" t="s">
        <v>400</v>
      </c>
      <c r="D20" s="413">
        <f ca="1">'4-H DRAW'!B50</f>
        <v>80512928.399163797</v>
      </c>
      <c r="F20" s="363"/>
      <c r="G20" s="12"/>
      <c r="H20" s="556"/>
      <c r="Y20" s="123"/>
      <c r="Z20" s="135"/>
      <c r="AA20" s="55"/>
      <c r="AB20" s="135"/>
      <c r="AC20" s="55"/>
    </row>
    <row r="21" spans="1:29" ht="15" customHeight="1">
      <c r="A21" s="377" t="s">
        <v>103</v>
      </c>
      <c r="B21" s="143">
        <f t="shared" si="0"/>
        <v>1777540.1279999998</v>
      </c>
      <c r="C21" s="377" t="s">
        <v>401</v>
      </c>
      <c r="D21" s="549">
        <f ca="1">(D20+D15)/D15</f>
        <v>3.5620863932908136</v>
      </c>
      <c r="G21" s="12"/>
      <c r="H21" s="556"/>
      <c r="Y21" s="123"/>
      <c r="Z21" s="135"/>
      <c r="AA21" s="55"/>
      <c r="AB21" s="135"/>
      <c r="AC21" s="55"/>
    </row>
    <row r="22" spans="1:29" ht="15" customHeight="1">
      <c r="A22" s="377" t="s">
        <v>106</v>
      </c>
      <c r="B22" s="143">
        <f t="shared" si="0"/>
        <v>5554812.9000000004</v>
      </c>
      <c r="C22" s="860" t="s">
        <v>402</v>
      </c>
      <c r="D22" s="861">
        <f ca="1">'4-H DRAW'!B59</f>
        <v>0.14426582689502454</v>
      </c>
      <c r="G22" s="12"/>
      <c r="H22" s="556"/>
      <c r="Y22" s="123"/>
      <c r="Z22" s="135"/>
      <c r="AA22" s="55"/>
      <c r="AB22" s="135"/>
      <c r="AC22" s="55"/>
    </row>
    <row r="23" spans="1:29" ht="15" customHeight="1">
      <c r="A23" s="377" t="s">
        <v>403</v>
      </c>
      <c r="B23" s="143">
        <f t="shared" si="0"/>
        <v>177754.01279999997</v>
      </c>
      <c r="C23" s="860" t="s">
        <v>404</v>
      </c>
      <c r="D23" s="861">
        <f ca="1">'4-H DRAW'!B55</f>
        <v>3.2717024739068457E-2</v>
      </c>
      <c r="G23" s="12"/>
      <c r="H23" s="556"/>
      <c r="Y23" s="123"/>
      <c r="Z23" s="135"/>
      <c r="AA23" s="55"/>
      <c r="AB23" s="135"/>
      <c r="AC23" s="55"/>
    </row>
    <row r="24" spans="1:29" ht="15" customHeight="1">
      <c r="A24" s="377" t="s">
        <v>112</v>
      </c>
      <c r="B24" s="143">
        <f>SUM(C150,I150,O150)</f>
        <v>442073.09626199992</v>
      </c>
      <c r="C24" s="860" t="s">
        <v>405</v>
      </c>
      <c r="D24" s="865" t="str">
        <f>IF(OR(B$35="YES",H35="YES",N35="YES"),"-",D5/B28)</f>
        <v>-</v>
      </c>
      <c r="E24" s="18"/>
      <c r="G24" s="328"/>
      <c r="H24" s="560"/>
      <c r="Y24" s="123"/>
      <c r="Z24" s="135"/>
      <c r="AA24" s="55"/>
      <c r="AB24" s="135"/>
      <c r="AC24" s="55"/>
    </row>
    <row r="25" spans="1:29" ht="15" customHeight="1">
      <c r="A25" s="17" t="s">
        <v>165</v>
      </c>
      <c r="B25" s="143">
        <f>SUM(C151,I151,O151)</f>
        <v>-8166666.666666667</v>
      </c>
      <c r="C25" s="860" t="s">
        <v>158</v>
      </c>
      <c r="D25" s="865">
        <f>SUM(D9,D10)/B28</f>
        <v>1.3686117403590032</v>
      </c>
      <c r="F25" s="348"/>
      <c r="G25" s="124"/>
      <c r="H25" s="124"/>
      <c r="Y25" s="123"/>
      <c r="Z25" s="135"/>
      <c r="AA25" s="55"/>
      <c r="AB25" s="135"/>
      <c r="AC25" s="55"/>
    </row>
    <row r="26" spans="1:29" ht="15" customHeight="1" thickBot="1">
      <c r="A26" s="408" t="s">
        <v>38</v>
      </c>
      <c r="B26" s="756">
        <f>SUM(C152,I152,O152)</f>
        <v>390000</v>
      </c>
      <c r="C26" s="863" t="s">
        <v>406</v>
      </c>
      <c r="D26" s="864">
        <f>IF((D5/D14)=0,"-",D5/D14)</f>
        <v>5.0837894795796992E-2</v>
      </c>
      <c r="G26" s="12"/>
      <c r="H26" s="557"/>
      <c r="Y26" s="123"/>
      <c r="Z26" s="135"/>
      <c r="AA26" s="55"/>
      <c r="AB26" s="135"/>
      <c r="AC26" s="55"/>
    </row>
    <row r="27" spans="1:29" ht="15" customHeight="1" thickBot="1">
      <c r="A27" s="762" t="s">
        <v>407</v>
      </c>
      <c r="B27" s="763">
        <f>SUM(C153,I153,O153)</f>
        <v>6335000</v>
      </c>
      <c r="G27" s="328"/>
      <c r="H27" s="558"/>
      <c r="Y27" s="123"/>
      <c r="Z27" s="135"/>
      <c r="AA27" s="55"/>
      <c r="AB27" s="135"/>
      <c r="AC27" s="55"/>
    </row>
    <row r="28" spans="1:29" ht="15" customHeight="1" thickTop="1">
      <c r="A28" s="760" t="s">
        <v>408</v>
      </c>
      <c r="B28" s="761">
        <f>SUM(B7:B27)</f>
        <v>110678445.54706201</v>
      </c>
      <c r="C28" s="328"/>
      <c r="D28" s="851"/>
      <c r="G28" s="328"/>
      <c r="H28" s="558"/>
      <c r="Y28" s="123"/>
      <c r="Z28" s="135"/>
      <c r="AA28" s="55"/>
      <c r="AB28" s="135"/>
      <c r="AC28" s="55"/>
    </row>
    <row r="29" spans="1:29" ht="15" customHeight="1" thickBot="1">
      <c r="A29" s="850" t="s">
        <v>409</v>
      </c>
      <c r="B29" s="862">
        <f>B28-B25</f>
        <v>118845112.21372868</v>
      </c>
      <c r="C29" s="12"/>
      <c r="D29" s="852"/>
      <c r="E29" s="12"/>
      <c r="G29" s="12"/>
      <c r="H29" s="132"/>
      <c r="Y29" s="123"/>
      <c r="Z29" s="135"/>
      <c r="AA29" s="55"/>
      <c r="AB29" s="135"/>
      <c r="AC29" s="55"/>
    </row>
    <row r="30" spans="1:29" ht="15" customHeight="1">
      <c r="A30" s="328"/>
      <c r="B30" s="843"/>
      <c r="G30" s="12"/>
      <c r="H30" s="548"/>
      <c r="Y30" s="123"/>
      <c r="Z30" s="135"/>
      <c r="AA30" s="55"/>
      <c r="AB30" s="135"/>
      <c r="AC30" s="55"/>
    </row>
    <row r="31" spans="1:29" ht="15" customHeight="1">
      <c r="A31" s="328"/>
      <c r="B31" s="843"/>
      <c r="E31" s="131"/>
      <c r="Y31" s="123"/>
      <c r="Z31" s="135"/>
      <c r="AA31" s="55"/>
      <c r="AB31" s="135"/>
      <c r="AC31" s="55"/>
    </row>
    <row r="32" spans="1:29" ht="15" customHeight="1">
      <c r="E32" s="132"/>
      <c r="Y32" s="123"/>
      <c r="Z32" s="135"/>
      <c r="AA32" s="55"/>
      <c r="AB32" s="135"/>
      <c r="AC32" s="55"/>
    </row>
    <row r="33" spans="1:29" ht="24.95" customHeight="1" thickBot="1">
      <c r="A33" s="169" t="s">
        <v>410</v>
      </c>
      <c r="M33" s="293"/>
      <c r="AB33" s="55"/>
      <c r="AC33" s="136"/>
    </row>
    <row r="34" spans="1:29" ht="20.25" customHeight="1">
      <c r="A34" s="1001" t="s">
        <v>219</v>
      </c>
      <c r="B34" s="1002" t="s">
        <v>50</v>
      </c>
      <c r="C34" s="1003" t="s">
        <v>411</v>
      </c>
      <c r="D34" s="1004">
        <f>IFERROR(INDEX('Building Configuration'!$B$2:$AA$34,MATCH(B$34,'Building Configuration'!$D$2:$D$34,0),MATCH("Total",'Building Configuration'!$B$2:$AA$2,0)),0)</f>
        <v>116638.8</v>
      </c>
      <c r="E34" s="1005"/>
      <c r="G34" s="1001" t="s">
        <v>219</v>
      </c>
      <c r="H34" s="1002" t="s">
        <v>56</v>
      </c>
      <c r="I34" s="1003" t="s">
        <v>411</v>
      </c>
      <c r="J34" s="1004">
        <f>IFERROR(INDEX('Building Configuration'!$B$2:$AA$34,MATCH(H$34,'Building Configuration'!$D$2:$D$34,0),MATCH("Total",'Building Configuration'!$B$2:$AA$2,0)),0)</f>
        <v>252195.1</v>
      </c>
      <c r="K34" s="1005"/>
      <c r="L34" s="123"/>
      <c r="M34" s="1001" t="s">
        <v>219</v>
      </c>
      <c r="N34" s="1002"/>
      <c r="O34" s="1003" t="s">
        <v>411</v>
      </c>
      <c r="P34" s="1004">
        <f>IFERROR(INDEX('Building Configuration'!$B$2:$AA$34,MATCH(N$34,'Building Configuration'!$D$2:$D$34,0),MATCH("Total",'Building Configuration'!$B$2:$AA$2,0)),0)</f>
        <v>0</v>
      </c>
      <c r="Q34" s="1005"/>
      <c r="R34" s="123"/>
      <c r="S34" s="304"/>
      <c r="T34" s="285"/>
      <c r="V34" s="168"/>
      <c r="W34" s="123"/>
      <c r="X34" s="124"/>
    </row>
    <row r="35" spans="1:29" ht="15" customHeight="1">
      <c r="A35" s="6" t="s">
        <v>412</v>
      </c>
      <c r="B35" s="137" t="str">
        <f>IF(OR(D$37&gt;0,D$39&gt;0,D$43&gt;0),"YES","NO")</f>
        <v>NO</v>
      </c>
      <c r="D35" s="119"/>
      <c r="E35" s="103"/>
      <c r="G35" s="6" t="s">
        <v>412</v>
      </c>
      <c r="H35" s="137" t="str">
        <f>IF(OR(J$37&gt;0,J$39&gt;0,J$43&gt;0),"YES","NO")</f>
        <v>YES</v>
      </c>
      <c r="J35" s="119"/>
      <c r="K35" s="103"/>
      <c r="L35" s="123"/>
      <c r="M35" s="6" t="s">
        <v>412</v>
      </c>
      <c r="N35" s="137" t="str">
        <f>IF(OR(P$37&gt;0,P$39&gt;0,P$43&gt;0),"YES","NO")</f>
        <v>NO</v>
      </c>
      <c r="P35" s="119"/>
      <c r="Q35" s="103"/>
      <c r="R35" s="123"/>
      <c r="S35" s="123"/>
      <c r="T35" s="137"/>
      <c r="V35" s="168"/>
      <c r="W35" s="123"/>
      <c r="X35" s="124"/>
    </row>
    <row r="36" spans="1:29" ht="15" customHeight="1">
      <c r="A36" s="6" t="s">
        <v>222</v>
      </c>
      <c r="B36" s="118" t="str">
        <f>IFERROR(INDEX('Building Configuration'!$B$2:$AA$34,MATCH(B$34,'Building Configuration'!$D$2:$D$34,0),MATCH(A36,'Building Configuration'!$B$2:$AA$2,0)),"-")</f>
        <v>-</v>
      </c>
      <c r="C36" s="5" t="s">
        <v>231</v>
      </c>
      <c r="D36" s="119">
        <f>IFERROR(INDEX('Building Configuration'!$B$2:$AA$34,MATCH(B$34,'Building Configuration'!$D$2:$D$34,0),MATCH(B36,'Building Configuration'!$B$2:$AA$2,0)),0)</f>
        <v>0</v>
      </c>
      <c r="E36" s="103"/>
      <c r="G36" s="6" t="s">
        <v>222</v>
      </c>
      <c r="H36" s="118" t="str">
        <f>IFERROR(INDEX('Building Configuration'!$B$2:$AA$34,MATCH(H$34,'Building Configuration'!$D$2:$D$34,0),MATCH(G36,'Building Configuration'!$B$2:$AA$2,0)),"-")</f>
        <v>-</v>
      </c>
      <c r="I36" s="5" t="s">
        <v>231</v>
      </c>
      <c r="J36" s="119">
        <f>IFERROR(INDEX('Building Configuration'!$B$2:$AA$34,MATCH(H$34,'Building Configuration'!$D$2:$D$34,0),MATCH(H36,'Building Configuration'!$B$2:$AA$2,0)),0)</f>
        <v>0</v>
      </c>
      <c r="K36" s="103"/>
      <c r="L36" s="123"/>
      <c r="M36" s="6" t="s">
        <v>222</v>
      </c>
      <c r="N36" s="118" t="str">
        <f>IFERROR(INDEX('Building Configuration'!$B$2:$AA$34,MATCH(N$34,'Building Configuration'!$D$2:$D$34,0),MATCH(M36,'Building Configuration'!$B$2:$AA$2,0)),"-")</f>
        <v>-</v>
      </c>
      <c r="O36" s="5" t="s">
        <v>231</v>
      </c>
      <c r="P36" s="119">
        <f>IFERROR(INDEX('Building Configuration'!$B$2:$AA$34,MATCH(N$34,'Building Configuration'!$D$2:$D$34,0),MATCH(N36,'Building Configuration'!$B$2:$AA$2,0)),0)</f>
        <v>0</v>
      </c>
      <c r="Q36" s="103"/>
      <c r="R36" s="123"/>
      <c r="S36" s="123"/>
      <c r="T36" s="118"/>
      <c r="V36" s="168"/>
      <c r="W36" s="123"/>
      <c r="X36" s="124"/>
    </row>
    <row r="37" spans="1:29" ht="15" customHeight="1">
      <c r="A37" s="6" t="s">
        <v>223</v>
      </c>
      <c r="B37" s="118" t="str">
        <f>IFERROR(INDEX('Building Configuration'!$B$2:$AA$34,MATCH(B$34,'Building Configuration'!$D$2:$D$34,0),MATCH(A37,'Building Configuration'!$B$2:$AA$2,0)),"-")</f>
        <v>-</v>
      </c>
      <c r="C37" s="5" t="s">
        <v>413</v>
      </c>
      <c r="D37" s="119">
        <f>IFERROR(INDEX('Building Configuration'!$B$2:$AA$34,MATCH(B$34,'Building Configuration'!$D$2:$D$34,0),MATCH(B37,'Building Configuration'!$B$2:$AA$2,0)),0)</f>
        <v>0</v>
      </c>
      <c r="E37" s="103"/>
      <c r="G37" s="6" t="s">
        <v>223</v>
      </c>
      <c r="H37" s="118" t="str">
        <f>IFERROR(INDEX('Building Configuration'!$B$2:$AA$34,MATCH(H$34,'Building Configuration'!$D$2:$D$34,0),MATCH(G37,'Building Configuration'!$B$2:$AA$2,0)),"-")</f>
        <v>Multifamily-Market-Sale</v>
      </c>
      <c r="I37" s="5" t="s">
        <v>413</v>
      </c>
      <c r="J37" s="119">
        <f>IFERROR(INDEX('Building Configuration'!$B$2:$AA$34,MATCH(H$34,'Building Configuration'!$D$2:$D$34,0),MATCH(H37,'Building Configuration'!$B$2:$AA$2,0)),0)</f>
        <v>120798.48000000001</v>
      </c>
      <c r="K37" s="103"/>
      <c r="L37" s="123"/>
      <c r="M37" s="6" t="s">
        <v>223</v>
      </c>
      <c r="N37" s="118" t="str">
        <f>IFERROR(INDEX('Building Configuration'!$B$2:$AA$34,MATCH(N$34,'Building Configuration'!$D$2:$D$34,0),MATCH(M37,'Building Configuration'!$B$2:$AA$2,0)),"-")</f>
        <v>-</v>
      </c>
      <c r="O37" s="5" t="s">
        <v>413</v>
      </c>
      <c r="P37" s="119">
        <f>IFERROR(INDEX('Building Configuration'!$B$2:$AA$34,MATCH(N$34,'Building Configuration'!$D$2:$D$34,0),MATCH(N37,'Building Configuration'!$B$2:$AA$2,0)),0)</f>
        <v>0</v>
      </c>
      <c r="Q37" s="103"/>
      <c r="R37" s="123"/>
      <c r="S37" s="123"/>
      <c r="T37" s="118"/>
      <c r="V37" s="168"/>
      <c r="W37" s="123"/>
      <c r="X37" s="124"/>
    </row>
    <row r="38" spans="1:29" ht="15" customHeight="1">
      <c r="A38" s="6" t="s">
        <v>224</v>
      </c>
      <c r="B38" s="118" t="str">
        <f>IFERROR(INDEX('Building Configuration'!$B$2:$AA$34,MATCH(B$34,'Building Configuration'!$D$2:$D$34,0),MATCH(A38,'Building Configuration'!$B$2:$AA$2,0)),"-")</f>
        <v>-</v>
      </c>
      <c r="C38" s="5" t="s">
        <v>233</v>
      </c>
      <c r="D38" s="119">
        <f>IFERROR(INDEX('Building Configuration'!$B$2:$AA$34,MATCH(B$34,'Building Configuration'!$D$2:$D$34,0),MATCH(B38,'Building Configuration'!$B$2:$AA$2,0)),0)</f>
        <v>0</v>
      </c>
      <c r="E38" s="103"/>
      <c r="G38" s="6" t="s">
        <v>224</v>
      </c>
      <c r="H38" s="118" t="str">
        <f>IFERROR(INDEX('Building Configuration'!$B$2:$AA$34,MATCH(H$34,'Building Configuration'!$D$2:$D$34,0),MATCH(G38,'Building Configuration'!$B$2:$AA$2,0)),"-")</f>
        <v>-</v>
      </c>
      <c r="I38" s="5" t="s">
        <v>233</v>
      </c>
      <c r="J38" s="119">
        <f>IFERROR(INDEX('Building Configuration'!$B$2:$AA$34,MATCH(H$34,'Building Configuration'!$D$2:$D$34,0),MATCH(H38,'Building Configuration'!$B$2:$AA$2,0)),0)</f>
        <v>0</v>
      </c>
      <c r="K38" s="103"/>
      <c r="L38" s="123"/>
      <c r="M38" s="6" t="s">
        <v>224</v>
      </c>
      <c r="N38" s="118" t="str">
        <f>IFERROR(INDEX('Building Configuration'!$B$2:$AA$34,MATCH(N$34,'Building Configuration'!$D$2:$D$34,0),MATCH(M38,'Building Configuration'!$B$2:$AA$2,0)),"-")</f>
        <v>-</v>
      </c>
      <c r="O38" s="5" t="s">
        <v>233</v>
      </c>
      <c r="P38" s="119">
        <f>IFERROR(INDEX('Building Configuration'!$B$2:$AA$34,MATCH(N$34,'Building Configuration'!$D$2:$D$34,0),MATCH(N38,'Building Configuration'!$B$2:$AA$2,0)),0)</f>
        <v>0</v>
      </c>
      <c r="Q38" s="103"/>
      <c r="R38" s="123"/>
      <c r="S38" s="123"/>
      <c r="T38" s="118"/>
      <c r="V38" s="168"/>
      <c r="W38" s="123"/>
      <c r="X38" s="124"/>
      <c r="Z38" s="168"/>
    </row>
    <row r="39" spans="1:29" ht="15" customHeight="1">
      <c r="A39" s="6" t="s">
        <v>225</v>
      </c>
      <c r="B39" s="118" t="str">
        <f>IFERROR(INDEX('Building Configuration'!$B$2:$AA$34,MATCH(B$34,'Building Configuration'!$D$2:$D$34,0),MATCH(A39,'Building Configuration'!$B$2:$AA$2,0)),"-")</f>
        <v>-</v>
      </c>
      <c r="C39" s="5" t="s">
        <v>414</v>
      </c>
      <c r="D39" s="119">
        <f>IFERROR(INDEX('Building Configuration'!$B$2:$AA$34,MATCH(B$34,'Building Configuration'!$D$2:$D$34,0),MATCH(B39,'Building Configuration'!$B$2:$AA$2,0)),0)</f>
        <v>0</v>
      </c>
      <c r="E39" s="103"/>
      <c r="G39" s="6" t="s">
        <v>225</v>
      </c>
      <c r="H39" s="118" t="str">
        <f>IFERROR(INDEX('Building Configuration'!$B$2:$AA$34,MATCH(H$34,'Building Configuration'!$D$2:$D$34,0),MATCH(G39,'Building Configuration'!$B$2:$AA$2,0)),"-")</f>
        <v>Multifamily-Affordable-Sale</v>
      </c>
      <c r="I39" s="5" t="s">
        <v>414</v>
      </c>
      <c r="J39" s="119">
        <f>IFERROR(INDEX('Building Configuration'!$B$2:$AA$34,MATCH(H$34,'Building Configuration'!$D$2:$D$34,0),MATCH(H39,'Building Configuration'!$B$2:$AA$2,0)),0)</f>
        <v>30199.619999999995</v>
      </c>
      <c r="K39" s="103"/>
      <c r="L39" s="123"/>
      <c r="M39" s="6" t="s">
        <v>225</v>
      </c>
      <c r="N39" s="118" t="str">
        <f>IFERROR(INDEX('Building Configuration'!$B$2:$AA$34,MATCH(N$34,'Building Configuration'!$D$2:$D$34,0),MATCH(M39,'Building Configuration'!$B$2:$AA$2,0)),"-")</f>
        <v>-</v>
      </c>
      <c r="O39" s="5" t="s">
        <v>414</v>
      </c>
      <c r="P39" s="119">
        <f>IFERROR(INDEX('Building Configuration'!$B$2:$AA$34,MATCH(N$34,'Building Configuration'!$D$2:$D$34,0),MATCH(N39,'Building Configuration'!$B$2:$AA$2,0)),0)</f>
        <v>0</v>
      </c>
      <c r="Q39" s="103"/>
      <c r="R39" s="123"/>
      <c r="S39" s="123"/>
      <c r="T39" s="118"/>
      <c r="V39" s="168"/>
      <c r="W39" s="123"/>
      <c r="X39" s="124"/>
      <c r="Z39" s="168"/>
    </row>
    <row r="40" spans="1:29" ht="15" customHeight="1">
      <c r="A40" s="6" t="s">
        <v>226</v>
      </c>
      <c r="B40" s="118" t="str">
        <f>IFERROR(INDEX('Building Configuration'!$B$2:$AA$34,MATCH(B$34,'Building Configuration'!$D$2:$D$34,0),MATCH(A40,'Building Configuration'!$B$2:$AA$2,0)),"-")</f>
        <v>-</v>
      </c>
      <c r="C40" s="5" t="s">
        <v>59</v>
      </c>
      <c r="D40" s="119">
        <f>IFERROR(INDEX('Building Configuration'!$B$2:$AA$34,MATCH(B$34,'Building Configuration'!$D$2:$D$34,0),MATCH(B40,'Building Configuration'!$B$2:$AA$2,0)),0)</f>
        <v>0</v>
      </c>
      <c r="E40" s="103"/>
      <c r="G40" s="6" t="s">
        <v>226</v>
      </c>
      <c r="H40" s="118" t="str">
        <f>IFERROR(INDEX('Building Configuration'!$B$2:$AA$34,MATCH(H$34,'Building Configuration'!$D$2:$D$34,0),MATCH(G40,'Building Configuration'!$B$2:$AA$2,0)),"-")</f>
        <v>-</v>
      </c>
      <c r="I40" s="5" t="s">
        <v>59</v>
      </c>
      <c r="J40" s="119">
        <f>IFERROR(INDEX('Building Configuration'!$B$2:$AA$34,MATCH(H$34,'Building Configuration'!$D$2:$D$34,0),MATCH(H40,'Building Configuration'!$B$2:$AA$2,0)),0)</f>
        <v>0</v>
      </c>
      <c r="K40" s="103"/>
      <c r="L40" s="123"/>
      <c r="M40" s="6" t="s">
        <v>226</v>
      </c>
      <c r="N40" s="118" t="str">
        <f>IFERROR(INDEX('Building Configuration'!$B$2:$AA$34,MATCH(N$34,'Building Configuration'!$D$2:$D$34,0),MATCH(M40,'Building Configuration'!$B$2:$AA$2,0)),"-")</f>
        <v>-</v>
      </c>
      <c r="O40" s="5" t="s">
        <v>59</v>
      </c>
      <c r="P40" s="119">
        <f>IFERROR(INDEX('Building Configuration'!$B$2:$AA$34,MATCH(N$34,'Building Configuration'!$D$2:$D$34,0),MATCH(N40,'Building Configuration'!$B$2:$AA$2,0)),0)</f>
        <v>0</v>
      </c>
      <c r="Q40" s="103"/>
      <c r="R40" s="123"/>
      <c r="S40" s="123"/>
      <c r="T40" s="118"/>
      <c r="V40" s="168"/>
      <c r="W40" s="123"/>
      <c r="X40" s="124"/>
      <c r="Z40" s="168"/>
    </row>
    <row r="41" spans="1:29" ht="15" customHeight="1">
      <c r="A41" s="6" t="s">
        <v>227</v>
      </c>
      <c r="B41" s="118" t="str">
        <f>IFERROR(INDEX('Building Configuration'!$B$2:$AA$34,MATCH(B$34,'Building Configuration'!$D$2:$D$34,0),MATCH(A41,'Building Configuration'!$B$2:$AA$2,0)),"-")</f>
        <v>Retail</v>
      </c>
      <c r="C41" s="5" t="s">
        <v>415</v>
      </c>
      <c r="D41" s="119">
        <f>IFERROR(INDEX('Building Configuration'!$B$2:$AA$34,MATCH(B$34,'Building Configuration'!$D$2:$D$34,0),MATCH(B41,'Building Configuration'!$B$2:$AA$2,0)),0)</f>
        <v>116638.8</v>
      </c>
      <c r="E41" s="103"/>
      <c r="G41" s="6" t="s">
        <v>227</v>
      </c>
      <c r="H41" s="118" t="str">
        <f>IFERROR(INDEX('Building Configuration'!$B$2:$AA$34,MATCH(H$34,'Building Configuration'!$D$2:$D$34,0),MATCH(G41,'Building Configuration'!$B$2:$AA$2,0)),"-")</f>
        <v>Retail</v>
      </c>
      <c r="I41" s="5" t="s">
        <v>415</v>
      </c>
      <c r="J41" s="119">
        <f>IFERROR(INDEX('Building Configuration'!$B$2:$AA$34,MATCH(H$34,'Building Configuration'!$D$2:$D$34,0),MATCH(H41,'Building Configuration'!$B$2:$AA$2,0)),0)</f>
        <v>101197</v>
      </c>
      <c r="K41" s="103"/>
      <c r="L41" s="123"/>
      <c r="M41" s="6" t="s">
        <v>227</v>
      </c>
      <c r="N41" s="118" t="str">
        <f>IFERROR(INDEX('Building Configuration'!$B$2:$AA$34,MATCH(N$34,'Building Configuration'!$D$2:$D$34,0),MATCH(M41,'Building Configuration'!$B$2:$AA$2,0)),"-")</f>
        <v>-</v>
      </c>
      <c r="O41" s="5" t="s">
        <v>415</v>
      </c>
      <c r="P41" s="119">
        <f>IFERROR(INDEX('Building Configuration'!$B$2:$AA$34,MATCH(N$34,'Building Configuration'!$D$2:$D$34,0),MATCH(N41,'Building Configuration'!$B$2:$AA$2,0)),0)</f>
        <v>0</v>
      </c>
      <c r="Q41" s="103"/>
      <c r="R41" s="123"/>
      <c r="S41" s="123"/>
      <c r="T41" s="118"/>
      <c r="V41" s="168"/>
      <c r="W41" s="123"/>
      <c r="X41" s="124"/>
      <c r="Z41" s="168"/>
    </row>
    <row r="42" spans="1:29" ht="15" customHeight="1">
      <c r="A42" s="6" t="s">
        <v>228</v>
      </c>
      <c r="B42" s="118" t="str">
        <f>IFERROR(INDEX('Building Configuration'!$B$2:$AA$34,MATCH(B$34,'Building Configuration'!$D$2:$D$34,0),MATCH(A42,'Building Configuration'!$B$2:$AA$2,0)),"-")</f>
        <v>-</v>
      </c>
      <c r="C42" s="5" t="s">
        <v>416</v>
      </c>
      <c r="D42" s="119">
        <f>IFERROR(INDEX('Building Configuration'!$B$2:$AA$34,MATCH(B$34,'Building Configuration'!$D$2:$D$34,0),MATCH(B42,'Building Configuration'!$B$2:$AA$2,0)),0)</f>
        <v>0</v>
      </c>
      <c r="E42" s="103"/>
      <c r="G42" s="6" t="s">
        <v>228</v>
      </c>
      <c r="H42" s="118" t="str">
        <f>IFERROR(INDEX('Building Configuration'!$B$2:$AA$34,MATCH(H$34,'Building Configuration'!$D$2:$D$34,0),MATCH(G42,'Building Configuration'!$B$2:$AA$2,0)),"-")</f>
        <v>-</v>
      </c>
      <c r="I42" s="5" t="s">
        <v>416</v>
      </c>
      <c r="J42" s="119">
        <f>IFERROR(INDEX('Building Configuration'!$B$2:$AA$34,MATCH(H$34,'Building Configuration'!$D$2:$D$34,0),MATCH(H42,'Building Configuration'!$B$2:$AA$2,0)),0)</f>
        <v>0</v>
      </c>
      <c r="K42" s="103"/>
      <c r="L42" s="123"/>
      <c r="M42" s="6" t="s">
        <v>228</v>
      </c>
      <c r="N42" s="118" t="str">
        <f>IFERROR(INDEX('Building Configuration'!$B$2:$AA$34,MATCH(N$34,'Building Configuration'!$D$2:$D$34,0),MATCH(M42,'Building Configuration'!$B$2:$AA$2,0)),"-")</f>
        <v>-</v>
      </c>
      <c r="O42" s="5" t="s">
        <v>416</v>
      </c>
      <c r="P42" s="119">
        <f>IFERROR(INDEX('Building Configuration'!$B$2:$AA$34,MATCH(N$34,'Building Configuration'!$D$2:$D$34,0),MATCH(N42,'Building Configuration'!$B$2:$AA$2,0)),0)</f>
        <v>0</v>
      </c>
      <c r="Q42" s="103"/>
      <c r="R42" s="123"/>
      <c r="S42" s="123"/>
      <c r="T42" s="118"/>
      <c r="V42" s="168"/>
      <c r="W42" s="123"/>
      <c r="X42" s="124"/>
      <c r="Z42" s="168"/>
    </row>
    <row r="43" spans="1:29" ht="15" customHeight="1">
      <c r="A43" s="6" t="s">
        <v>229</v>
      </c>
      <c r="B43" s="118" t="str">
        <f>IFERROR(INDEX('Building Configuration'!$B$2:$AA$34,MATCH(B$34,'Building Configuration'!$D$2:$D$34,0),MATCH(A43,'Building Configuration'!$B$2:$AA$2,0)),"-")</f>
        <v>-</v>
      </c>
      <c r="C43" s="5" t="s">
        <v>229</v>
      </c>
      <c r="D43" s="119">
        <f>IFERROR(INDEX('Building Configuration'!$B$2:$AA$34,MATCH(B$34,'Building Configuration'!$D$2:$D$34,0),MATCH(B43,'Building Configuration'!$B$2:$AA$2,0)),0)</f>
        <v>0</v>
      </c>
      <c r="E43" s="103"/>
      <c r="G43" s="6" t="s">
        <v>229</v>
      </c>
      <c r="H43" s="118" t="str">
        <f>IFERROR(INDEX('Building Configuration'!$B$2:$AA$34,MATCH(H$34,'Building Configuration'!$D$2:$D$34,0),MATCH(G43,'Building Configuration'!$B$2:$AA$2,0)),"-")</f>
        <v>-</v>
      </c>
      <c r="I43" s="5" t="s">
        <v>229</v>
      </c>
      <c r="J43" s="119">
        <f>IFERROR(INDEX('Building Configuration'!$B$2:$AA$34,MATCH(H$34,'Building Configuration'!$D$2:$D$34,0),MATCH(H43,'Building Configuration'!$B$2:$AA$2,0)),0)</f>
        <v>0</v>
      </c>
      <c r="K43" s="103"/>
      <c r="L43" s="123"/>
      <c r="M43" s="6" t="s">
        <v>229</v>
      </c>
      <c r="N43" s="118" t="str">
        <f>IFERROR(INDEX('Building Configuration'!$B$2:$AA$34,MATCH(N$34,'Building Configuration'!$D$2:$D$34,0),MATCH(M43,'Building Configuration'!$B$2:$AA$2,0)),"-")</f>
        <v>-</v>
      </c>
      <c r="O43" s="5" t="s">
        <v>229</v>
      </c>
      <c r="P43" s="119">
        <f>IFERROR(INDEX('Building Configuration'!$B$2:$AA$34,MATCH(N$34,'Building Configuration'!$D$2:$D$34,0),MATCH(N43,'Building Configuration'!$B$2:$AA$2,0)),0)</f>
        <v>0</v>
      </c>
      <c r="Q43" s="103"/>
      <c r="R43" s="123"/>
      <c r="S43" s="123"/>
      <c r="T43" s="118"/>
      <c r="V43" s="168"/>
      <c r="W43" s="123"/>
      <c r="X43" s="124"/>
      <c r="Z43" s="168"/>
    </row>
    <row r="44" spans="1:29" ht="15" customHeight="1">
      <c r="A44" s="6" t="s">
        <v>230</v>
      </c>
      <c r="B44" s="118" t="str">
        <f>IFERROR(INDEX('Building Configuration'!$B$2:$AA$34,MATCH(B$34,'Building Configuration'!$D$2:$D$34,0),MATCH(A44,'Building Configuration'!$B$2:$AA$2,0)),"-")</f>
        <v>-</v>
      </c>
      <c r="C44" s="5" t="s">
        <v>230</v>
      </c>
      <c r="D44" s="119">
        <f>IFERROR(INDEX('Building Configuration'!$B$2:$AA$34,MATCH(B$34,'Building Configuration'!$D$2:$D$34,0),MATCH(B44,'Building Configuration'!$B$2:$AA$2,0)),0)</f>
        <v>0</v>
      </c>
      <c r="E44" s="103"/>
      <c r="G44" s="6" t="s">
        <v>230</v>
      </c>
      <c r="H44" s="118" t="str">
        <f>IFERROR(INDEX('Building Configuration'!$B$2:$AA$34,MATCH(H$34,'Building Configuration'!$D$2:$D$34,0),MATCH(G44,'Building Configuration'!$B$2:$AA$2,0)),"-")</f>
        <v>-</v>
      </c>
      <c r="I44" s="5" t="s">
        <v>230</v>
      </c>
      <c r="J44" s="119">
        <f>IFERROR(INDEX('Building Configuration'!$B$2:$AA$34,MATCH(H$34,'Building Configuration'!$D$2:$D$34,0),MATCH(H44,'Building Configuration'!$B$2:$AA$2,0)),0)</f>
        <v>0</v>
      </c>
      <c r="K44" s="103"/>
      <c r="L44" s="123"/>
      <c r="M44" s="6" t="s">
        <v>230</v>
      </c>
      <c r="N44" s="118" t="str">
        <f>IFERROR(INDEX('Building Configuration'!$B$2:$AA$34,MATCH(N$34,'Building Configuration'!$D$2:$D$34,0),MATCH(M44,'Building Configuration'!$B$2:$AA$2,0)),"-")</f>
        <v>-</v>
      </c>
      <c r="O44" s="5" t="s">
        <v>230</v>
      </c>
      <c r="P44" s="119">
        <f>IFERROR(INDEX('Building Configuration'!$B$2:$AA$34,MATCH(N$34,'Building Configuration'!$D$2:$D$34,0),MATCH(N44,'Building Configuration'!$B$2:$AA$2,0)),0)</f>
        <v>0</v>
      </c>
      <c r="Q44" s="103"/>
      <c r="R44" s="123"/>
      <c r="S44" s="123"/>
      <c r="T44" s="118"/>
      <c r="V44" s="168"/>
      <c r="W44" s="123"/>
      <c r="X44" s="124"/>
      <c r="Z44" s="168"/>
    </row>
    <row r="45" spans="1:29" ht="15" customHeight="1">
      <c r="A45" s="6" t="s">
        <v>417</v>
      </c>
      <c r="B45" s="118" t="str">
        <f>IFERROR(IF(INDEX('Building Configuration'!$B$2:$AA$34,MATCH(B$34,'Building Configuration'!$D$2:$D$34,0),MATCH(C45,'Building Configuration'!$B$2:$AA$2,0))&gt;0,"YES","NO"),"-")</f>
        <v>NO</v>
      </c>
      <c r="C45" s="5" t="s">
        <v>116</v>
      </c>
      <c r="D45" s="119">
        <f>IFERROR(INDEX('Building Configuration'!$B$2:$AA$34,MATCH(B$34,'Building Configuration'!$D$2:$D$34,0),MATCH(C45,'Building Configuration'!$B$2:$AA$2,0)),0)</f>
        <v>0</v>
      </c>
      <c r="E45" s="65"/>
      <c r="G45" s="6" t="s">
        <v>417</v>
      </c>
      <c r="H45" s="118" t="str">
        <f>IFERROR(IF(INDEX('Building Configuration'!$B$2:$AA$34,MATCH(H$34,'Building Configuration'!$D$2:$D$34,0),MATCH(I45,'Building Configuration'!$B$2:$AA$2,0))&gt;0,"YES","NO"),"-")</f>
        <v>NO</v>
      </c>
      <c r="I45" s="5" t="s">
        <v>116</v>
      </c>
      <c r="J45" s="119">
        <f>IFERROR(INDEX('Building Configuration'!$B$2:$AA$34,MATCH(H$34,'Building Configuration'!$D$2:$D$34,0),MATCH(I45,'Building Configuration'!$B$2:$AA$2,0)),0)</f>
        <v>0</v>
      </c>
      <c r="K45" s="65"/>
      <c r="L45" s="55"/>
      <c r="M45" s="6" t="s">
        <v>417</v>
      </c>
      <c r="N45" s="118" t="str">
        <f>IFERROR(IF(INDEX('Building Configuration'!$B$2:$AA$34,MATCH(N$34,'Building Configuration'!$D$2:$D$34,0),MATCH(O45,'Building Configuration'!$B$2:$AA$2,0))&gt;0,"YES","NO"),"-")</f>
        <v>-</v>
      </c>
      <c r="O45" s="5" t="s">
        <v>116</v>
      </c>
      <c r="P45" s="119">
        <f>IFERROR(INDEX('Building Configuration'!$B$2:$AA$34,MATCH(N$34,'Building Configuration'!$D$2:$D$34,0),MATCH(O45,'Building Configuration'!$B$2:$AA$2,0)),0)</f>
        <v>0</v>
      </c>
      <c r="Q45" s="65"/>
      <c r="R45" s="55"/>
      <c r="S45" s="123"/>
      <c r="T45" s="118"/>
      <c r="V45" s="168"/>
      <c r="W45" s="55"/>
      <c r="X45" s="99"/>
      <c r="Z45" s="117"/>
    </row>
    <row r="46" spans="1:29" ht="15" customHeight="1">
      <c r="A46" s="6" t="s">
        <v>418</v>
      </c>
      <c r="B46" s="161">
        <v>0</v>
      </c>
      <c r="C46" s="162">
        <f>100%-B46</f>
        <v>1</v>
      </c>
      <c r="D46" s="119"/>
      <c r="E46" s="65"/>
      <c r="G46" s="6" t="s">
        <v>418</v>
      </c>
      <c r="H46" s="161">
        <v>0.8</v>
      </c>
      <c r="I46" s="162">
        <f>100%-H46</f>
        <v>0.19999999999999996</v>
      </c>
      <c r="J46" s="119"/>
      <c r="K46" s="65"/>
      <c r="L46" s="55"/>
      <c r="M46" s="6" t="s">
        <v>418</v>
      </c>
      <c r="N46" s="161">
        <v>1</v>
      </c>
      <c r="O46" s="162">
        <f>100%-N46</f>
        <v>0</v>
      </c>
      <c r="P46" s="119"/>
      <c r="Q46" s="65"/>
      <c r="R46" s="55"/>
      <c r="S46" s="123"/>
      <c r="T46" s="294"/>
      <c r="U46" s="305"/>
      <c r="V46" s="168"/>
      <c r="W46" s="55"/>
      <c r="X46" s="99"/>
    </row>
    <row r="47" spans="1:29" ht="15" customHeight="1">
      <c r="A47" s="6"/>
      <c r="B47" s="118"/>
      <c r="D47" s="119"/>
      <c r="E47" s="65"/>
      <c r="G47" s="6"/>
      <c r="H47" s="118"/>
      <c r="J47" s="119"/>
      <c r="K47" s="65"/>
      <c r="L47" s="55"/>
      <c r="M47" s="6"/>
      <c r="N47" s="118"/>
      <c r="P47" s="119"/>
      <c r="Q47" s="65"/>
      <c r="R47" s="55"/>
      <c r="S47" s="123"/>
      <c r="T47" s="118"/>
      <c r="V47" s="168"/>
      <c r="W47" s="55"/>
      <c r="X47" s="99"/>
    </row>
    <row r="48" spans="1:29" ht="15" customHeight="1">
      <c r="A48" s="104" t="s">
        <v>222</v>
      </c>
      <c r="B48" s="105" t="str">
        <f>B$36</f>
        <v>-</v>
      </c>
      <c r="C48" s="166" t="s">
        <v>419</v>
      </c>
      <c r="D48" s="111">
        <f>D$36*E$48</f>
        <v>0</v>
      </c>
      <c r="E48" s="106">
        <f>Assumptions!$Y$28</f>
        <v>0.77</v>
      </c>
      <c r="F48" s="99"/>
      <c r="G48" s="104" t="s">
        <v>222</v>
      </c>
      <c r="H48" s="105" t="str">
        <f>H$36</f>
        <v>-</v>
      </c>
      <c r="I48" s="166" t="s">
        <v>419</v>
      </c>
      <c r="J48" s="111">
        <f>J$36*K$48</f>
        <v>0</v>
      </c>
      <c r="K48" s="106">
        <f>Assumptions!$Y$28</f>
        <v>0.77</v>
      </c>
      <c r="L48" s="55"/>
      <c r="M48" s="104" t="s">
        <v>222</v>
      </c>
      <c r="N48" s="105" t="str">
        <f>N$36</f>
        <v>-</v>
      </c>
      <c r="O48" s="166" t="s">
        <v>419</v>
      </c>
      <c r="P48" s="111">
        <f>P$36*Q$48</f>
        <v>0</v>
      </c>
      <c r="Q48" s="106">
        <f>Assumptions!$Y$28</f>
        <v>0.77</v>
      </c>
      <c r="R48" s="55"/>
      <c r="S48" s="123"/>
      <c r="T48" s="99"/>
      <c r="U48" s="135"/>
      <c r="V48" s="295"/>
      <c r="W48" s="55"/>
      <c r="X48" s="99"/>
    </row>
    <row r="49" spans="1:24" ht="15" customHeight="1">
      <c r="A49" s="104" t="s">
        <v>420</v>
      </c>
      <c r="B49" s="160">
        <v>0</v>
      </c>
      <c r="C49" s="113" t="str">
        <f>IF(C55&gt;D48,"# of Units Over Available Area","# of Units Within Available Area")</f>
        <v># of Units Within Available Area</v>
      </c>
      <c r="D49" s="112" t="s">
        <v>421</v>
      </c>
      <c r="E49" s="120">
        <v>0</v>
      </c>
      <c r="F49" s="101"/>
      <c r="G49" s="104" t="s">
        <v>420</v>
      </c>
      <c r="H49" s="160">
        <v>0</v>
      </c>
      <c r="I49" s="113" t="str">
        <f>IF(I55&gt;J48,"# of Units Over Available Area","# of Units Within Available Area")</f>
        <v># of Units Within Available Area</v>
      </c>
      <c r="J49" s="112" t="s">
        <v>421</v>
      </c>
      <c r="K49" s="120">
        <v>0</v>
      </c>
      <c r="L49" s="102"/>
      <c r="M49" s="104" t="s">
        <v>420</v>
      </c>
      <c r="N49" s="160">
        <v>0</v>
      </c>
      <c r="O49" s="113" t="str">
        <f>IF(O55&gt;P48,"# of Units Over Available Area","# of Units Within Available Area")</f>
        <v># of Units Within Available Area</v>
      </c>
      <c r="P49" s="112" t="s">
        <v>421</v>
      </c>
      <c r="Q49" s="120">
        <v>0</v>
      </c>
      <c r="R49" s="102"/>
      <c r="S49" s="123"/>
      <c r="T49" s="296"/>
      <c r="U49" s="297"/>
      <c r="V49" s="112"/>
      <c r="W49" s="102"/>
      <c r="X49" s="99"/>
    </row>
    <row r="50" spans="1:24" ht="15" customHeight="1">
      <c r="A50" s="107" t="s">
        <v>308</v>
      </c>
      <c r="B50" s="200" t="s">
        <v>422</v>
      </c>
      <c r="C50" s="109" t="s">
        <v>419</v>
      </c>
      <c r="D50" s="108" t="s">
        <v>423</v>
      </c>
      <c r="E50" s="110" t="s">
        <v>424</v>
      </c>
      <c r="F50" s="99"/>
      <c r="G50" s="107" t="s">
        <v>308</v>
      </c>
      <c r="H50" s="200" t="s">
        <v>422</v>
      </c>
      <c r="I50" s="109" t="s">
        <v>419</v>
      </c>
      <c r="J50" s="108" t="s">
        <v>423</v>
      </c>
      <c r="K50" s="110" t="s">
        <v>424</v>
      </c>
      <c r="L50" s="124"/>
      <c r="M50" s="107" t="s">
        <v>308</v>
      </c>
      <c r="N50" s="200" t="s">
        <v>422</v>
      </c>
      <c r="O50" s="109" t="s">
        <v>419</v>
      </c>
      <c r="P50" s="108" t="s">
        <v>423</v>
      </c>
      <c r="Q50" s="110" t="s">
        <v>424</v>
      </c>
      <c r="R50" s="124"/>
      <c r="S50" s="123"/>
      <c r="T50" s="306"/>
      <c r="U50" s="276"/>
      <c r="V50" s="124"/>
      <c r="W50" s="124"/>
      <c r="X50" s="99"/>
    </row>
    <row r="51" spans="1:24" ht="15" customHeight="1">
      <c r="A51" s="31" t="str">
        <f>Assumptions!$W$5</f>
        <v>Studio</v>
      </c>
      <c r="B51" s="76">
        <f>B$49*INDEX(Assumptions!$Y$5:$Y$8,MATCH(A51,Assumptions!$W$5:$W$8,0))</f>
        <v>0</v>
      </c>
      <c r="C51" s="32">
        <f>Assumptions!$R$15</f>
        <v>550</v>
      </c>
      <c r="D51" s="42">
        <f>Assumptions!$R$16*(1+E$49)</f>
        <v>3</v>
      </c>
      <c r="E51" s="43">
        <f>12*B51*C51*D51</f>
        <v>0</v>
      </c>
      <c r="F51" s="99"/>
      <c r="G51" s="31" t="str">
        <f>Assumptions!$W$5</f>
        <v>Studio</v>
      </c>
      <c r="H51" s="76">
        <f>H$49*INDEX(Assumptions!$Y$5:$Y$8,MATCH(G51,Assumptions!$W$5:$W$8,0))</f>
        <v>0</v>
      </c>
      <c r="I51" s="32">
        <f>Assumptions!$R$15</f>
        <v>550</v>
      </c>
      <c r="J51" s="42">
        <f>Assumptions!$R$16*(1+K$49)</f>
        <v>3</v>
      </c>
      <c r="K51" s="43">
        <f>12*H51*I51*J51</f>
        <v>0</v>
      </c>
      <c r="L51" s="125"/>
      <c r="M51" s="31" t="str">
        <f>Assumptions!$W$5</f>
        <v>Studio</v>
      </c>
      <c r="N51" s="76">
        <f>N$49*INDEX(Assumptions!$Y$5:$Y$8,MATCH(M51,Assumptions!$W$5:$W$8,0))</f>
        <v>0</v>
      </c>
      <c r="O51" s="32">
        <f>Assumptions!$R$15</f>
        <v>550</v>
      </c>
      <c r="P51" s="42">
        <f>Assumptions!$R$16*(1+Q$49)</f>
        <v>3</v>
      </c>
      <c r="Q51" s="43">
        <f>12*N51*O51*P51</f>
        <v>0</v>
      </c>
      <c r="R51" s="125"/>
      <c r="S51" s="307"/>
      <c r="T51" s="100"/>
      <c r="U51" s="308"/>
      <c r="V51" s="309"/>
      <c r="W51" s="125"/>
      <c r="X51" s="99"/>
    </row>
    <row r="52" spans="1:24" ht="15" customHeight="1">
      <c r="A52" s="31" t="str">
        <f>Assumptions!$W$6</f>
        <v>1BR</v>
      </c>
      <c r="B52" s="76">
        <f>B$49*INDEX(Assumptions!$Y$5:$Y$8,MATCH(A52,Assumptions!$W$5:$W$8,0))</f>
        <v>0</v>
      </c>
      <c r="C52" s="378">
        <f>Assumptions!$R$18</f>
        <v>800</v>
      </c>
      <c r="D52" s="379">
        <f>Assumptions!$R$19*(1+E$49)</f>
        <v>2.4</v>
      </c>
      <c r="E52" s="380">
        <f>12*B52*C52*D52</f>
        <v>0</v>
      </c>
      <c r="F52" s="99"/>
      <c r="G52" s="31" t="str">
        <f>Assumptions!$W$6</f>
        <v>1BR</v>
      </c>
      <c r="H52" s="76">
        <f>H$49*INDEX(Assumptions!$Y$5:$Y$8,MATCH(G52,Assumptions!$W$5:$W$8,0))</f>
        <v>0</v>
      </c>
      <c r="I52" s="378">
        <f>Assumptions!$R$18</f>
        <v>800</v>
      </c>
      <c r="J52" s="379">
        <f>Assumptions!$R$19*(1+K$49)</f>
        <v>2.4</v>
      </c>
      <c r="K52" s="380">
        <f>12*H52*I52*J52</f>
        <v>0</v>
      </c>
      <c r="L52" s="125"/>
      <c r="M52" s="31" t="str">
        <f>Assumptions!$W$6</f>
        <v>1BR</v>
      </c>
      <c r="N52" s="76">
        <f>N$49*INDEX(Assumptions!$Y$5:$Y$8,MATCH(M52,Assumptions!$W$5:$W$8,0))</f>
        <v>0</v>
      </c>
      <c r="O52" s="378">
        <f>Assumptions!$R$18</f>
        <v>800</v>
      </c>
      <c r="P52" s="379">
        <f>Assumptions!$R$19*(1+Q$49)</f>
        <v>2.4</v>
      </c>
      <c r="Q52" s="380">
        <f>12*N52*O52*P52</f>
        <v>0</v>
      </c>
      <c r="R52" s="125"/>
      <c r="S52" s="307"/>
      <c r="T52" s="100"/>
      <c r="U52" s="308"/>
      <c r="V52" s="309"/>
      <c r="W52" s="125"/>
      <c r="X52" s="99"/>
    </row>
    <row r="53" spans="1:24" ht="15" customHeight="1">
      <c r="A53" s="31" t="str">
        <f>Assumptions!$W$7</f>
        <v>2BR</v>
      </c>
      <c r="B53" s="76">
        <f>B$49*INDEX(Assumptions!$Y$5:$Y$8,MATCH(A53,Assumptions!$W$5:$W$8,0))</f>
        <v>0</v>
      </c>
      <c r="C53" s="32">
        <f>Assumptions!$R$21</f>
        <v>1200</v>
      </c>
      <c r="D53" s="379">
        <f>Assumptions!$R$22*(1+E$49)</f>
        <v>2.2000000000000002</v>
      </c>
      <c r="E53" s="380">
        <f>12*B53*C53*D53</f>
        <v>0</v>
      </c>
      <c r="F53" s="100"/>
      <c r="G53" s="31" t="str">
        <f>Assumptions!$W$7</f>
        <v>2BR</v>
      </c>
      <c r="H53" s="76">
        <f>H$49*INDEX(Assumptions!$Y$5:$Y$8,MATCH(G53,Assumptions!$W$5:$W$8,0))</f>
        <v>0</v>
      </c>
      <c r="I53" s="32">
        <f>Assumptions!$R$21</f>
        <v>1200</v>
      </c>
      <c r="J53" s="379">
        <f>Assumptions!$R$22*(1+K$49)</f>
        <v>2.2000000000000002</v>
      </c>
      <c r="K53" s="380">
        <f>12*H53*I53*J53</f>
        <v>0</v>
      </c>
      <c r="L53" s="125"/>
      <c r="M53" s="31" t="str">
        <f>Assumptions!$W$7</f>
        <v>2BR</v>
      </c>
      <c r="N53" s="76">
        <f>N$49*INDEX(Assumptions!$Y$5:$Y$8,MATCH(M53,Assumptions!$W$5:$W$8,0))</f>
        <v>0</v>
      </c>
      <c r="O53" s="32">
        <f>Assumptions!$R$21</f>
        <v>1200</v>
      </c>
      <c r="P53" s="379">
        <f>Assumptions!$R$22*(1+Q$49)</f>
        <v>2.2000000000000002</v>
      </c>
      <c r="Q53" s="380">
        <f>12*N53*O53*P53</f>
        <v>0</v>
      </c>
      <c r="R53" s="125"/>
      <c r="S53" s="307"/>
      <c r="T53" s="100"/>
      <c r="U53" s="308"/>
      <c r="V53" s="309"/>
      <c r="W53" s="125"/>
    </row>
    <row r="54" spans="1:24" ht="15" customHeight="1" thickBot="1">
      <c r="A54" s="31" t="str">
        <f>Assumptions!$W$8</f>
        <v>3BR</v>
      </c>
      <c r="B54" s="76">
        <f>B$49*INDEX(Assumptions!$Y$5:$Y$8,MATCH(A54,Assumptions!$W$5:$W$8,0))</f>
        <v>0</v>
      </c>
      <c r="C54" s="378">
        <f>Assumptions!$R$24</f>
        <v>2000</v>
      </c>
      <c r="D54" s="379">
        <f>Assumptions!$R$25*(1+E$49)</f>
        <v>2.5</v>
      </c>
      <c r="E54" s="380">
        <f>12*B54*C54*D54</f>
        <v>0</v>
      </c>
      <c r="G54" s="31" t="str">
        <f>Assumptions!$W$8</f>
        <v>3BR</v>
      </c>
      <c r="H54" s="76">
        <f>H$49*INDEX(Assumptions!$Y$5:$Y$8,MATCH(G54,Assumptions!$W$5:$W$8,0))</f>
        <v>0</v>
      </c>
      <c r="I54" s="378">
        <f>Assumptions!$R$24</f>
        <v>2000</v>
      </c>
      <c r="J54" s="379">
        <f>Assumptions!$R$25*(1+K$49)</f>
        <v>2.5</v>
      </c>
      <c r="K54" s="380">
        <f>12*H54*I54*J54</f>
        <v>0</v>
      </c>
      <c r="L54" s="125"/>
      <c r="M54" s="31" t="str">
        <f>Assumptions!$W$8</f>
        <v>3BR</v>
      </c>
      <c r="N54" s="76">
        <f>N$49*INDEX(Assumptions!$Y$5:$Y$8,MATCH(M54,Assumptions!$W$5:$W$8,0))</f>
        <v>0</v>
      </c>
      <c r="O54" s="378">
        <f>Assumptions!$R$24</f>
        <v>2000</v>
      </c>
      <c r="P54" s="379">
        <f>Assumptions!$R$25*(1+Q$49)</f>
        <v>2.5</v>
      </c>
      <c r="Q54" s="380">
        <f>12*N54*O54*P54</f>
        <v>0</v>
      </c>
      <c r="R54" s="125"/>
      <c r="S54" s="307"/>
      <c r="T54" s="100"/>
      <c r="U54" s="308"/>
      <c r="V54" s="309"/>
      <c r="W54" s="125"/>
    </row>
    <row r="55" spans="1:24" ht="15" customHeight="1" thickTop="1" thickBot="1">
      <c r="A55" s="7" t="s">
        <v>425</v>
      </c>
      <c r="B55" s="8">
        <f>SUM(B51:B54)</f>
        <v>0</v>
      </c>
      <c r="C55" s="9">
        <f>SUMPRODUCT(B51:B54,C51:C54)</f>
        <v>0</v>
      </c>
      <c r="D55" s="61"/>
      <c r="E55" s="62">
        <f>SUM(E51:E54)</f>
        <v>0</v>
      </c>
      <c r="F55" s="100"/>
      <c r="G55" s="7" t="s">
        <v>425</v>
      </c>
      <c r="H55" s="8">
        <f>SUM(H51:H54)</f>
        <v>0</v>
      </c>
      <c r="I55" s="9">
        <f>SUMPRODUCT(H51:H54,I51:I54)</f>
        <v>0</v>
      </c>
      <c r="J55" s="61"/>
      <c r="K55" s="62">
        <f>SUM(K51:K54)</f>
        <v>0</v>
      </c>
      <c r="L55" s="122"/>
      <c r="M55" s="7" t="s">
        <v>425</v>
      </c>
      <c r="N55" s="8">
        <f>SUM(N51:N54)</f>
        <v>0</v>
      </c>
      <c r="O55" s="9">
        <f>SUMPRODUCT(N51:N54,O51:O54)</f>
        <v>0</v>
      </c>
      <c r="P55" s="61"/>
      <c r="Q55" s="62">
        <f>SUM(Q51:Q54)</f>
        <v>0</v>
      </c>
      <c r="R55" s="122"/>
      <c r="S55" s="12"/>
      <c r="T55" s="310"/>
      <c r="U55" s="311"/>
      <c r="V55" s="312"/>
      <c r="W55" s="122"/>
    </row>
    <row r="56" spans="1:24" ht="15" customHeight="1" thickTop="1" thickBot="1">
      <c r="A56" s="10" t="s">
        <v>426</v>
      </c>
      <c r="B56" s="60"/>
      <c r="C56" s="11">
        <f>IFERROR(C55/B55,0)</f>
        <v>0</v>
      </c>
      <c r="D56" s="63">
        <f>IFERROR((E55/12)/C55,0)</f>
        <v>0</v>
      </c>
      <c r="E56" s="64"/>
      <c r="G56" s="10" t="s">
        <v>426</v>
      </c>
      <c r="H56" s="60"/>
      <c r="I56" s="11">
        <f>IFERROR(I55/H55,0)</f>
        <v>0</v>
      </c>
      <c r="J56" s="63">
        <f>IFERROR((K55/12)/I55,0)</f>
        <v>0</v>
      </c>
      <c r="K56" s="64"/>
      <c r="L56" s="12"/>
      <c r="M56" s="10" t="s">
        <v>426</v>
      </c>
      <c r="N56" s="60"/>
      <c r="O56" s="11">
        <f>IFERROR(O55/N55,0)</f>
        <v>0</v>
      </c>
      <c r="P56" s="63">
        <f>IFERROR((Q55/12)/O55,0)</f>
        <v>0</v>
      </c>
      <c r="Q56" s="64"/>
      <c r="R56" s="12"/>
      <c r="S56" s="12"/>
      <c r="T56" s="313"/>
      <c r="U56" s="314"/>
      <c r="V56" s="315"/>
      <c r="W56" s="12"/>
      <c r="X56" s="100"/>
    </row>
    <row r="57" spans="1:24" ht="15" customHeight="1">
      <c r="A57" s="104" t="s">
        <v>223</v>
      </c>
      <c r="B57" s="105" t="str">
        <f>B$37</f>
        <v>-</v>
      </c>
      <c r="C57" s="166" t="s">
        <v>419</v>
      </c>
      <c r="D57" s="165">
        <f>D$37*E$57</f>
        <v>0</v>
      </c>
      <c r="E57" s="106">
        <f>Assumptions!$Y$28</f>
        <v>0.77</v>
      </c>
      <c r="G57" s="104" t="s">
        <v>223</v>
      </c>
      <c r="H57" s="105" t="str">
        <f>H$37</f>
        <v>Multifamily-Market-Sale</v>
      </c>
      <c r="I57" s="166" t="s">
        <v>419</v>
      </c>
      <c r="J57" s="165">
        <f>J$37*K$57</f>
        <v>93014.829600000012</v>
      </c>
      <c r="K57" s="106">
        <f>Assumptions!$Y$28</f>
        <v>0.77</v>
      </c>
      <c r="L57" s="55"/>
      <c r="M57" s="104" t="s">
        <v>223</v>
      </c>
      <c r="N57" s="105" t="str">
        <f>N$37</f>
        <v>-</v>
      </c>
      <c r="O57" s="166" t="s">
        <v>419</v>
      </c>
      <c r="P57" s="165">
        <f>P$37*Q$57</f>
        <v>0</v>
      </c>
      <c r="Q57" s="106">
        <f>Assumptions!$Y$28</f>
        <v>0.77</v>
      </c>
      <c r="R57" s="55"/>
      <c r="S57" s="123"/>
      <c r="T57" s="99"/>
      <c r="U57" s="135"/>
      <c r="V57" s="298"/>
      <c r="W57" s="55"/>
      <c r="X57" s="100"/>
    </row>
    <row r="58" spans="1:24" ht="15" customHeight="1">
      <c r="A58" s="104" t="s">
        <v>420</v>
      </c>
      <c r="B58" s="160">
        <v>0</v>
      </c>
      <c r="C58" s="113" t="str">
        <f>IF(C63&gt;D57,"# of Units Over Available Area","# of Units Within Available Area")</f>
        <v># of Units Within Available Area</v>
      </c>
      <c r="D58" s="158"/>
      <c r="E58" s="159"/>
      <c r="G58" s="104" t="s">
        <v>420</v>
      </c>
      <c r="H58" s="160">
        <v>58</v>
      </c>
      <c r="I58" s="113" t="str">
        <f>IF(I63&gt;J57,"# of Units Over Available Area","# of Units Within Available Area")</f>
        <v># of Units Within Available Area</v>
      </c>
      <c r="J58" s="158"/>
      <c r="K58" s="159"/>
      <c r="L58" s="102"/>
      <c r="M58" s="104" t="s">
        <v>420</v>
      </c>
      <c r="N58" s="160">
        <v>0</v>
      </c>
      <c r="O58" s="113" t="str">
        <f>IF(O63&gt;P57,"# of Units Over Available Area","# of Units Within Available Area")</f>
        <v># of Units Within Available Area</v>
      </c>
      <c r="P58" s="158"/>
      <c r="Q58" s="159"/>
      <c r="R58" s="102"/>
      <c r="S58" s="123"/>
      <c r="T58" s="296"/>
      <c r="U58" s="297"/>
      <c r="V58" s="112"/>
      <c r="W58" s="102"/>
      <c r="X58" s="100"/>
    </row>
    <row r="59" spans="1:24" ht="15" customHeight="1">
      <c r="A59" s="107" t="s">
        <v>308</v>
      </c>
      <c r="B59" s="108" t="s">
        <v>427</v>
      </c>
      <c r="C59" s="109" t="s">
        <v>428</v>
      </c>
      <c r="D59" s="108" t="s">
        <v>74</v>
      </c>
      <c r="E59" s="110" t="s">
        <v>429</v>
      </c>
      <c r="G59" s="107" t="s">
        <v>308</v>
      </c>
      <c r="H59" s="108" t="s">
        <v>427</v>
      </c>
      <c r="I59" s="109" t="s">
        <v>428</v>
      </c>
      <c r="J59" s="108" t="s">
        <v>74</v>
      </c>
      <c r="K59" s="110" t="s">
        <v>429</v>
      </c>
      <c r="L59" s="124"/>
      <c r="M59" s="107" t="s">
        <v>308</v>
      </c>
      <c r="N59" s="108" t="s">
        <v>427</v>
      </c>
      <c r="O59" s="109" t="s">
        <v>428</v>
      </c>
      <c r="P59" s="108" t="s">
        <v>74</v>
      </c>
      <c r="Q59" s="110" t="s">
        <v>429</v>
      </c>
      <c r="R59" s="124"/>
      <c r="S59" s="123"/>
      <c r="T59" s="124"/>
      <c r="U59" s="276"/>
      <c r="V59" s="124"/>
      <c r="W59" s="124"/>
      <c r="X59" s="100"/>
    </row>
    <row r="60" spans="1:24" ht="15" customHeight="1">
      <c r="A60" s="31" t="str">
        <f>Assumptions!$W$15</f>
        <v>1BR</v>
      </c>
      <c r="B60" s="76">
        <f>B$58*INDEX(Assumptions!$Y$10:$Y$12,MATCH(A60,Assumptions!$W$10:$W$12,0))</f>
        <v>0</v>
      </c>
      <c r="C60" s="32">
        <f>Assumptions!$S$18</f>
        <v>1000</v>
      </c>
      <c r="D60" s="379">
        <f>Assumptions!$S$19</f>
        <v>400</v>
      </c>
      <c r="E60" s="380">
        <f>B60*C60*D60</f>
        <v>0</v>
      </c>
      <c r="G60" s="31" t="str">
        <f>Assumptions!$W$15</f>
        <v>1BR</v>
      </c>
      <c r="H60" s="76">
        <f>H$58*INDEX(Assumptions!$Y$10:$Y$12,MATCH(G60,Assumptions!$W$10:$W$12,0))</f>
        <v>17.399999999999999</v>
      </c>
      <c r="I60" s="32">
        <f>Assumptions!$S$18</f>
        <v>1000</v>
      </c>
      <c r="J60" s="379">
        <f>Assumptions!$S$19</f>
        <v>400</v>
      </c>
      <c r="K60" s="380">
        <f>H60*I60*J60</f>
        <v>6960000</v>
      </c>
      <c r="L60" s="124"/>
      <c r="M60" s="31" t="str">
        <f>Assumptions!$W$15</f>
        <v>1BR</v>
      </c>
      <c r="N60" s="76">
        <f>N$58*INDEX(Assumptions!$Y$10:$Y$12,MATCH(M60,Assumptions!$W$10:$W$12,0))</f>
        <v>0</v>
      </c>
      <c r="O60" s="32">
        <f>Assumptions!$S$18</f>
        <v>1000</v>
      </c>
      <c r="P60" s="379">
        <f>Assumptions!$S$19</f>
        <v>400</v>
      </c>
      <c r="Q60" s="380">
        <f>N60*O60*P60</f>
        <v>0</v>
      </c>
      <c r="R60" s="124"/>
      <c r="S60" s="307"/>
      <c r="T60" s="100"/>
      <c r="U60" s="308"/>
      <c r="V60" s="309"/>
      <c r="W60" s="125"/>
      <c r="X60" s="100"/>
    </row>
    <row r="61" spans="1:24" ht="15" customHeight="1">
      <c r="A61" s="31" t="str">
        <f>Assumptions!$W$16</f>
        <v>2BR</v>
      </c>
      <c r="B61" s="76">
        <f>B$58*INDEX(Assumptions!$Y$10:$Y$12,MATCH(A61,Assumptions!$W$10:$W$12,0))</f>
        <v>0</v>
      </c>
      <c r="C61" s="32">
        <f>Assumptions!$S$21</f>
        <v>1500</v>
      </c>
      <c r="D61" s="379">
        <f>Assumptions!$S$22</f>
        <v>370</v>
      </c>
      <c r="E61" s="380">
        <f>B61*C61*D61</f>
        <v>0</v>
      </c>
      <c r="G61" s="31" t="str">
        <f>Assumptions!$W$16</f>
        <v>2BR</v>
      </c>
      <c r="H61" s="76">
        <f>H$58*INDEX(Assumptions!$Y$10:$Y$12,MATCH(G61,Assumptions!$W$10:$W$12,0))</f>
        <v>23.200000000000003</v>
      </c>
      <c r="I61" s="32">
        <f>Assumptions!$S$21</f>
        <v>1500</v>
      </c>
      <c r="J61" s="379">
        <f>Assumptions!$S$22</f>
        <v>370</v>
      </c>
      <c r="K61" s="380">
        <f>H61*I61*J61</f>
        <v>12876000.000000002</v>
      </c>
      <c r="L61" s="125"/>
      <c r="M61" s="31" t="str">
        <f>Assumptions!$W$16</f>
        <v>2BR</v>
      </c>
      <c r="N61" s="76">
        <f>N$58*INDEX(Assumptions!$Y$10:$Y$12,MATCH(M61,Assumptions!$W$10:$W$12,0))</f>
        <v>0</v>
      </c>
      <c r="O61" s="32">
        <f>Assumptions!$S$21</f>
        <v>1500</v>
      </c>
      <c r="P61" s="379">
        <f>Assumptions!$S$22</f>
        <v>370</v>
      </c>
      <c r="Q61" s="380">
        <f>N61*O61*P61</f>
        <v>0</v>
      </c>
      <c r="R61" s="125"/>
      <c r="S61" s="307"/>
      <c r="T61" s="100"/>
      <c r="U61" s="308"/>
      <c r="V61" s="309"/>
      <c r="W61" s="125"/>
      <c r="X61" s="100"/>
    </row>
    <row r="62" spans="1:24" ht="15" customHeight="1" thickBot="1">
      <c r="A62" s="31" t="str">
        <f>Assumptions!$W$17</f>
        <v>3BR</v>
      </c>
      <c r="B62" s="76">
        <f>B$58*INDEX(Assumptions!$Y$10:$Y$12,MATCH(A62,Assumptions!$W$10:$W$12,0))</f>
        <v>0</v>
      </c>
      <c r="C62" s="378">
        <f>Assumptions!$S$24</f>
        <v>2300</v>
      </c>
      <c r="D62" s="379">
        <f>Assumptions!$S$25</f>
        <v>340</v>
      </c>
      <c r="E62" s="380">
        <f>B62*C62*D62</f>
        <v>0</v>
      </c>
      <c r="G62" s="31" t="str">
        <f>Assumptions!$W$17</f>
        <v>3BR</v>
      </c>
      <c r="H62" s="76">
        <f>H$58*INDEX(Assumptions!$Y$10:$Y$12,MATCH(G62,Assumptions!$W$10:$W$12,0))</f>
        <v>17.399999999999999</v>
      </c>
      <c r="I62" s="378">
        <f>Assumptions!$S$24</f>
        <v>2300</v>
      </c>
      <c r="J62" s="379">
        <f>Assumptions!$S$25</f>
        <v>340</v>
      </c>
      <c r="K62" s="380">
        <f>H62*I62*J62</f>
        <v>13606800</v>
      </c>
      <c r="L62" s="125"/>
      <c r="M62" s="31" t="str">
        <f>Assumptions!$W$17</f>
        <v>3BR</v>
      </c>
      <c r="N62" s="76">
        <f>N$58*INDEX(Assumptions!$Y$10:$Y$12,MATCH(M62,Assumptions!$W$10:$W$12,0))</f>
        <v>0</v>
      </c>
      <c r="O62" s="378">
        <f>Assumptions!$S$24</f>
        <v>2300</v>
      </c>
      <c r="P62" s="379">
        <f>Assumptions!$S$25</f>
        <v>340</v>
      </c>
      <c r="Q62" s="380">
        <f>N62*O62*P62</f>
        <v>0</v>
      </c>
      <c r="R62" s="125"/>
      <c r="S62" s="307"/>
      <c r="T62" s="100"/>
      <c r="U62" s="308"/>
      <c r="V62" s="309"/>
      <c r="W62" s="125"/>
      <c r="X62" s="100"/>
    </row>
    <row r="63" spans="1:24" ht="15" customHeight="1" thickTop="1" thickBot="1">
      <c r="A63" s="7" t="s">
        <v>425</v>
      </c>
      <c r="B63" s="8">
        <f>SUM(B61:B62)</f>
        <v>0</v>
      </c>
      <c r="C63" s="9">
        <f>SUMPRODUCT(B60:B62,C60:C62)</f>
        <v>0</v>
      </c>
      <c r="D63" s="61"/>
      <c r="E63" s="62">
        <f>SUM(E60:E62)</f>
        <v>0</v>
      </c>
      <c r="G63" s="7" t="s">
        <v>425</v>
      </c>
      <c r="H63" s="8">
        <f>SUM(H61:H62)</f>
        <v>40.6</v>
      </c>
      <c r="I63" s="9">
        <f>SUMPRODUCT(H60:H62,I60:I62)</f>
        <v>92220</v>
      </c>
      <c r="J63" s="61"/>
      <c r="K63" s="62">
        <f>SUM(K60:K62)</f>
        <v>33442800</v>
      </c>
      <c r="L63" s="122"/>
      <c r="M63" s="7" t="s">
        <v>425</v>
      </c>
      <c r="N63" s="8">
        <f>SUM(N61:N62)</f>
        <v>0</v>
      </c>
      <c r="O63" s="9">
        <f>SUMPRODUCT(N60:N62,O60:O62)</f>
        <v>0</v>
      </c>
      <c r="P63" s="61"/>
      <c r="Q63" s="62">
        <f>SUM(Q60:Q62)</f>
        <v>0</v>
      </c>
      <c r="R63" s="122"/>
      <c r="S63" s="12"/>
      <c r="T63" s="310"/>
      <c r="U63" s="311"/>
      <c r="V63" s="312"/>
      <c r="W63" s="122"/>
      <c r="X63" s="100"/>
    </row>
    <row r="64" spans="1:24" ht="15" customHeight="1" thickTop="1" thickBot="1">
      <c r="A64" s="10" t="s">
        <v>426</v>
      </c>
      <c r="B64" s="60"/>
      <c r="C64" s="11">
        <f>IFERROR(C63/B63,0)</f>
        <v>0</v>
      </c>
      <c r="D64" s="63">
        <f>IFERROR((E63/12)/C63,0)</f>
        <v>0</v>
      </c>
      <c r="E64" s="64"/>
      <c r="G64" s="10" t="s">
        <v>426</v>
      </c>
      <c r="H64" s="60"/>
      <c r="I64" s="11">
        <f>IFERROR(I63/H63,0)</f>
        <v>2271.4285714285716</v>
      </c>
      <c r="J64" s="63">
        <f>IFERROR((K63/12)/I63,0)</f>
        <v>30.220125786163521</v>
      </c>
      <c r="K64" s="64"/>
      <c r="L64" s="12"/>
      <c r="M64" s="10" t="s">
        <v>426</v>
      </c>
      <c r="N64" s="60"/>
      <c r="O64" s="11">
        <f>IFERROR(O63/N63,0)</f>
        <v>0</v>
      </c>
      <c r="P64" s="63">
        <f>IFERROR((Q63/12)/O63,0)</f>
        <v>0</v>
      </c>
      <c r="Q64" s="64"/>
      <c r="R64" s="12"/>
      <c r="S64" s="12"/>
      <c r="T64" s="313"/>
      <c r="U64" s="314"/>
      <c r="V64" s="315"/>
      <c r="W64" s="12"/>
      <c r="X64" s="100"/>
    </row>
    <row r="65" spans="1:24" ht="15" customHeight="1">
      <c r="A65" s="104" t="s">
        <v>224</v>
      </c>
      <c r="B65" s="105" t="str">
        <f>B$38</f>
        <v>-</v>
      </c>
      <c r="C65" s="166" t="s">
        <v>419</v>
      </c>
      <c r="D65" s="111">
        <f>D$38*E$65</f>
        <v>0</v>
      </c>
      <c r="E65" s="106">
        <f>Assumptions!$Y$28</f>
        <v>0.77</v>
      </c>
      <c r="G65" s="104" t="s">
        <v>224</v>
      </c>
      <c r="H65" s="105" t="str">
        <f>H$38</f>
        <v>-</v>
      </c>
      <c r="I65" s="166" t="s">
        <v>419</v>
      </c>
      <c r="J65" s="111">
        <f>J$38*K$65</f>
        <v>0</v>
      </c>
      <c r="K65" s="106">
        <f>Assumptions!$Y$28</f>
        <v>0.77</v>
      </c>
      <c r="L65" s="12"/>
      <c r="M65" s="104" t="s">
        <v>224</v>
      </c>
      <c r="N65" s="105" t="str">
        <f>N$38</f>
        <v>-</v>
      </c>
      <c r="O65" s="166" t="s">
        <v>419</v>
      </c>
      <c r="P65" s="111">
        <f>P$38*Q$65</f>
        <v>0</v>
      </c>
      <c r="Q65" s="106">
        <f>Assumptions!$Y$28</f>
        <v>0.77</v>
      </c>
      <c r="R65" s="12"/>
      <c r="S65" s="123"/>
      <c r="T65" s="99"/>
      <c r="U65" s="135"/>
      <c r="V65" s="295"/>
      <c r="W65" s="55"/>
      <c r="X65" s="100"/>
    </row>
    <row r="66" spans="1:24" ht="15" customHeight="1">
      <c r="A66" s="104" t="s">
        <v>420</v>
      </c>
      <c r="B66" s="160">
        <v>0</v>
      </c>
      <c r="C66" s="113" t="str">
        <f>IF(C72&gt;D65,"# of Units Over Available Area","# of Units Within Available Area")</f>
        <v># of Units Within Available Area</v>
      </c>
      <c r="D66" s="112" t="s">
        <v>421</v>
      </c>
      <c r="E66" s="120">
        <v>0</v>
      </c>
      <c r="G66" s="104" t="s">
        <v>420</v>
      </c>
      <c r="H66" s="160">
        <v>0</v>
      </c>
      <c r="I66" s="113" t="str">
        <f>IF(I72&gt;J65,"# of Units Over Available Area","# of Units Within Available Area")</f>
        <v># of Units Within Available Area</v>
      </c>
      <c r="J66" s="112" t="s">
        <v>421</v>
      </c>
      <c r="K66" s="120">
        <v>0</v>
      </c>
      <c r="L66" s="12"/>
      <c r="M66" s="104" t="s">
        <v>420</v>
      </c>
      <c r="N66" s="160">
        <v>0</v>
      </c>
      <c r="O66" s="113" t="str">
        <f>IF(O72&gt;P65,"# of Units Over Available Area","# of Units Within Available Area")</f>
        <v># of Units Within Available Area</v>
      </c>
      <c r="P66" s="112" t="s">
        <v>421</v>
      </c>
      <c r="Q66" s="120">
        <v>0</v>
      </c>
      <c r="R66" s="12"/>
      <c r="S66" s="123"/>
      <c r="T66" s="296"/>
      <c r="U66" s="297"/>
      <c r="V66" s="112"/>
      <c r="W66" s="102"/>
      <c r="X66" s="100"/>
    </row>
    <row r="67" spans="1:24" ht="15" customHeight="1">
      <c r="A67" s="107" t="s">
        <v>308</v>
      </c>
      <c r="B67" s="108" t="s">
        <v>427</v>
      </c>
      <c r="C67" s="109" t="s">
        <v>428</v>
      </c>
      <c r="D67" s="108" t="s">
        <v>423</v>
      </c>
      <c r="E67" s="110" t="s">
        <v>424</v>
      </c>
      <c r="G67" s="107" t="s">
        <v>308</v>
      </c>
      <c r="H67" s="108" t="s">
        <v>427</v>
      </c>
      <c r="I67" s="109" t="s">
        <v>428</v>
      </c>
      <c r="J67" s="108" t="s">
        <v>423</v>
      </c>
      <c r="K67" s="110" t="s">
        <v>424</v>
      </c>
      <c r="L67" s="12"/>
      <c r="M67" s="107" t="s">
        <v>308</v>
      </c>
      <c r="N67" s="108" t="s">
        <v>427</v>
      </c>
      <c r="O67" s="109" t="s">
        <v>428</v>
      </c>
      <c r="P67" s="108" t="s">
        <v>423</v>
      </c>
      <c r="Q67" s="110" t="s">
        <v>424</v>
      </c>
      <c r="R67" s="12"/>
      <c r="S67" s="123"/>
      <c r="T67" s="124"/>
      <c r="U67" s="276"/>
      <c r="V67" s="124"/>
      <c r="W67" s="124"/>
      <c r="X67" s="100"/>
    </row>
    <row r="68" spans="1:24" ht="15" customHeight="1">
      <c r="A68" s="31" t="str">
        <f>Assumptions!$W$14</f>
        <v>Studio</v>
      </c>
      <c r="B68" s="76">
        <f>B$66*INDEX(Assumptions!$Y$14:$Y$17,MATCH(A68,Assumptions!$W$14:$W$17,0))</f>
        <v>0</v>
      </c>
      <c r="C68" s="32">
        <f>Assumptions!$R$28</f>
        <v>550</v>
      </c>
      <c r="D68" s="42">
        <f>Assumptions!$R29*(1+E$66)</f>
        <v>2.4</v>
      </c>
      <c r="E68" s="43">
        <f>12*B68*C68*D68</f>
        <v>0</v>
      </c>
      <c r="G68" s="31" t="str">
        <f>Assumptions!$W$14</f>
        <v>Studio</v>
      </c>
      <c r="H68" s="76">
        <f>H$66*INDEX(Assumptions!$Y$14:$Y$17,MATCH(G68,Assumptions!$W$14:$W$17,0))</f>
        <v>0</v>
      </c>
      <c r="I68" s="32">
        <f>Assumptions!$R$28</f>
        <v>550</v>
      </c>
      <c r="J68" s="42">
        <f>Assumptions!$R29*(1+K$66)</f>
        <v>2.4</v>
      </c>
      <c r="K68" s="43">
        <f>12*H68*I68*J68</f>
        <v>0</v>
      </c>
      <c r="L68" s="12"/>
      <c r="M68" s="31" t="str">
        <f>Assumptions!$W$14</f>
        <v>Studio</v>
      </c>
      <c r="N68" s="76">
        <f>N$66*INDEX(Assumptions!$Y$14:$Y$17,MATCH(M68,Assumptions!$W$14:$W$17,0))</f>
        <v>0</v>
      </c>
      <c r="O68" s="32">
        <f>Assumptions!$R$28</f>
        <v>550</v>
      </c>
      <c r="P68" s="42">
        <f>Assumptions!$R29*(1+Q$66)</f>
        <v>2.4</v>
      </c>
      <c r="Q68" s="43">
        <f>12*N68*O68*P68</f>
        <v>0</v>
      </c>
      <c r="R68" s="12"/>
      <c r="S68" s="307"/>
      <c r="T68" s="100"/>
      <c r="U68" s="308"/>
      <c r="V68" s="309"/>
      <c r="W68" s="125"/>
      <c r="X68" s="100"/>
    </row>
    <row r="69" spans="1:24" ht="15" customHeight="1">
      <c r="A69" s="31" t="str">
        <f>Assumptions!$W$15</f>
        <v>1BR</v>
      </c>
      <c r="B69" s="76">
        <f>B$66*INDEX(Assumptions!$Y$14:$Y$17,MATCH(A69,Assumptions!$W$14:$W$17,0))</f>
        <v>0</v>
      </c>
      <c r="C69" s="32">
        <f>Assumptions!$R$31</f>
        <v>800</v>
      </c>
      <c r="D69" s="42">
        <f>Assumptions!$R32*(1+E$66)</f>
        <v>2.0487500000000001</v>
      </c>
      <c r="E69" s="43">
        <f>12*B69*C69*D69</f>
        <v>0</v>
      </c>
      <c r="G69" s="31" t="str">
        <f>Assumptions!$W$15</f>
        <v>1BR</v>
      </c>
      <c r="H69" s="76">
        <f>H$66*INDEX(Assumptions!$Y$14:$Y$17,MATCH(G69,Assumptions!$W$14:$W$17,0))</f>
        <v>0</v>
      </c>
      <c r="I69" s="32">
        <f>Assumptions!$R$31</f>
        <v>800</v>
      </c>
      <c r="J69" s="42">
        <f>Assumptions!$R32*(1+K$66)</f>
        <v>2.0487500000000001</v>
      </c>
      <c r="K69" s="43">
        <f>12*H69*I69*J69</f>
        <v>0</v>
      </c>
      <c r="L69" s="12"/>
      <c r="M69" s="31" t="str">
        <f>Assumptions!$W$15</f>
        <v>1BR</v>
      </c>
      <c r="N69" s="76">
        <f>N$66*INDEX(Assumptions!$Y$14:$Y$17,MATCH(M69,Assumptions!$W$14:$W$17,0))</f>
        <v>0</v>
      </c>
      <c r="O69" s="32">
        <f>Assumptions!$R$31</f>
        <v>800</v>
      </c>
      <c r="P69" s="42">
        <f>Assumptions!$R32*(1+Q$66)</f>
        <v>2.0487500000000001</v>
      </c>
      <c r="Q69" s="43">
        <f>12*N69*O69*P69</f>
        <v>0</v>
      </c>
      <c r="R69" s="12"/>
      <c r="S69" s="307"/>
      <c r="T69" s="100"/>
      <c r="U69" s="308"/>
      <c r="V69" s="309"/>
      <c r="W69" s="125"/>
      <c r="X69" s="100"/>
    </row>
    <row r="70" spans="1:24" ht="15" customHeight="1">
      <c r="A70" s="31" t="str">
        <f>Assumptions!$W$16</f>
        <v>2BR</v>
      </c>
      <c r="B70" s="76">
        <f>B$66*INDEX(Assumptions!$Y$14:$Y$17,MATCH(A70,Assumptions!$W$14:$W$17,0))</f>
        <v>0</v>
      </c>
      <c r="C70" s="378">
        <f>Assumptions!$R$34</f>
        <v>1200</v>
      </c>
      <c r="D70" s="379">
        <f>Assumptions!$R$36*(1+E$66)</f>
        <v>1.5083333333333333</v>
      </c>
      <c r="E70" s="380">
        <f>12*B70*C70*D70</f>
        <v>0</v>
      </c>
      <c r="G70" s="31" t="str">
        <f>Assumptions!$W$16</f>
        <v>2BR</v>
      </c>
      <c r="H70" s="76">
        <f>H$66*INDEX(Assumptions!$Y$14:$Y$17,MATCH(G70,Assumptions!$W$14:$W$17,0))</f>
        <v>0</v>
      </c>
      <c r="I70" s="378">
        <f>Assumptions!$R$34</f>
        <v>1200</v>
      </c>
      <c r="J70" s="379">
        <f>Assumptions!$R$36*(1+K$66)</f>
        <v>1.5083333333333333</v>
      </c>
      <c r="K70" s="380">
        <f>12*H70*I70*J70</f>
        <v>0</v>
      </c>
      <c r="L70" s="12"/>
      <c r="M70" s="31" t="str">
        <f>Assumptions!$W$16</f>
        <v>2BR</v>
      </c>
      <c r="N70" s="76">
        <f>N$66*INDEX(Assumptions!$Y$14:$Y$17,MATCH(M70,Assumptions!$W$14:$W$17,0))</f>
        <v>0</v>
      </c>
      <c r="O70" s="378">
        <f>Assumptions!$R$34</f>
        <v>1200</v>
      </c>
      <c r="P70" s="379">
        <f>Assumptions!$R$36*(1+Q$66)</f>
        <v>1.5083333333333333</v>
      </c>
      <c r="Q70" s="380">
        <f>12*N70*O70*P70</f>
        <v>0</v>
      </c>
      <c r="R70" s="12"/>
      <c r="S70" s="307"/>
      <c r="T70" s="100"/>
      <c r="U70" s="308"/>
      <c r="V70" s="309"/>
      <c r="W70" s="125"/>
      <c r="X70" s="100"/>
    </row>
    <row r="71" spans="1:24" ht="15" customHeight="1" thickBot="1">
      <c r="A71" s="31" t="str">
        <f>Assumptions!$W$17</f>
        <v>3BR</v>
      </c>
      <c r="B71" s="76">
        <f>B$66*INDEX(Assumptions!$Y$14:$Y$17,MATCH(A71,Assumptions!$W$14:$W$17,0))</f>
        <v>0</v>
      </c>
      <c r="C71" s="32">
        <f>Assumptions!$R$38</f>
        <v>2000</v>
      </c>
      <c r="D71" s="379">
        <f>Assumptions!$R$39*(1+E$66)</f>
        <v>1.5145</v>
      </c>
      <c r="E71" s="380">
        <f>12*B71*C71*D71</f>
        <v>0</v>
      </c>
      <c r="G71" s="31" t="str">
        <f>Assumptions!$W$17</f>
        <v>3BR</v>
      </c>
      <c r="H71" s="76">
        <f>H$66*INDEX(Assumptions!$Y$14:$Y$17,MATCH(G71,Assumptions!$W$14:$W$17,0))</f>
        <v>0</v>
      </c>
      <c r="I71" s="32">
        <f>Assumptions!$R$38</f>
        <v>2000</v>
      </c>
      <c r="J71" s="379">
        <f>Assumptions!$R$39*(1+K$66)</f>
        <v>1.5145</v>
      </c>
      <c r="K71" s="380">
        <f>12*H71*I71*J71</f>
        <v>0</v>
      </c>
      <c r="L71" s="12"/>
      <c r="M71" s="31" t="str">
        <f>Assumptions!$W$17</f>
        <v>3BR</v>
      </c>
      <c r="N71" s="76">
        <f>N$66*INDEX(Assumptions!$Y$14:$Y$17,MATCH(M71,Assumptions!$W$14:$W$17,0))</f>
        <v>0</v>
      </c>
      <c r="O71" s="32">
        <f>Assumptions!$R$38</f>
        <v>2000</v>
      </c>
      <c r="P71" s="379">
        <f>Assumptions!$R$39*(1+Q$66)</f>
        <v>1.5145</v>
      </c>
      <c r="Q71" s="380">
        <f>12*N71*O71*P71</f>
        <v>0</v>
      </c>
      <c r="R71" s="12"/>
      <c r="S71" s="307"/>
      <c r="T71" s="100"/>
      <c r="U71" s="308"/>
      <c r="V71" s="309"/>
      <c r="W71" s="125"/>
      <c r="X71" s="100"/>
    </row>
    <row r="72" spans="1:24" ht="15" customHeight="1" thickTop="1" thickBot="1">
      <c r="A72" s="7" t="s">
        <v>425</v>
      </c>
      <c r="B72" s="8">
        <f>SUM(B68:B71)</f>
        <v>0</v>
      </c>
      <c r="C72" s="9">
        <f>SUMPRODUCT(B68:B71,C68:C71)</f>
        <v>0</v>
      </c>
      <c r="D72" s="61"/>
      <c r="E72" s="62">
        <f>SUM(E68:E71)</f>
        <v>0</v>
      </c>
      <c r="G72" s="7" t="s">
        <v>425</v>
      </c>
      <c r="H72" s="8">
        <f>SUM(H68:H71)</f>
        <v>0</v>
      </c>
      <c r="I72" s="9">
        <f>SUMPRODUCT(H68:H71,I68:I71)</f>
        <v>0</v>
      </c>
      <c r="J72" s="61"/>
      <c r="K72" s="62">
        <f>SUM(K68:K71)</f>
        <v>0</v>
      </c>
      <c r="L72" s="12"/>
      <c r="M72" s="7" t="s">
        <v>425</v>
      </c>
      <c r="N72" s="8">
        <f>SUM(N68:N71)</f>
        <v>0</v>
      </c>
      <c r="O72" s="9">
        <f>SUMPRODUCT(N68:N71,O68:O71)</f>
        <v>0</v>
      </c>
      <c r="P72" s="61"/>
      <c r="Q72" s="62">
        <f>SUM(Q68:Q71)</f>
        <v>0</v>
      </c>
      <c r="R72" s="12"/>
      <c r="S72" s="12"/>
      <c r="T72" s="310"/>
      <c r="U72" s="311"/>
      <c r="V72" s="312"/>
      <c r="W72" s="122"/>
      <c r="X72" s="100"/>
    </row>
    <row r="73" spans="1:24" ht="15" customHeight="1" thickTop="1" thickBot="1">
      <c r="A73" s="10" t="s">
        <v>426</v>
      </c>
      <c r="B73" s="60"/>
      <c r="C73" s="11">
        <f>IFERROR(C72/B72,0)</f>
        <v>0</v>
      </c>
      <c r="D73" s="63">
        <f>IFERROR((E72/12)/C72,0)</f>
        <v>0</v>
      </c>
      <c r="E73" s="64"/>
      <c r="G73" s="10" t="s">
        <v>426</v>
      </c>
      <c r="H73" s="60"/>
      <c r="I73" s="11">
        <f>IFERROR(I72/H72,0)</f>
        <v>0</v>
      </c>
      <c r="J73" s="63">
        <f>IFERROR((K72/12)/I72,0)</f>
        <v>0</v>
      </c>
      <c r="K73" s="64"/>
      <c r="L73" s="12"/>
      <c r="M73" s="10" t="s">
        <v>426</v>
      </c>
      <c r="N73" s="60"/>
      <c r="O73" s="11">
        <f>IFERROR(O72/N72,0)</f>
        <v>0</v>
      </c>
      <c r="P73" s="63">
        <f>IFERROR((Q72/12)/O72,0)</f>
        <v>0</v>
      </c>
      <c r="Q73" s="64"/>
      <c r="R73" s="12"/>
      <c r="S73" s="12"/>
      <c r="T73" s="313"/>
      <c r="U73" s="314"/>
      <c r="V73" s="315"/>
      <c r="W73" s="12"/>
      <c r="X73" s="100"/>
    </row>
    <row r="74" spans="1:24" ht="15" customHeight="1">
      <c r="A74" s="104" t="s">
        <v>225</v>
      </c>
      <c r="B74" s="105" t="str">
        <f>B$39</f>
        <v>-</v>
      </c>
      <c r="C74" s="166" t="s">
        <v>419</v>
      </c>
      <c r="D74" s="111">
        <f>D$39*E$74</f>
        <v>0</v>
      </c>
      <c r="E74" s="106">
        <f>Assumptions!$Y$28</f>
        <v>0.77</v>
      </c>
      <c r="G74" s="104" t="s">
        <v>225</v>
      </c>
      <c r="H74" s="105" t="str">
        <f>H$39</f>
        <v>Multifamily-Affordable-Sale</v>
      </c>
      <c r="I74" s="166" t="s">
        <v>419</v>
      </c>
      <c r="J74" s="111">
        <f>J$39*K$74</f>
        <v>23253.707399999996</v>
      </c>
      <c r="K74" s="106">
        <f>Assumptions!$Y$28</f>
        <v>0.77</v>
      </c>
      <c r="L74" s="12"/>
      <c r="M74" s="104" t="s">
        <v>225</v>
      </c>
      <c r="N74" s="105" t="str">
        <f>N$39</f>
        <v>-</v>
      </c>
      <c r="O74" s="166" t="s">
        <v>419</v>
      </c>
      <c r="P74" s="111">
        <f>P$39*Q$74</f>
        <v>0</v>
      </c>
      <c r="Q74" s="106">
        <f>Assumptions!$Y$28</f>
        <v>0.77</v>
      </c>
      <c r="R74" s="12"/>
      <c r="S74" s="123"/>
      <c r="T74" s="99"/>
      <c r="U74" s="135"/>
      <c r="V74" s="295"/>
      <c r="W74" s="55"/>
      <c r="X74" s="100"/>
    </row>
    <row r="75" spans="1:24" ht="15" customHeight="1">
      <c r="A75" s="104" t="s">
        <v>420</v>
      </c>
      <c r="B75" s="160">
        <v>0</v>
      </c>
      <c r="C75" s="113" t="str">
        <f>IF(C80&gt;D74,"# of Units Over Available Area","# of Units Within Available Area")</f>
        <v># of Units Within Available Area</v>
      </c>
      <c r="D75" s="158"/>
      <c r="E75" s="159"/>
      <c r="G75" s="104" t="s">
        <v>420</v>
      </c>
      <c r="H75" s="160">
        <v>16</v>
      </c>
      <c r="I75" s="113" t="str">
        <f>IF(I80&gt;J74,"# of Units Over Available Area","# of Units Within Available Area")</f>
        <v># of Units Within Available Area</v>
      </c>
      <c r="J75" s="158"/>
      <c r="K75" s="159"/>
      <c r="L75" s="12"/>
      <c r="M75" s="104" t="s">
        <v>420</v>
      </c>
      <c r="N75" s="160">
        <v>0</v>
      </c>
      <c r="O75" s="113" t="str">
        <f>IF(O80&gt;P74,"# of Units Over Available Area","# of Units Within Available Area")</f>
        <v># of Units Within Available Area</v>
      </c>
      <c r="P75" s="158"/>
      <c r="Q75" s="159"/>
      <c r="R75" s="12"/>
      <c r="S75" s="123"/>
      <c r="T75" s="296"/>
      <c r="U75" s="297"/>
      <c r="V75" s="112"/>
      <c r="W75" s="102"/>
      <c r="X75" s="100"/>
    </row>
    <row r="76" spans="1:24" ht="15" customHeight="1">
      <c r="A76" s="107" t="s">
        <v>308</v>
      </c>
      <c r="B76" s="108" t="s">
        <v>427</v>
      </c>
      <c r="C76" s="109" t="s">
        <v>428</v>
      </c>
      <c r="D76" s="108" t="s">
        <v>74</v>
      </c>
      <c r="E76" s="110" t="s">
        <v>429</v>
      </c>
      <c r="G76" s="107" t="s">
        <v>308</v>
      </c>
      <c r="H76" s="108" t="s">
        <v>427</v>
      </c>
      <c r="I76" s="109" t="s">
        <v>428</v>
      </c>
      <c r="J76" s="108" t="s">
        <v>74</v>
      </c>
      <c r="K76" s="110" t="s">
        <v>429</v>
      </c>
      <c r="L76" s="12"/>
      <c r="M76" s="107" t="s">
        <v>308</v>
      </c>
      <c r="N76" s="108" t="s">
        <v>427</v>
      </c>
      <c r="O76" s="109" t="s">
        <v>428</v>
      </c>
      <c r="P76" s="108" t="s">
        <v>74</v>
      </c>
      <c r="Q76" s="110" t="s">
        <v>429</v>
      </c>
      <c r="R76" s="12"/>
      <c r="S76" s="123"/>
      <c r="T76" s="124"/>
      <c r="U76" s="276"/>
      <c r="V76" s="124"/>
      <c r="W76" s="124"/>
      <c r="X76" s="100"/>
    </row>
    <row r="77" spans="1:24" ht="15" customHeight="1">
      <c r="A77" s="31" t="str">
        <f>Assumptions!$W$19</f>
        <v>1BR</v>
      </c>
      <c r="B77" s="76">
        <f>B$75*INDEX(Assumptions!$Y$19:$Y$21,MATCH(A77,Assumptions!$W$19:$W$21,0))</f>
        <v>0</v>
      </c>
      <c r="C77" s="32">
        <f>Assumptions!$S$18</f>
        <v>1000</v>
      </c>
      <c r="D77" s="379">
        <f>Assumptions!$S$32</f>
        <v>268</v>
      </c>
      <c r="E77" s="380">
        <f>B77*C77*D77</f>
        <v>0</v>
      </c>
      <c r="G77" s="31" t="str">
        <f>Assumptions!$W$19</f>
        <v>1BR</v>
      </c>
      <c r="H77" s="76">
        <f>H$75*INDEX(Assumptions!$Y$19:$Y$21,MATCH(G77,Assumptions!$W$19:$W$21,0))</f>
        <v>8</v>
      </c>
      <c r="I77" s="32">
        <f>Assumptions!$S$18</f>
        <v>1000</v>
      </c>
      <c r="J77" s="379">
        <f>Assumptions!$S$32</f>
        <v>268</v>
      </c>
      <c r="K77" s="380">
        <f>H77*I77*J77</f>
        <v>2144000</v>
      </c>
      <c r="L77" s="12"/>
      <c r="M77" s="31" t="str">
        <f>Assumptions!$W$19</f>
        <v>1BR</v>
      </c>
      <c r="N77" s="76">
        <f>N$75*INDEX(Assumptions!$Y$19:$Y$21,MATCH(M77,Assumptions!$W$19:$W$21,0))</f>
        <v>0</v>
      </c>
      <c r="O77" s="32">
        <f>Assumptions!$S$18</f>
        <v>1000</v>
      </c>
      <c r="P77" s="379">
        <f>Assumptions!$S$32</f>
        <v>268</v>
      </c>
      <c r="Q77" s="380">
        <f>N77*O77*P77</f>
        <v>0</v>
      </c>
      <c r="R77" s="12"/>
      <c r="S77" s="307"/>
      <c r="T77" s="100"/>
      <c r="U77" s="308"/>
      <c r="V77" s="309"/>
      <c r="W77" s="125"/>
      <c r="X77" s="100"/>
    </row>
    <row r="78" spans="1:24" ht="15" customHeight="1">
      <c r="A78" s="31" t="str">
        <f>Assumptions!$W$20</f>
        <v>2BR</v>
      </c>
      <c r="B78" s="76">
        <f>B$75*INDEX(Assumptions!$Y$19:$Y$21,MATCH(A78,Assumptions!$W$19:$W$21,0))</f>
        <v>0</v>
      </c>
      <c r="C78" s="32">
        <f>Assumptions!$S$21</f>
        <v>1500</v>
      </c>
      <c r="D78" s="379">
        <f>Assumptions!$S$36</f>
        <v>216</v>
      </c>
      <c r="E78" s="380">
        <f>B78*C78*D78</f>
        <v>0</v>
      </c>
      <c r="G78" s="31" t="str">
        <f>Assumptions!$W$20</f>
        <v>2BR</v>
      </c>
      <c r="H78" s="76">
        <f>H$75*INDEX(Assumptions!$Y$19:$Y$21,MATCH(G78,Assumptions!$W$19:$W$21,0))</f>
        <v>4.8</v>
      </c>
      <c r="I78" s="32">
        <f>Assumptions!$S$21</f>
        <v>1500</v>
      </c>
      <c r="J78" s="379">
        <f>Assumptions!$S$36</f>
        <v>216</v>
      </c>
      <c r="K78" s="380">
        <f>H78*I78*J78</f>
        <v>1555200</v>
      </c>
      <c r="L78" s="12"/>
      <c r="M78" s="31" t="str">
        <f>Assumptions!$W$20</f>
        <v>2BR</v>
      </c>
      <c r="N78" s="76">
        <f>N$75*INDEX(Assumptions!$Y$19:$Y$21,MATCH(M78,Assumptions!$W$19:$W$21,0))</f>
        <v>0</v>
      </c>
      <c r="O78" s="32">
        <f>Assumptions!$S$21</f>
        <v>1500</v>
      </c>
      <c r="P78" s="379">
        <f>Assumptions!$S$36</f>
        <v>216</v>
      </c>
      <c r="Q78" s="380">
        <f>N78*O78*P78</f>
        <v>0</v>
      </c>
      <c r="R78" s="12"/>
      <c r="S78" s="307"/>
      <c r="T78" s="100"/>
      <c r="U78" s="308"/>
      <c r="V78" s="309"/>
      <c r="W78" s="125"/>
      <c r="X78" s="100"/>
    </row>
    <row r="79" spans="1:24" ht="15" customHeight="1" thickBot="1">
      <c r="A79" s="31" t="str">
        <f>Assumptions!$W$21</f>
        <v>3BR</v>
      </c>
      <c r="B79" s="76">
        <f>B$75*INDEX(Assumptions!$Y$19:$Y$21,MATCH(A79,Assumptions!$W$19:$W$21,0))</f>
        <v>0</v>
      </c>
      <c r="C79" s="378">
        <f>Assumptions!$S$24</f>
        <v>2300</v>
      </c>
      <c r="D79" s="379">
        <f>Assumptions!$S$39</f>
        <v>174.34782608695653</v>
      </c>
      <c r="E79" s="380">
        <f>B79*C79*D79</f>
        <v>0</v>
      </c>
      <c r="G79" s="31" t="str">
        <f>Assumptions!$W$21</f>
        <v>3BR</v>
      </c>
      <c r="H79" s="76">
        <f>H$75*INDEX(Assumptions!$Y$19:$Y$21,MATCH(G79,Assumptions!$W$19:$W$21,0))</f>
        <v>3.2</v>
      </c>
      <c r="I79" s="378">
        <f>Assumptions!$S$24</f>
        <v>2300</v>
      </c>
      <c r="J79" s="379">
        <f>Assumptions!$S$39</f>
        <v>174.34782608695653</v>
      </c>
      <c r="K79" s="380">
        <f>H79*I79*J79</f>
        <v>1283200</v>
      </c>
      <c r="L79" s="12"/>
      <c r="M79" s="31" t="str">
        <f>Assumptions!$W$21</f>
        <v>3BR</v>
      </c>
      <c r="N79" s="76">
        <f>N$75*INDEX(Assumptions!$Y$19:$Y$21,MATCH(M79,Assumptions!$W$19:$W$21,0))</f>
        <v>0</v>
      </c>
      <c r="O79" s="378">
        <f>Assumptions!$S$24</f>
        <v>2300</v>
      </c>
      <c r="P79" s="379">
        <f>Assumptions!$S$39</f>
        <v>174.34782608695653</v>
      </c>
      <c r="Q79" s="380">
        <f>N79*O79*P79</f>
        <v>0</v>
      </c>
      <c r="R79" s="12"/>
      <c r="S79" s="307"/>
      <c r="T79" s="100"/>
      <c r="U79" s="308"/>
      <c r="V79" s="309"/>
      <c r="W79" s="125"/>
      <c r="X79" s="100"/>
    </row>
    <row r="80" spans="1:24" ht="15" customHeight="1" thickTop="1" thickBot="1">
      <c r="A80" s="7" t="s">
        <v>425</v>
      </c>
      <c r="B80" s="8">
        <f>SUM(B77:B79)</f>
        <v>0</v>
      </c>
      <c r="C80" s="9">
        <f>SUMPRODUCT(B77:B79,C77:C79)</f>
        <v>0</v>
      </c>
      <c r="D80" s="61"/>
      <c r="E80" s="62">
        <f>SUM(E77:E79)</f>
        <v>0</v>
      </c>
      <c r="G80" s="7" t="s">
        <v>425</v>
      </c>
      <c r="H80" s="8">
        <f>SUM(H77:H79)</f>
        <v>16</v>
      </c>
      <c r="I80" s="9">
        <f>SUMPRODUCT(H77:H79,I77:I79)</f>
        <v>22560</v>
      </c>
      <c r="J80" s="61"/>
      <c r="K80" s="62">
        <f>SUM(K77:K79)</f>
        <v>4982400</v>
      </c>
      <c r="L80" s="12"/>
      <c r="M80" s="7" t="s">
        <v>425</v>
      </c>
      <c r="N80" s="8">
        <f>SUM(N77:N79)</f>
        <v>0</v>
      </c>
      <c r="O80" s="9">
        <f>SUMPRODUCT(N77:N79,O77:O79)</f>
        <v>0</v>
      </c>
      <c r="P80" s="61"/>
      <c r="Q80" s="62">
        <f>SUM(Q77:Q79)</f>
        <v>0</v>
      </c>
      <c r="R80" s="12"/>
      <c r="S80" s="12"/>
      <c r="T80" s="310"/>
      <c r="U80" s="311"/>
      <c r="V80" s="312"/>
      <c r="W80" s="122"/>
      <c r="X80" s="100"/>
    </row>
    <row r="81" spans="1:24" ht="15" customHeight="1" thickTop="1" thickBot="1">
      <c r="A81" s="10" t="s">
        <v>426</v>
      </c>
      <c r="B81" s="60"/>
      <c r="C81" s="11">
        <f>IFERROR(C80/B80,0)</f>
        <v>0</v>
      </c>
      <c r="D81" s="63">
        <f>IFERROR((E80/12)/C80,0)</f>
        <v>0</v>
      </c>
      <c r="E81" s="64"/>
      <c r="G81" s="10" t="s">
        <v>426</v>
      </c>
      <c r="H81" s="60"/>
      <c r="I81" s="11">
        <f>IFERROR(I80/H80,0)</f>
        <v>1410</v>
      </c>
      <c r="J81" s="63">
        <f>IFERROR((K80/12)/I80,0)</f>
        <v>18.404255319148938</v>
      </c>
      <c r="K81" s="64"/>
      <c r="L81" s="12"/>
      <c r="M81" s="10" t="s">
        <v>426</v>
      </c>
      <c r="N81" s="60"/>
      <c r="O81" s="11">
        <f>IFERROR(O80/N80,0)</f>
        <v>0</v>
      </c>
      <c r="P81" s="63">
        <f>IFERROR((Q80/12)/O80,0)</f>
        <v>0</v>
      </c>
      <c r="Q81" s="64"/>
      <c r="R81" s="12"/>
      <c r="S81" s="12"/>
      <c r="T81" s="313"/>
      <c r="U81" s="314"/>
      <c r="V81" s="315"/>
      <c r="W81" s="12"/>
      <c r="X81" s="100"/>
    </row>
    <row r="82" spans="1:24" ht="15" customHeight="1">
      <c r="A82" s="104" t="s">
        <v>226</v>
      </c>
      <c r="B82" s="105" t="str">
        <f>B$38</f>
        <v>-</v>
      </c>
      <c r="C82" s="166" t="s">
        <v>419</v>
      </c>
      <c r="D82" s="111">
        <f>D$40*E$82</f>
        <v>0</v>
      </c>
      <c r="E82" s="106">
        <f>Assumptions!$Y$29</f>
        <v>0.8</v>
      </c>
      <c r="G82" s="104" t="s">
        <v>226</v>
      </c>
      <c r="H82" s="105" t="str">
        <f>H$38</f>
        <v>-</v>
      </c>
      <c r="I82" s="166" t="s">
        <v>419</v>
      </c>
      <c r="J82" s="111">
        <f>J$40*K$82</f>
        <v>0</v>
      </c>
      <c r="K82" s="106">
        <f>Assumptions!$Y$29</f>
        <v>0.8</v>
      </c>
      <c r="M82" s="104" t="s">
        <v>226</v>
      </c>
      <c r="N82" s="105" t="str">
        <f>N$38</f>
        <v>-</v>
      </c>
      <c r="O82" s="166" t="s">
        <v>419</v>
      </c>
      <c r="P82" s="111">
        <f>P$40*Q$82</f>
        <v>0</v>
      </c>
      <c r="Q82" s="106">
        <f>Assumptions!$Y$29</f>
        <v>0.8</v>
      </c>
      <c r="S82" s="123"/>
      <c r="T82" s="99"/>
      <c r="U82" s="135"/>
      <c r="V82" s="295"/>
      <c r="W82" s="55"/>
    </row>
    <row r="83" spans="1:24" ht="15" customHeight="1">
      <c r="A83" s="104" t="s">
        <v>430</v>
      </c>
      <c r="B83" s="160">
        <v>0</v>
      </c>
      <c r="C83" s="113" t="str">
        <f>IF(C88&gt;D82,"# of Units Over Available Area","# of Units Within Available Area")</f>
        <v># of Units Within Available Area</v>
      </c>
      <c r="D83" s="112" t="s">
        <v>421</v>
      </c>
      <c r="E83" s="120">
        <v>0.3</v>
      </c>
      <c r="G83" s="104" t="s">
        <v>430</v>
      </c>
      <c r="H83" s="160">
        <v>0</v>
      </c>
      <c r="I83" s="113" t="str">
        <f>IF(I88&gt;J82,"# of Units Over Available Area","# of Units Within Available Area")</f>
        <v># of Units Within Available Area</v>
      </c>
      <c r="J83" s="112" t="s">
        <v>421</v>
      </c>
      <c r="K83" s="120">
        <v>0.3</v>
      </c>
      <c r="M83" s="104" t="s">
        <v>430</v>
      </c>
      <c r="N83" s="160">
        <v>0</v>
      </c>
      <c r="O83" s="113" t="str">
        <f>IF(O88&gt;P82,"# of Units Over Available Area","# of Units Within Available Area")</f>
        <v># of Units Within Available Area</v>
      </c>
      <c r="P83" s="112" t="s">
        <v>421</v>
      </c>
      <c r="Q83" s="120">
        <v>0.3</v>
      </c>
      <c r="S83" s="123"/>
      <c r="T83" s="296"/>
      <c r="U83" s="297"/>
      <c r="V83" s="112"/>
      <c r="W83" s="102"/>
    </row>
    <row r="84" spans="1:24" ht="15" customHeight="1">
      <c r="A84" s="107" t="s">
        <v>431</v>
      </c>
      <c r="B84" s="108" t="s">
        <v>427</v>
      </c>
      <c r="C84" s="109" t="s">
        <v>428</v>
      </c>
      <c r="D84" s="108" t="s">
        <v>432</v>
      </c>
      <c r="E84" s="110" t="s">
        <v>433</v>
      </c>
      <c r="G84" s="107" t="s">
        <v>431</v>
      </c>
      <c r="H84" s="108" t="s">
        <v>427</v>
      </c>
      <c r="I84" s="109" t="s">
        <v>428</v>
      </c>
      <c r="J84" s="108" t="s">
        <v>432</v>
      </c>
      <c r="K84" s="110" t="s">
        <v>433</v>
      </c>
      <c r="M84" s="107" t="s">
        <v>431</v>
      </c>
      <c r="N84" s="108" t="s">
        <v>427</v>
      </c>
      <c r="O84" s="109" t="s">
        <v>428</v>
      </c>
      <c r="P84" s="108" t="s">
        <v>432</v>
      </c>
      <c r="Q84" s="110" t="s">
        <v>433</v>
      </c>
      <c r="S84" s="123"/>
      <c r="T84" s="124"/>
      <c r="U84" s="276"/>
      <c r="V84" s="124"/>
      <c r="W84" s="124"/>
    </row>
    <row r="85" spans="1:24" ht="15" customHeight="1">
      <c r="A85" s="31" t="str">
        <f>Assumptions!$W$23</f>
        <v>Studio</v>
      </c>
      <c r="B85" s="76">
        <f>B$83*INDEX(Assumptions!$Y$23:$Y$25,MATCH(A85,Assumptions!$W$23:$W$25,0))</f>
        <v>0</v>
      </c>
      <c r="C85" s="32">
        <f>Assumptions!$R$42</f>
        <v>500</v>
      </c>
      <c r="D85" s="42">
        <f>Assumptions!$R$43*(1+$E$83)</f>
        <v>3.9000000000000004</v>
      </c>
      <c r="E85" s="43">
        <f>12*B85*C85*D85</f>
        <v>0</v>
      </c>
      <c r="G85" s="31" t="str">
        <f>Assumptions!$W$23</f>
        <v>Studio</v>
      </c>
      <c r="H85" s="76">
        <f>H$83*INDEX(Assumptions!$Y$23:$Y$25,MATCH(G85,Assumptions!$W$23:$W$25,0))</f>
        <v>0</v>
      </c>
      <c r="I85" s="32">
        <f>Assumptions!$R$42</f>
        <v>500</v>
      </c>
      <c r="J85" s="42">
        <f>Assumptions!$R$43*(1+$E$83)</f>
        <v>3.9000000000000004</v>
      </c>
      <c r="K85" s="43">
        <f>12*H85*I85*J85</f>
        <v>0</v>
      </c>
      <c r="M85" s="31" t="str">
        <f>Assumptions!$W$23</f>
        <v>Studio</v>
      </c>
      <c r="N85" s="76">
        <f>N$83*INDEX(Assumptions!$Y$23:$Y$25,MATCH(M85,Assumptions!$W$23:$W$25,0))</f>
        <v>0</v>
      </c>
      <c r="O85" s="32">
        <f>Assumptions!$R$42</f>
        <v>500</v>
      </c>
      <c r="P85" s="42">
        <f>Assumptions!$R$43*(1+$E$83)</f>
        <v>3.9000000000000004</v>
      </c>
      <c r="Q85" s="43">
        <f>12*N85*O85*P85</f>
        <v>0</v>
      </c>
      <c r="S85" s="307"/>
      <c r="T85" s="100"/>
      <c r="U85" s="308"/>
      <c r="V85" s="309"/>
      <c r="W85" s="125"/>
    </row>
    <row r="86" spans="1:24" ht="15" customHeight="1">
      <c r="A86" s="31" t="str">
        <f>Assumptions!$W$24</f>
        <v>1BR</v>
      </c>
      <c r="B86" s="76">
        <f>B$83*INDEX(Assumptions!$Y$23:$Y$25,MATCH(A86,Assumptions!$W$23:$W$25,0))</f>
        <v>0</v>
      </c>
      <c r="C86" s="378">
        <f>Assumptions!$R$45</f>
        <v>700</v>
      </c>
      <c r="D86" s="42">
        <f>Assumptions!$R$46*(1+$E$83)</f>
        <v>3.25</v>
      </c>
      <c r="E86" s="380">
        <f>12*B86*C86*D86</f>
        <v>0</v>
      </c>
      <c r="G86" s="31" t="str">
        <f>Assumptions!$W$24</f>
        <v>1BR</v>
      </c>
      <c r="H86" s="76">
        <f>H$83*INDEX(Assumptions!$Y$23:$Y$25,MATCH(G86,Assumptions!$W$23:$W$25,0))</f>
        <v>0</v>
      </c>
      <c r="I86" s="378">
        <f>Assumptions!$R$45</f>
        <v>700</v>
      </c>
      <c r="J86" s="42">
        <f>Assumptions!$R$46*(1+$E$83)</f>
        <v>3.25</v>
      </c>
      <c r="K86" s="380">
        <f>12*H86*I86*J86</f>
        <v>0</v>
      </c>
      <c r="M86" s="31" t="str">
        <f>Assumptions!$W$24</f>
        <v>1BR</v>
      </c>
      <c r="N86" s="76">
        <f>N$83*INDEX(Assumptions!$Y$23:$Y$25,MATCH(M86,Assumptions!$W$23:$W$25,0))</f>
        <v>0</v>
      </c>
      <c r="O86" s="378">
        <f>Assumptions!$R$45</f>
        <v>700</v>
      </c>
      <c r="P86" s="42">
        <f>Assumptions!$R$46*(1+$E$83)</f>
        <v>3.25</v>
      </c>
      <c r="Q86" s="380">
        <f>12*N86*O86*P86</f>
        <v>0</v>
      </c>
      <c r="S86" s="307"/>
      <c r="T86" s="100"/>
      <c r="U86" s="308"/>
      <c r="V86" s="309"/>
      <c r="W86" s="125"/>
    </row>
    <row r="87" spans="1:24" ht="15" customHeight="1" thickBot="1">
      <c r="A87" s="31" t="str">
        <f>Assumptions!$W$25</f>
        <v>2BR</v>
      </c>
      <c r="B87" s="76">
        <f>B$83*INDEX(Assumptions!$Y$23:$Y$25,MATCH(A87,Assumptions!$W$23:$W$25,0))</f>
        <v>0</v>
      </c>
      <c r="C87" s="32">
        <f>Assumptions!$R$48</f>
        <v>1100</v>
      </c>
      <c r="D87" s="42">
        <f>Assumptions!$R$49*(1+$E$83)</f>
        <v>2.9899999999999998</v>
      </c>
      <c r="E87" s="380">
        <f>12*B87*C87*D87</f>
        <v>0</v>
      </c>
      <c r="G87" s="31" t="str">
        <f>Assumptions!$W$25</f>
        <v>2BR</v>
      </c>
      <c r="H87" s="76">
        <f>H$83*INDEX(Assumptions!$Y$23:$Y$25,MATCH(G87,Assumptions!$W$23:$W$25,0))</f>
        <v>0</v>
      </c>
      <c r="I87" s="32">
        <f>Assumptions!$R$48</f>
        <v>1100</v>
      </c>
      <c r="J87" s="42">
        <f>Assumptions!$R$49*(1+$E$83)</f>
        <v>2.9899999999999998</v>
      </c>
      <c r="K87" s="380">
        <f>12*H87*I87*J87</f>
        <v>0</v>
      </c>
      <c r="M87" s="31" t="str">
        <f>Assumptions!$W$25</f>
        <v>2BR</v>
      </c>
      <c r="N87" s="76">
        <f>N$83*INDEX(Assumptions!$Y$23:$Y$25,MATCH(M87,Assumptions!$W$23:$W$25,0))</f>
        <v>0</v>
      </c>
      <c r="O87" s="32">
        <f>Assumptions!$R$48</f>
        <v>1100</v>
      </c>
      <c r="P87" s="42">
        <f>Assumptions!$R$49*(1+$E$83)</f>
        <v>2.9899999999999998</v>
      </c>
      <c r="Q87" s="380">
        <f>12*N87*O87*P87</f>
        <v>0</v>
      </c>
      <c r="S87" s="307"/>
      <c r="T87" s="100"/>
      <c r="U87" s="308"/>
      <c r="V87" s="309"/>
      <c r="W87" s="125"/>
    </row>
    <row r="88" spans="1:24" ht="15" customHeight="1" thickTop="1" thickBot="1">
      <c r="A88" s="7" t="s">
        <v>425</v>
      </c>
      <c r="B88" s="8">
        <f>SUM(B85:B87)</f>
        <v>0</v>
      </c>
      <c r="C88" s="9">
        <f>SUMPRODUCT(B85:B87,C85:C87)</f>
        <v>0</v>
      </c>
      <c r="D88" s="61"/>
      <c r="E88" s="62">
        <f>SUM(E85:E87)</f>
        <v>0</v>
      </c>
      <c r="G88" s="7" t="s">
        <v>425</v>
      </c>
      <c r="H88" s="8">
        <f>SUM(H85:H87)</f>
        <v>0</v>
      </c>
      <c r="I88" s="9">
        <f>SUMPRODUCT(H85:H87,I85:I87)</f>
        <v>0</v>
      </c>
      <c r="J88" s="61"/>
      <c r="K88" s="62">
        <f>SUM(K85:K87)</f>
        <v>0</v>
      </c>
      <c r="M88" s="7" t="s">
        <v>425</v>
      </c>
      <c r="N88" s="8">
        <f>SUM(N85:N87)</f>
        <v>0</v>
      </c>
      <c r="O88" s="9">
        <f>SUMPRODUCT(N85:N87,O85:O87)</f>
        <v>0</v>
      </c>
      <c r="P88" s="61"/>
      <c r="Q88" s="62">
        <f>SUM(Q85:Q87)</f>
        <v>0</v>
      </c>
      <c r="S88" s="12"/>
      <c r="T88" s="310"/>
      <c r="U88" s="311"/>
      <c r="V88" s="312"/>
      <c r="W88" s="122"/>
    </row>
    <row r="89" spans="1:24" ht="15" customHeight="1" thickTop="1" thickBot="1">
      <c r="A89" s="10" t="s">
        <v>426</v>
      </c>
      <c r="B89" s="60"/>
      <c r="C89" s="11">
        <f>IFERROR(C88/B88,0)</f>
        <v>0</v>
      </c>
      <c r="D89" s="63">
        <f>IFERROR((E88/12)/C88,0)</f>
        <v>0</v>
      </c>
      <c r="E89" s="64"/>
      <c r="G89" s="10" t="s">
        <v>426</v>
      </c>
      <c r="H89" s="60"/>
      <c r="I89" s="11">
        <f>IFERROR(I88/H88,0)</f>
        <v>0</v>
      </c>
      <c r="J89" s="63">
        <f>IFERROR((K88/12)/I88,0)</f>
        <v>0</v>
      </c>
      <c r="K89" s="64"/>
      <c r="M89" s="10" t="s">
        <v>426</v>
      </c>
      <c r="N89" s="60"/>
      <c r="O89" s="11">
        <f>IFERROR(O88/N88,0)</f>
        <v>0</v>
      </c>
      <c r="P89" s="63">
        <f>IFERROR((Q88/12)/O88,0)</f>
        <v>0</v>
      </c>
      <c r="Q89" s="64"/>
      <c r="S89" s="12"/>
      <c r="T89" s="313"/>
      <c r="U89" s="314"/>
      <c r="V89" s="315"/>
      <c r="W89" s="12"/>
    </row>
    <row r="90" spans="1:24" ht="15" customHeight="1">
      <c r="A90" s="104" t="s">
        <v>434</v>
      </c>
      <c r="B90" s="116" t="str">
        <f>B$41</f>
        <v>Retail</v>
      </c>
      <c r="C90" s="114"/>
      <c r="D90" s="115"/>
      <c r="E90" s="121"/>
      <c r="G90" s="104" t="s">
        <v>434</v>
      </c>
      <c r="H90" s="116" t="str">
        <f>H$41</f>
        <v>Retail</v>
      </c>
      <c r="I90" s="114"/>
      <c r="J90" s="115"/>
      <c r="K90" s="121"/>
      <c r="L90" s="126"/>
      <c r="M90" s="104" t="s">
        <v>434</v>
      </c>
      <c r="N90" s="116" t="str">
        <f>N$41</f>
        <v>-</v>
      </c>
      <c r="O90" s="114"/>
      <c r="P90" s="115"/>
      <c r="Q90" s="121"/>
      <c r="R90" s="126"/>
      <c r="S90" s="123"/>
      <c r="T90" s="299"/>
      <c r="U90" s="300"/>
      <c r="V90" s="316"/>
      <c r="W90" s="126"/>
    </row>
    <row r="91" spans="1:24" ht="15" customHeight="1">
      <c r="A91" s="107" t="s">
        <v>33</v>
      </c>
      <c r="B91" s="108" t="s">
        <v>435</v>
      </c>
      <c r="C91" s="109" t="s">
        <v>436</v>
      </c>
      <c r="D91" s="108" t="s">
        <v>437</v>
      </c>
      <c r="E91" s="110" t="s">
        <v>433</v>
      </c>
      <c r="G91" s="107" t="s">
        <v>33</v>
      </c>
      <c r="H91" s="108" t="s">
        <v>435</v>
      </c>
      <c r="I91" s="109" t="s">
        <v>436</v>
      </c>
      <c r="J91" s="108" t="s">
        <v>437</v>
      </c>
      <c r="K91" s="110" t="s">
        <v>433</v>
      </c>
      <c r="L91" s="124"/>
      <c r="M91" s="107" t="s">
        <v>33</v>
      </c>
      <c r="N91" s="108" t="s">
        <v>435</v>
      </c>
      <c r="O91" s="109" t="s">
        <v>436</v>
      </c>
      <c r="P91" s="108" t="s">
        <v>437</v>
      </c>
      <c r="Q91" s="110" t="s">
        <v>433</v>
      </c>
      <c r="R91" s="124"/>
      <c r="S91" s="123"/>
      <c r="T91" s="124"/>
      <c r="U91" s="276"/>
      <c r="V91" s="124"/>
      <c r="W91" s="124"/>
    </row>
    <row r="92" spans="1:24" ht="15" customHeight="1" thickBot="1">
      <c r="A92" s="381" t="s">
        <v>40</v>
      </c>
      <c r="B92" s="382">
        <f>IFERROR(IF(B$90=A92,D$41,0),0)</f>
        <v>116638.8</v>
      </c>
      <c r="C92" s="383">
        <f>IFERROR(B92*INDEX(Assumptions!$Y$30:$Y$31,MATCH(A92,Assumptions!$W$30:$W$31,0)),0)</f>
        <v>99142.98</v>
      </c>
      <c r="D92" s="384">
        <f>IF(C92&gt;0,INDEX(Assumptions!$R$5:$R$6,MATCH(A92,Assumptions!$Q$5:$Q$6,0)),0)</f>
        <v>32</v>
      </c>
      <c r="E92" s="385">
        <f>C92*D92</f>
        <v>3172575.36</v>
      </c>
      <c r="G92" s="381" t="s">
        <v>40</v>
      </c>
      <c r="H92" s="382">
        <f>IFERROR(IF(H$90=G92,J$41,0),0)</f>
        <v>101197</v>
      </c>
      <c r="I92" s="383">
        <f>IFERROR(H92*INDEX(Assumptions!$Y$30:$Y$31,MATCH(G92,Assumptions!$W$30:$W$31,0)),0)</f>
        <v>86017.45</v>
      </c>
      <c r="J92" s="384">
        <f>IF(I92&gt;0,INDEX(Assumptions!$R$5:$R$6,MATCH(G92,Assumptions!$Q$5:$Q$6,0)),0)</f>
        <v>32</v>
      </c>
      <c r="K92" s="385">
        <f>I92*J92</f>
        <v>2752558.4</v>
      </c>
      <c r="L92" s="127"/>
      <c r="M92" s="866" t="s">
        <v>40</v>
      </c>
      <c r="N92" s="867">
        <f>IFERROR(IF(N$90=M92,P$41,0),0)</f>
        <v>0</v>
      </c>
      <c r="O92" s="868">
        <f>IFERROR(N92*INDEX(Assumptions!$Y$30:$Y$31,MATCH(M92,Assumptions!$W$30:$W$31,0)),0)</f>
        <v>0</v>
      </c>
      <c r="P92" s="869">
        <f>IF(O92&gt;0,INDEX(Assumptions!$R$5:$R$6,MATCH(M92,Assumptions!$Q$5:$Q$6,0)),0)</f>
        <v>0</v>
      </c>
      <c r="Q92" s="870">
        <f>O92*P92</f>
        <v>0</v>
      </c>
      <c r="R92" s="127"/>
      <c r="S92" s="317"/>
      <c r="T92" s="100"/>
      <c r="U92" s="318"/>
      <c r="V92" s="319"/>
      <c r="W92" s="127"/>
    </row>
    <row r="93" spans="1:24" ht="15" customHeight="1" thickTop="1" thickBot="1">
      <c r="A93" s="1006" t="s">
        <v>425</v>
      </c>
      <c r="B93" s="40">
        <f>SUM(B92:B92)</f>
        <v>116638.8</v>
      </c>
      <c r="C93" s="40">
        <f>SUM(C92:C92)</f>
        <v>99142.98</v>
      </c>
      <c r="D93" s="38">
        <f>IF(B93=0,0,E93/B93)</f>
        <v>27.2</v>
      </c>
      <c r="E93" s="39">
        <f>SUM(E92:E92)</f>
        <v>3172575.36</v>
      </c>
      <c r="G93" s="1006" t="s">
        <v>425</v>
      </c>
      <c r="H93" s="40">
        <f>SUM(H92:H92)</f>
        <v>101197</v>
      </c>
      <c r="I93" s="40">
        <f>SUM(I92:I92)</f>
        <v>86017.45</v>
      </c>
      <c r="J93" s="38">
        <f>IF(H93=0,0,K93/H93)</f>
        <v>27.2</v>
      </c>
      <c r="K93" s="39">
        <f>SUM(K92:K92)</f>
        <v>2752558.4</v>
      </c>
      <c r="L93" s="127"/>
      <c r="M93" s="1006" t="s">
        <v>425</v>
      </c>
      <c r="N93" s="40">
        <f>SUM(N92:N92)</f>
        <v>0</v>
      </c>
      <c r="O93" s="40">
        <f>SUM(O92:O92)</f>
        <v>0</v>
      </c>
      <c r="P93" s="38">
        <f>IF(N93=0,0,Q93/N93)</f>
        <v>0</v>
      </c>
      <c r="Q93" s="39">
        <f>SUM(Q92:Q92)</f>
        <v>0</v>
      </c>
      <c r="R93" s="127"/>
      <c r="S93" s="12"/>
      <c r="T93" s="320"/>
      <c r="U93" s="320"/>
      <c r="V93" s="319"/>
      <c r="W93" s="127"/>
    </row>
    <row r="94" spans="1:24" ht="15" customHeight="1">
      <c r="A94" s="104" t="s">
        <v>438</v>
      </c>
      <c r="B94" s="116" t="str">
        <f>B$42</f>
        <v>-</v>
      </c>
      <c r="C94" s="114"/>
      <c r="D94" s="115"/>
      <c r="E94" s="121"/>
      <c r="G94" s="104" t="s">
        <v>438</v>
      </c>
      <c r="H94" s="116" t="str">
        <f>H$42</f>
        <v>-</v>
      </c>
      <c r="I94" s="114"/>
      <c r="J94" s="115"/>
      <c r="K94" s="121"/>
      <c r="L94" s="126"/>
      <c r="M94" s="104" t="s">
        <v>438</v>
      </c>
      <c r="N94" s="116" t="str">
        <f>N$42</f>
        <v>-</v>
      </c>
      <c r="O94" s="114"/>
      <c r="P94" s="115"/>
      <c r="Q94" s="121"/>
      <c r="R94" s="126"/>
      <c r="S94" s="123"/>
      <c r="T94" s="299"/>
      <c r="U94" s="300"/>
      <c r="V94" s="316"/>
      <c r="W94" s="126"/>
    </row>
    <row r="95" spans="1:24" ht="15" customHeight="1">
      <c r="A95" s="107" t="s">
        <v>33</v>
      </c>
      <c r="B95" s="108" t="s">
        <v>435</v>
      </c>
      <c r="C95" s="109" t="s">
        <v>436</v>
      </c>
      <c r="D95" s="108" t="s">
        <v>437</v>
      </c>
      <c r="E95" s="110" t="s">
        <v>433</v>
      </c>
      <c r="G95" s="107" t="s">
        <v>33</v>
      </c>
      <c r="H95" s="108" t="s">
        <v>435</v>
      </c>
      <c r="I95" s="109" t="s">
        <v>436</v>
      </c>
      <c r="J95" s="108" t="s">
        <v>437</v>
      </c>
      <c r="K95" s="110" t="s">
        <v>433</v>
      </c>
      <c r="L95" s="124"/>
      <c r="M95" s="107" t="s">
        <v>33</v>
      </c>
      <c r="N95" s="108" t="s">
        <v>435</v>
      </c>
      <c r="O95" s="109" t="s">
        <v>436</v>
      </c>
      <c r="P95" s="108" t="s">
        <v>437</v>
      </c>
      <c r="Q95" s="110" t="s">
        <v>433</v>
      </c>
      <c r="R95" s="124"/>
      <c r="S95" s="123"/>
      <c r="T95" s="124"/>
      <c r="U95" s="276"/>
      <c r="V95" s="124"/>
      <c r="W95" s="124"/>
    </row>
    <row r="96" spans="1:24" ht="15" customHeight="1" thickBot="1">
      <c r="A96" s="381" t="s">
        <v>44</v>
      </c>
      <c r="B96" s="382">
        <f>IFERROR(IF(B$94=A96,D$42,0),0)</f>
        <v>0</v>
      </c>
      <c r="C96" s="383">
        <f>IFERROR(B96*INDEX(Assumptions!$Y$30:$Y$31,MATCH(A96,Assumptions!$W$30:$W$31,0)),0)</f>
        <v>0</v>
      </c>
      <c r="D96" s="384">
        <f>IF(C96&gt;0,INDEX(Assumptions!$R$5:$R$6,MATCH(A96,Assumptions!$Q$5:$Q$6,0)),0)</f>
        <v>0</v>
      </c>
      <c r="E96" s="385">
        <f>IF(D$43&gt;0,0,C96*D96*12)</f>
        <v>0</v>
      </c>
      <c r="G96" s="381" t="s">
        <v>44</v>
      </c>
      <c r="H96" s="382">
        <f>IFERROR(IF(H$94=G96,J$42,0),0)</f>
        <v>0</v>
      </c>
      <c r="I96" s="383">
        <f>IFERROR(H96*INDEX(Assumptions!$Y$30:$Y$31,MATCH(G96,Assumptions!$W$30:$W$31,0)),0)</f>
        <v>0</v>
      </c>
      <c r="J96" s="384">
        <f>IF(I96&gt;0,INDEX(Assumptions!$R$5:$R$6,MATCH(G96,Assumptions!$Q$5:$Q$6,0)),0)</f>
        <v>0</v>
      </c>
      <c r="K96" s="385">
        <f>I96*J96</f>
        <v>0</v>
      </c>
      <c r="L96" s="127"/>
      <c r="M96" s="381" t="s">
        <v>44</v>
      </c>
      <c r="N96" s="382">
        <f>IFERROR(IF(N$94=M96,P$42,0),0)</f>
        <v>0</v>
      </c>
      <c r="O96" s="383">
        <f>IFERROR(N96*INDEX(Assumptions!$Y$30:$Y$31,MATCH(M96,Assumptions!$W$30:$W$31,0)),0)</f>
        <v>0</v>
      </c>
      <c r="P96" s="384">
        <f>IF(O96&gt;0,INDEX(Assumptions!$R$5:$R$6,MATCH(M96,Assumptions!$Q$5:$Q$6,0)),0)</f>
        <v>0</v>
      </c>
      <c r="Q96" s="385">
        <f>O96*P96</f>
        <v>0</v>
      </c>
      <c r="R96" s="127"/>
      <c r="S96" s="317"/>
      <c r="T96" s="100"/>
      <c r="U96" s="318"/>
      <c r="V96" s="319"/>
      <c r="W96" s="127"/>
    </row>
    <row r="97" spans="1:23" ht="15" customHeight="1" thickTop="1" thickBot="1">
      <c r="A97" s="1006" t="s">
        <v>425</v>
      </c>
      <c r="B97" s="40">
        <f>SUM(B96:B96)</f>
        <v>0</v>
      </c>
      <c r="C97" s="40">
        <f>SUM(C96:C96)</f>
        <v>0</v>
      </c>
      <c r="D97" s="38">
        <f>IF(B97=0,0,E97/B97)</f>
        <v>0</v>
      </c>
      <c r="E97" s="39">
        <f>SUM(E96:E96)</f>
        <v>0</v>
      </c>
      <c r="G97" s="1006" t="s">
        <v>425</v>
      </c>
      <c r="H97" s="40">
        <f>SUM(H96:H96)</f>
        <v>0</v>
      </c>
      <c r="I97" s="40">
        <f>SUM(I96:I96)</f>
        <v>0</v>
      </c>
      <c r="J97" s="38">
        <f>IF(H97=0,0,K97/H97)</f>
        <v>0</v>
      </c>
      <c r="K97" s="39">
        <f>SUM(K96:K96)</f>
        <v>0</v>
      </c>
      <c r="L97" s="127"/>
      <c r="M97" s="1006" t="s">
        <v>425</v>
      </c>
      <c r="N97" s="40">
        <f>SUM(N96:N96)</f>
        <v>0</v>
      </c>
      <c r="O97" s="40">
        <f>SUM(O96:O96)</f>
        <v>0</v>
      </c>
      <c r="P97" s="38">
        <f>IF(N97=0,0,Q97/N97)</f>
        <v>0</v>
      </c>
      <c r="Q97" s="39">
        <f>SUM(Q96:Q96)</f>
        <v>0</v>
      </c>
      <c r="R97" s="127"/>
      <c r="S97" s="12"/>
      <c r="T97" s="320"/>
      <c r="U97" s="320"/>
      <c r="V97" s="319"/>
      <c r="W97" s="127"/>
    </row>
    <row r="98" spans="1:23" ht="15" customHeight="1">
      <c r="A98" s="104" t="s">
        <v>439</v>
      </c>
      <c r="B98" s="116" t="str">
        <f>B$43</f>
        <v>-</v>
      </c>
      <c r="C98" s="114"/>
      <c r="D98" s="115"/>
      <c r="E98" s="121"/>
      <c r="G98" s="104" t="s">
        <v>439</v>
      </c>
      <c r="H98" s="116" t="str">
        <f>H$43</f>
        <v>-</v>
      </c>
      <c r="I98" s="114"/>
      <c r="J98" s="115"/>
      <c r="K98" s="121"/>
      <c r="L98" s="126"/>
      <c r="M98" s="104" t="s">
        <v>439</v>
      </c>
      <c r="N98" s="116" t="str">
        <f>N$43</f>
        <v>-</v>
      </c>
      <c r="O98" s="114"/>
      <c r="P98" s="115"/>
      <c r="Q98" s="121"/>
      <c r="R98" s="126"/>
      <c r="S98" s="123"/>
      <c r="T98" s="299"/>
      <c r="U98" s="300"/>
      <c r="V98" s="316"/>
      <c r="W98" s="126"/>
    </row>
    <row r="99" spans="1:23" ht="15" customHeight="1">
      <c r="A99" s="107" t="s">
        <v>33</v>
      </c>
      <c r="B99" s="108" t="s">
        <v>435</v>
      </c>
      <c r="C99" s="109"/>
      <c r="D99" s="108" t="s">
        <v>74</v>
      </c>
      <c r="E99" s="110" t="s">
        <v>429</v>
      </c>
      <c r="G99" s="107" t="s">
        <v>33</v>
      </c>
      <c r="H99" s="108" t="s">
        <v>435</v>
      </c>
      <c r="I99" s="109"/>
      <c r="J99" s="108" t="s">
        <v>74</v>
      </c>
      <c r="K99" s="110" t="s">
        <v>429</v>
      </c>
      <c r="L99" s="124"/>
      <c r="M99" s="107" t="s">
        <v>33</v>
      </c>
      <c r="N99" s="108" t="s">
        <v>435</v>
      </c>
      <c r="O99" s="109"/>
      <c r="P99" s="108" t="s">
        <v>74</v>
      </c>
      <c r="Q99" s="110" t="s">
        <v>429</v>
      </c>
      <c r="R99" s="124"/>
      <c r="S99" s="123"/>
      <c r="T99" s="124"/>
      <c r="U99" s="276"/>
      <c r="V99" s="124"/>
      <c r="W99" s="124"/>
    </row>
    <row r="100" spans="1:23" ht="15" customHeight="1" thickBot="1">
      <c r="A100" s="381" t="s">
        <v>51</v>
      </c>
      <c r="B100" s="386">
        <f>IFERROR(IF(B$98=A100,D$43,0),0)</f>
        <v>0</v>
      </c>
      <c r="C100" s="383"/>
      <c r="D100" s="384">
        <f>Assumptions!$S$8</f>
        <v>500</v>
      </c>
      <c r="E100" s="385">
        <f>C100*D100</f>
        <v>0</v>
      </c>
      <c r="G100" s="381" t="s">
        <v>51</v>
      </c>
      <c r="H100" s="386">
        <f>IFERROR(IF(H$98=G100,J$43,0),0)</f>
        <v>0</v>
      </c>
      <c r="I100" s="383"/>
      <c r="J100" s="384">
        <f>Assumptions!$S$8</f>
        <v>500</v>
      </c>
      <c r="K100" s="385">
        <f>H100*J100</f>
        <v>0</v>
      </c>
      <c r="L100" s="127"/>
      <c r="M100" s="381" t="s">
        <v>51</v>
      </c>
      <c r="N100" s="386">
        <f>IFERROR(IF(N$98=M100,P$43,0),0)</f>
        <v>0</v>
      </c>
      <c r="O100" s="383"/>
      <c r="P100" s="384">
        <f>Assumptions!$S$8</f>
        <v>500</v>
      </c>
      <c r="Q100" s="385">
        <f>N100*P100</f>
        <v>0</v>
      </c>
      <c r="R100" s="127"/>
      <c r="S100" s="317"/>
      <c r="T100" s="100"/>
      <c r="U100" s="318"/>
      <c r="V100" s="319"/>
      <c r="W100" s="127"/>
    </row>
    <row r="101" spans="1:23" ht="15" customHeight="1" thickTop="1" thickBot="1">
      <c r="A101" s="1006" t="s">
        <v>425</v>
      </c>
      <c r="B101" s="40">
        <f>SUM(B100:B100)</f>
        <v>0</v>
      </c>
      <c r="C101" s="40"/>
      <c r="D101" s="38">
        <f>IF(B101=0,0,E101/B101)</f>
        <v>0</v>
      </c>
      <c r="E101" s="39">
        <f>SUM(E100:E100)</f>
        <v>0</v>
      </c>
      <c r="G101" s="1006" t="s">
        <v>425</v>
      </c>
      <c r="H101" s="40">
        <f>SUM(H100:H100)</f>
        <v>0</v>
      </c>
      <c r="I101" s="40"/>
      <c r="J101" s="38">
        <f>IF(H101=0,0,K101/H101)</f>
        <v>0</v>
      </c>
      <c r="K101" s="39">
        <f>SUM(K100:K100)</f>
        <v>0</v>
      </c>
      <c r="L101" s="127"/>
      <c r="M101" s="1006" t="s">
        <v>425</v>
      </c>
      <c r="N101" s="40">
        <f>SUM(N100:N100)</f>
        <v>0</v>
      </c>
      <c r="O101" s="40"/>
      <c r="P101" s="38">
        <f>IF(N101=0,0,Q101/N101)</f>
        <v>0</v>
      </c>
      <c r="Q101" s="39">
        <f>SUM(Q100:Q100)</f>
        <v>0</v>
      </c>
      <c r="R101" s="127"/>
      <c r="S101" s="12"/>
      <c r="T101" s="320"/>
      <c r="U101" s="320"/>
      <c r="V101" s="319"/>
      <c r="W101" s="127"/>
    </row>
    <row r="102" spans="1:23" ht="15" customHeight="1">
      <c r="A102" s="104" t="s">
        <v>440</v>
      </c>
      <c r="B102" s="116" t="str">
        <f>B$44</f>
        <v>-</v>
      </c>
      <c r="C102" s="114"/>
      <c r="D102" s="115"/>
      <c r="E102" s="121"/>
      <c r="G102" s="104" t="s">
        <v>440</v>
      </c>
      <c r="H102" s="116" t="str">
        <f>H$44</f>
        <v>-</v>
      </c>
      <c r="I102" s="114"/>
      <c r="J102" s="115"/>
      <c r="K102" s="121"/>
      <c r="L102" s="127"/>
      <c r="M102" s="104" t="s">
        <v>440</v>
      </c>
      <c r="N102" s="116" t="str">
        <f>N$44</f>
        <v>-</v>
      </c>
      <c r="O102" s="114"/>
      <c r="P102" s="115"/>
      <c r="Q102" s="121"/>
      <c r="R102" s="127"/>
      <c r="S102" s="123"/>
      <c r="T102" s="299"/>
      <c r="U102" s="300"/>
      <c r="V102" s="316"/>
      <c r="W102" s="126"/>
    </row>
    <row r="103" spans="1:23" ht="15" customHeight="1">
      <c r="A103" s="107" t="s">
        <v>33</v>
      </c>
      <c r="B103" s="108" t="s">
        <v>435</v>
      </c>
      <c r="C103" s="109" t="s">
        <v>441</v>
      </c>
      <c r="D103" s="108" t="s">
        <v>437</v>
      </c>
      <c r="E103" s="110" t="s">
        <v>433</v>
      </c>
      <c r="G103" s="107" t="s">
        <v>33</v>
      </c>
      <c r="H103" s="108" t="s">
        <v>435</v>
      </c>
      <c r="I103" s="109" t="s">
        <v>441</v>
      </c>
      <c r="J103" s="108" t="s">
        <v>437</v>
      </c>
      <c r="K103" s="110" t="s">
        <v>433</v>
      </c>
      <c r="L103" s="127"/>
      <c r="M103" s="107" t="s">
        <v>33</v>
      </c>
      <c r="N103" s="108" t="s">
        <v>435</v>
      </c>
      <c r="O103" s="109" t="s">
        <v>441</v>
      </c>
      <c r="P103" s="108" t="s">
        <v>437</v>
      </c>
      <c r="Q103" s="110" t="s">
        <v>433</v>
      </c>
      <c r="R103" s="127"/>
      <c r="S103" s="123"/>
      <c r="T103" s="124"/>
      <c r="U103" s="276"/>
      <c r="V103" s="124"/>
      <c r="W103" s="124"/>
    </row>
    <row r="104" spans="1:23" ht="15" customHeight="1" thickBot="1">
      <c r="A104" s="381" t="s">
        <v>48</v>
      </c>
      <c r="B104" s="386">
        <f>IFERROR(IF(B$102=A104,D$44,0),0)</f>
        <v>0</v>
      </c>
      <c r="C104" s="383">
        <f>IFERROR(B104*INDEX(Assumptions!$Y$32:$Y$32,MATCH(A104,Assumptions!$W$32:$W$32,0)),0)</f>
        <v>0</v>
      </c>
      <c r="D104" s="384">
        <f>IF(C104&gt;0,INDEX(Assumptions!$R$7:$R$7,MATCH(A104,Assumptions!$Q$7:$Q$7,0)),0)</f>
        <v>0</v>
      </c>
      <c r="E104" s="385">
        <f>C104*D104</f>
        <v>0</v>
      </c>
      <c r="G104" s="381" t="s">
        <v>48</v>
      </c>
      <c r="H104" s="386">
        <f>IFERROR(IF(H$102=G104,J$44,0),0)</f>
        <v>0</v>
      </c>
      <c r="I104" s="383">
        <f>IFERROR(H104*INDEX(Assumptions!$Y$32:$Y$32,MATCH(G104,Assumptions!$W$32:$W$32,0)),0)</f>
        <v>0</v>
      </c>
      <c r="J104" s="384">
        <f>IF(I104&gt;0,INDEX(Assumptions!$R$7:$R$7,MATCH(G104,Assumptions!$Q$7:$Q$7,0)),0)</f>
        <v>0</v>
      </c>
      <c r="K104" s="59">
        <f>I104*J104</f>
        <v>0</v>
      </c>
      <c r="L104" s="127"/>
      <c r="M104" s="381" t="s">
        <v>48</v>
      </c>
      <c r="N104" s="386">
        <f>IFERROR(IF(N$102=M104,P$44,0),0)</f>
        <v>0</v>
      </c>
      <c r="O104" s="383">
        <f>IFERROR(N104*INDEX(Assumptions!$Y$32:$Y$32,MATCH(M104,Assumptions!$W$32:$W$32,0)),0)</f>
        <v>0</v>
      </c>
      <c r="P104" s="384">
        <f>IF(O104&gt;0,INDEX(Assumptions!$R$7:$R$7,MATCH(M104,Assumptions!$Q$7:$Q$7,0)),0)</f>
        <v>0</v>
      </c>
      <c r="Q104" s="385">
        <f>O104*P104</f>
        <v>0</v>
      </c>
      <c r="R104" s="127"/>
      <c r="S104" s="317"/>
      <c r="T104" s="100"/>
      <c r="U104" s="318"/>
      <c r="V104" s="319"/>
      <c r="W104" s="127"/>
    </row>
    <row r="105" spans="1:23" ht="15" customHeight="1" thickTop="1" thickBot="1">
      <c r="A105" s="1006" t="s">
        <v>425</v>
      </c>
      <c r="B105" s="40">
        <f>SUM(B104)</f>
        <v>0</v>
      </c>
      <c r="C105" s="40">
        <f>SUM(C104)</f>
        <v>0</v>
      </c>
      <c r="D105" s="38">
        <f>IF(B105=0,0,E105/B105)</f>
        <v>0</v>
      </c>
      <c r="E105" s="39">
        <f>SUM(E104)</f>
        <v>0</v>
      </c>
      <c r="G105" s="1006" t="s">
        <v>425</v>
      </c>
      <c r="H105" s="40">
        <f>SUM(H104)</f>
        <v>0</v>
      </c>
      <c r="I105" s="40">
        <f>SUM(I104)</f>
        <v>0</v>
      </c>
      <c r="J105" s="38">
        <f>IF(H105=0,0,K105/H105)</f>
        <v>0</v>
      </c>
      <c r="K105" s="39">
        <f>SUM(K104)</f>
        <v>0</v>
      </c>
      <c r="L105" s="127"/>
      <c r="M105" s="1006" t="s">
        <v>425</v>
      </c>
      <c r="N105" s="40">
        <f>SUM(N104)</f>
        <v>0</v>
      </c>
      <c r="O105" s="40">
        <f>SUM(O104)</f>
        <v>0</v>
      </c>
      <c r="P105" s="38">
        <f>IF(N105=0,0,Q105/N105)</f>
        <v>0</v>
      </c>
      <c r="Q105" s="39">
        <f>SUM(Q104)</f>
        <v>0</v>
      </c>
      <c r="R105" s="127"/>
      <c r="S105" s="12"/>
      <c r="T105" s="320"/>
      <c r="U105" s="320"/>
      <c r="V105" s="319"/>
      <c r="W105" s="127"/>
    </row>
    <row r="106" spans="1:23" ht="15" customHeight="1">
      <c r="A106" s="1007" t="s">
        <v>418</v>
      </c>
      <c r="B106" s="1008" t="s">
        <v>435</v>
      </c>
      <c r="C106" s="1009" t="s">
        <v>442</v>
      </c>
      <c r="D106" s="1009" t="s">
        <v>443</v>
      </c>
      <c r="E106" s="1010" t="s">
        <v>433</v>
      </c>
      <c r="G106" s="1007" t="s">
        <v>418</v>
      </c>
      <c r="H106" s="1008" t="s">
        <v>435</v>
      </c>
      <c r="I106" s="1009" t="s">
        <v>442</v>
      </c>
      <c r="J106" s="1009" t="s">
        <v>443</v>
      </c>
      <c r="K106" s="1010" t="s">
        <v>433</v>
      </c>
      <c r="M106" s="1007" t="s">
        <v>418</v>
      </c>
      <c r="N106" s="1008" t="s">
        <v>435</v>
      </c>
      <c r="O106" s="1009" t="s">
        <v>442</v>
      </c>
      <c r="P106" s="1009" t="s">
        <v>443</v>
      </c>
      <c r="Q106" s="1010" t="s">
        <v>433</v>
      </c>
      <c r="S106" s="123"/>
      <c r="T106" s="124"/>
      <c r="U106" s="276"/>
      <c r="V106" s="276"/>
      <c r="W106" s="124"/>
    </row>
    <row r="107" spans="1:23" ht="15" customHeight="1" thickBot="1">
      <c r="A107" s="387"/>
      <c r="B107" s="388">
        <f>D45</f>
        <v>0</v>
      </c>
      <c r="C107" s="389">
        <f>IF(B107=0,0,IFERROR((B107/Assumptions!$Y$35)-1,0))</f>
        <v>0</v>
      </c>
      <c r="D107" s="390"/>
      <c r="E107" s="385"/>
      <c r="G107" s="387"/>
      <c r="H107" s="388">
        <f>J45</f>
        <v>0</v>
      </c>
      <c r="I107" s="389">
        <f>IF(H107=0,0,IFERROR((H107/Assumptions!$Y$35)-1,0))</f>
        <v>0</v>
      </c>
      <c r="J107" s="390"/>
      <c r="K107" s="385"/>
      <c r="M107" s="387"/>
      <c r="N107" s="388">
        <f>P45</f>
        <v>0</v>
      </c>
      <c r="O107" s="389">
        <f>IF(N107=0,0,IFERROR((N107/Assumptions!$Y$35)-1,0))</f>
        <v>0</v>
      </c>
      <c r="P107" s="390"/>
      <c r="Q107" s="385"/>
      <c r="T107" s="83"/>
      <c r="U107" s="168"/>
      <c r="W107" s="127"/>
    </row>
    <row r="108" spans="1:23" ht="15" customHeight="1" thickTop="1">
      <c r="A108" s="163" t="s">
        <v>61</v>
      </c>
      <c r="B108" s="128">
        <f>IF(B34="Parking Lot",B107*50%,B$107*B46)</f>
        <v>0</v>
      </c>
      <c r="C108" s="259">
        <f>IF(B108=0,0,IFERROR((B108/Assumptions!$Y$35)-1,0))</f>
        <v>0</v>
      </c>
      <c r="D108" s="36">
        <f>Assumptions!$Y36</f>
        <v>300</v>
      </c>
      <c r="E108" s="59">
        <f>IF(OR(D$37&gt;0,D$39&gt;0,D$40&gt;0,D$43&gt;0),0,IF(B$58&gt;0,0,IF(C108&lt;0,0,C108*D108*12)))</f>
        <v>0</v>
      </c>
      <c r="G108" s="163" t="s">
        <v>61</v>
      </c>
      <c r="H108" s="128">
        <f>IF(H34="Parking Lot",H107*50%,H$107*H46)</f>
        <v>0</v>
      </c>
      <c r="I108" s="259">
        <f>IF(H108=0,0,IFERROR((H108/Assumptions!$Y$35)-1,0))</f>
        <v>0</v>
      </c>
      <c r="J108" s="36">
        <f>Assumptions!$Y36</f>
        <v>300</v>
      </c>
      <c r="K108" s="59">
        <f>IF(OR(J$37&gt;0,J$39&gt;0,J$40&gt;0,J$43&gt;0),0,IF(H$58&gt;0,0,IF(I108&lt;0,0,I108*J108*12)))</f>
        <v>0</v>
      </c>
      <c r="M108" s="163" t="s">
        <v>61</v>
      </c>
      <c r="N108" s="128">
        <f>IF(N34="Parking Lot",N107*50%,N$107*N46)</f>
        <v>0</v>
      </c>
      <c r="O108" s="259">
        <f>IF(N108=0,0,IFERROR((N108/Assumptions!$Y$35)-1,0))</f>
        <v>0</v>
      </c>
      <c r="P108" s="36">
        <f>Assumptions!$Y36</f>
        <v>300</v>
      </c>
      <c r="Q108" s="59">
        <f>IF(OR(P$37&gt;0,P$39&gt;0,P$40&gt;0,P$43&gt;0),0,IF(N$58&gt;0,0,IF(O108&lt;0,0,O108*P108*12)))</f>
        <v>0</v>
      </c>
      <c r="S108" s="321"/>
      <c r="T108" s="83"/>
      <c r="U108" s="168"/>
      <c r="V108" s="286"/>
      <c r="W108" s="127"/>
    </row>
    <row r="109" spans="1:23" ht="15" customHeight="1">
      <c r="A109" s="391" t="s">
        <v>239</v>
      </c>
      <c r="B109" s="392">
        <f>B107-B108-B110</f>
        <v>0</v>
      </c>
      <c r="C109" s="393">
        <f>IF(B109=0,0,IFERROR((B109/Assumptions!$Y$35)-1,0))</f>
        <v>0</v>
      </c>
      <c r="D109" s="394">
        <f>Assumptions!$Y37</f>
        <v>250</v>
      </c>
      <c r="E109" s="59">
        <f>IF(OR(D$37&gt;0,D$39&gt;0,D$40&gt;0,D$43&gt;0),0,IF(B$58&gt;0,0,IF(C109&lt;0,0,C109*D109*12)))</f>
        <v>0</v>
      </c>
      <c r="G109" s="391" t="s">
        <v>239</v>
      </c>
      <c r="H109" s="392">
        <f>H107-H108-H110</f>
        <v>0</v>
      </c>
      <c r="I109" s="393">
        <f>IF(H109=0,0,IFERROR((H109/Assumptions!$Y$35)-1,0))</f>
        <v>0</v>
      </c>
      <c r="J109" s="394">
        <f>Assumptions!$Y37</f>
        <v>250</v>
      </c>
      <c r="K109" s="59">
        <f>IF(OR(J$37&gt;0,J$39&gt;0,J$40&gt;0,J$43&gt;0),0,IF(H$58&gt;0,0,IF(I109&lt;0,0,I109*J109*12)))</f>
        <v>0</v>
      </c>
      <c r="M109" s="391" t="s">
        <v>239</v>
      </c>
      <c r="N109" s="392">
        <f>N107-N108-N110</f>
        <v>0</v>
      </c>
      <c r="O109" s="393">
        <f>IF(N109=0,0,IFERROR((N109/Assumptions!$Y$35)-1,0))</f>
        <v>0</v>
      </c>
      <c r="P109" s="394">
        <f>Assumptions!$Y37</f>
        <v>250</v>
      </c>
      <c r="Q109" s="59">
        <f>IF(OR(P$37&gt;0,P$39&gt;0,P$40&gt;0,P$43&gt;0),0,IF(N$58&gt;0,0,IF(O109&lt;0,0,O109*P109*12)))</f>
        <v>0</v>
      </c>
      <c r="S109" s="203"/>
      <c r="T109" s="83"/>
      <c r="U109" s="168"/>
      <c r="V109" s="286"/>
      <c r="W109" s="127"/>
    </row>
    <row r="110" spans="1:23" ht="15" customHeight="1" thickBot="1">
      <c r="A110" s="395" t="s">
        <v>122</v>
      </c>
      <c r="B110" s="396">
        <v>0</v>
      </c>
      <c r="C110" s="397">
        <f>IF(B110=0,0,IFERROR((B110/Assumptions!$Y$35)-1,0))</f>
        <v>0</v>
      </c>
      <c r="D110" s="398">
        <f>Assumptions!$Y38</f>
        <v>50</v>
      </c>
      <c r="E110" s="39">
        <f>IF(OR(D$37&gt;0,D$39&gt;0,D$40&gt;0,D$43&gt;0),0,IF(B$58&gt;0,0,IF(C110&lt;0,0,C110*D110*12)))</f>
        <v>0</v>
      </c>
      <c r="G110" s="395" t="s">
        <v>122</v>
      </c>
      <c r="H110" s="396">
        <v>0</v>
      </c>
      <c r="I110" s="397">
        <f>IF(H110=0,0,IFERROR((H110/Assumptions!$Y$35)-1,0))</f>
        <v>0</v>
      </c>
      <c r="J110" s="398">
        <f>Assumptions!$Y38</f>
        <v>50</v>
      </c>
      <c r="K110" s="39">
        <f>IF(OR(J$37&gt;0,J$39&gt;0,J$40&gt;0,J$43&gt;0),0,IF(H$58&gt;0,0,IF(I110&lt;0,0,I110*J110*12)))</f>
        <v>0</v>
      </c>
      <c r="M110" s="395" t="s">
        <v>122</v>
      </c>
      <c r="N110" s="396">
        <v>0</v>
      </c>
      <c r="O110" s="397">
        <f>IF(N110=0,0,IFERROR((N110/Assumptions!$Y$35)-1,0))</f>
        <v>0</v>
      </c>
      <c r="P110" s="398">
        <f>Assumptions!$Y38</f>
        <v>50</v>
      </c>
      <c r="Q110" s="39">
        <f>IF(OR(P$37&gt;0,P$39&gt;0,P$40&gt;0,P$43&gt;0),0,IF(N$58&gt;0,0,IF(O110&lt;0,0,O110*P110*12)))</f>
        <v>0</v>
      </c>
      <c r="S110" s="203"/>
      <c r="T110" s="322"/>
      <c r="U110" s="168"/>
      <c r="V110" s="286"/>
      <c r="W110" s="127"/>
    </row>
    <row r="111" spans="1:23" ht="15" customHeight="1" thickBot="1">
      <c r="A111" s="203"/>
      <c r="B111" s="83"/>
      <c r="C111" s="204"/>
      <c r="D111" s="202"/>
      <c r="E111" s="127"/>
      <c r="G111" s="203"/>
      <c r="H111" s="83"/>
      <c r="I111" s="204"/>
      <c r="J111" s="202"/>
      <c r="K111" s="127"/>
      <c r="M111" s="203"/>
      <c r="N111" s="83"/>
      <c r="O111" s="204"/>
      <c r="P111" s="202"/>
      <c r="Q111" s="127"/>
      <c r="S111" s="203"/>
      <c r="T111" s="83"/>
      <c r="U111" s="301"/>
      <c r="V111" s="286"/>
      <c r="W111" s="127"/>
    </row>
    <row r="112" spans="1:23" ht="15" customHeight="1" thickBot="1">
      <c r="A112" s="1011" t="s">
        <v>444</v>
      </c>
      <c r="B112" s="80"/>
      <c r="C112" s="77" t="str">
        <f>B34</f>
        <v>Retail Buildings</v>
      </c>
      <c r="D112" s="77"/>
      <c r="E112" s="1012"/>
      <c r="F112" s="12"/>
      <c r="G112" s="1011" t="s">
        <v>444</v>
      </c>
      <c r="H112" s="80"/>
      <c r="I112" s="77" t="str">
        <f>H34</f>
        <v>Condo +  Retail 2</v>
      </c>
      <c r="J112" s="77"/>
      <c r="K112" s="1012"/>
      <c r="L112" s="12"/>
      <c r="M112" s="1011" t="s">
        <v>444</v>
      </c>
      <c r="N112" s="80"/>
      <c r="O112" s="77">
        <f>N34</f>
        <v>0</v>
      </c>
      <c r="P112" s="77"/>
      <c r="Q112" s="1012"/>
      <c r="R112" s="12"/>
      <c r="S112" s="274"/>
      <c r="T112" s="274"/>
      <c r="U112" s="129"/>
      <c r="V112" s="129"/>
      <c r="W112" s="274"/>
    </row>
    <row r="113" spans="1:23" ht="13.5" thickBot="1">
      <c r="A113" s="1013" t="s">
        <v>445</v>
      </c>
      <c r="B113" s="78" t="s">
        <v>446</v>
      </c>
      <c r="C113" s="78" t="s">
        <v>447</v>
      </c>
      <c r="D113" s="78" t="s">
        <v>448</v>
      </c>
      <c r="E113" s="1014" t="s">
        <v>449</v>
      </c>
      <c r="F113" s="12"/>
      <c r="G113" s="1013" t="s">
        <v>445</v>
      </c>
      <c r="H113" s="78" t="s">
        <v>446</v>
      </c>
      <c r="I113" s="78" t="s">
        <v>447</v>
      </c>
      <c r="J113" s="78" t="s">
        <v>448</v>
      </c>
      <c r="K113" s="1014" t="s">
        <v>449</v>
      </c>
      <c r="L113" s="12"/>
      <c r="M113" s="1013" t="s">
        <v>445</v>
      </c>
      <c r="N113" s="78" t="s">
        <v>446</v>
      </c>
      <c r="O113" s="78" t="s">
        <v>447</v>
      </c>
      <c r="P113" s="78" t="s">
        <v>448</v>
      </c>
      <c r="Q113" s="1014" t="s">
        <v>449</v>
      </c>
      <c r="R113" s="12"/>
      <c r="S113" s="123"/>
      <c r="T113" s="124"/>
      <c r="U113" s="124"/>
      <c r="V113" s="124"/>
      <c r="W113" s="124"/>
    </row>
    <row r="114" spans="1:23" ht="12.6">
      <c r="A114" s="33" t="s">
        <v>450</v>
      </c>
      <c r="B114" s="34"/>
      <c r="C114" s="35"/>
      <c r="D114" s="82"/>
      <c r="E114" s="13">
        <f>SUM(E55,E72,E88)</f>
        <v>0</v>
      </c>
      <c r="F114" s="12"/>
      <c r="G114" s="33" t="s">
        <v>450</v>
      </c>
      <c r="H114" s="34"/>
      <c r="I114" s="35"/>
      <c r="J114" s="82"/>
      <c r="K114" s="13">
        <f>SUM(K55,K72,K88)</f>
        <v>0</v>
      </c>
      <c r="L114" s="12"/>
      <c r="M114" s="33" t="s">
        <v>450</v>
      </c>
      <c r="N114" s="34"/>
      <c r="O114" s="35"/>
      <c r="P114" s="82"/>
      <c r="Q114" s="13">
        <f>SUM(Q55,Q72,Q88)</f>
        <v>0</v>
      </c>
      <c r="R114" s="12"/>
      <c r="S114" s="12"/>
      <c r="T114" s="286"/>
      <c r="U114" s="323"/>
      <c r="V114" s="324"/>
      <c r="W114" s="286"/>
    </row>
    <row r="115" spans="1:23" ht="12.6">
      <c r="A115" s="91" t="s">
        <v>451</v>
      </c>
      <c r="B115" s="34"/>
      <c r="C115" s="35"/>
      <c r="D115" s="399"/>
      <c r="E115" s="92">
        <f>SUM(E93,E97)</f>
        <v>3172575.36</v>
      </c>
      <c r="F115" s="12"/>
      <c r="G115" s="91" t="s">
        <v>451</v>
      </c>
      <c r="H115" s="34"/>
      <c r="I115" s="35"/>
      <c r="J115" s="399"/>
      <c r="K115" s="92">
        <f>SUM(K93,K97)</f>
        <v>2752558.4</v>
      </c>
      <c r="L115" s="12"/>
      <c r="M115" s="91" t="s">
        <v>451</v>
      </c>
      <c r="N115" s="34"/>
      <c r="O115" s="35"/>
      <c r="P115" s="399"/>
      <c r="Q115" s="92">
        <f>SUM(Q93,Q97)</f>
        <v>0</v>
      </c>
      <c r="R115" s="12"/>
      <c r="S115" s="12"/>
      <c r="T115" s="286"/>
      <c r="U115" s="323"/>
      <c r="V115" s="324"/>
      <c r="W115" s="286"/>
    </row>
    <row r="116" spans="1:23" ht="12.6">
      <c r="A116" s="400" t="s">
        <v>452</v>
      </c>
      <c r="B116" s="1077"/>
      <c r="C116" s="1078"/>
      <c r="D116" s="401"/>
      <c r="E116" s="1015">
        <f>E105</f>
        <v>0</v>
      </c>
      <c r="F116" s="12"/>
      <c r="G116" s="400" t="s">
        <v>452</v>
      </c>
      <c r="H116" s="1077"/>
      <c r="I116" s="1078"/>
      <c r="J116" s="401"/>
      <c r="K116" s="1015">
        <f>K105</f>
        <v>0</v>
      </c>
      <c r="L116" s="12"/>
      <c r="M116" s="400" t="s">
        <v>452</v>
      </c>
      <c r="N116" s="1077"/>
      <c r="O116" s="1078"/>
      <c r="P116" s="401"/>
      <c r="Q116" s="1015">
        <f>Q105</f>
        <v>0</v>
      </c>
      <c r="R116" s="12"/>
      <c r="S116" s="325"/>
      <c r="T116" s="1079"/>
      <c r="U116" s="1079"/>
      <c r="V116" s="326"/>
      <c r="W116" s="286"/>
    </row>
    <row r="117" spans="1:23" ht="12.95">
      <c r="A117" s="402" t="s">
        <v>453</v>
      </c>
      <c r="B117" s="89"/>
      <c r="C117" s="89"/>
      <c r="D117" s="86"/>
      <c r="E117" s="403">
        <f>SUM(E114:E116)</f>
        <v>3172575.36</v>
      </c>
      <c r="F117" s="12"/>
      <c r="G117" s="402" t="s">
        <v>453</v>
      </c>
      <c r="H117" s="89"/>
      <c r="I117" s="89"/>
      <c r="J117" s="86"/>
      <c r="K117" s="403">
        <f>SUM(K114:K116)</f>
        <v>2752558.4</v>
      </c>
      <c r="L117" s="12"/>
      <c r="M117" s="402" t="s">
        <v>453</v>
      </c>
      <c r="N117" s="89"/>
      <c r="O117" s="89"/>
      <c r="P117" s="86"/>
      <c r="Q117" s="403">
        <f>SUM(Q114:Q116)</f>
        <v>0</v>
      </c>
      <c r="R117" s="12"/>
      <c r="S117" s="277"/>
      <c r="T117" s="302"/>
      <c r="U117" s="302"/>
      <c r="V117" s="167"/>
      <c r="W117" s="167"/>
    </row>
    <row r="118" spans="1:23" ht="12.95">
      <c r="A118" s="1071"/>
      <c r="B118" s="1072"/>
      <c r="C118" s="1072"/>
      <c r="D118" s="1072"/>
      <c r="E118" s="1073"/>
      <c r="F118" s="12"/>
      <c r="G118" s="1071"/>
      <c r="H118" s="1072"/>
      <c r="I118" s="1072"/>
      <c r="J118" s="1072"/>
      <c r="K118" s="1073"/>
      <c r="L118" s="12"/>
      <c r="M118" s="1071"/>
      <c r="N118" s="1072"/>
      <c r="O118" s="1072"/>
      <c r="P118" s="1072"/>
      <c r="Q118" s="1073"/>
      <c r="R118" s="12"/>
      <c r="S118" s="1074"/>
      <c r="T118" s="1074"/>
      <c r="U118" s="1074"/>
      <c r="V118" s="1074"/>
      <c r="W118" s="1074"/>
    </row>
    <row r="119" spans="1:23" ht="12.95">
      <c r="A119" s="95" t="s">
        <v>454</v>
      </c>
      <c r="B119" s="85"/>
      <c r="C119" s="85"/>
      <c r="D119" s="85"/>
      <c r="E119" s="96"/>
      <c r="F119" s="12"/>
      <c r="G119" s="95" t="s">
        <v>454</v>
      </c>
      <c r="H119" s="85"/>
      <c r="I119" s="85"/>
      <c r="J119" s="85"/>
      <c r="K119" s="96"/>
      <c r="L119" s="12"/>
      <c r="M119" s="95" t="s">
        <v>454</v>
      </c>
      <c r="N119" s="85"/>
      <c r="O119" s="85"/>
      <c r="P119" s="85"/>
      <c r="Q119" s="96"/>
      <c r="R119" s="12"/>
      <c r="S119" s="277"/>
      <c r="T119" s="167"/>
      <c r="U119" s="167"/>
      <c r="V119" s="167"/>
      <c r="W119" s="167"/>
    </row>
    <row r="120" spans="1:23" ht="12.6">
      <c r="A120" s="404" t="s">
        <v>455</v>
      </c>
      <c r="B120" s="394"/>
      <c r="C120" s="401"/>
      <c r="D120" s="401"/>
      <c r="E120" s="405">
        <f>E108</f>
        <v>0</v>
      </c>
      <c r="F120" s="12"/>
      <c r="G120" s="404" t="s">
        <v>455</v>
      </c>
      <c r="H120" s="394"/>
      <c r="I120" s="401"/>
      <c r="J120" s="401"/>
      <c r="K120" s="405">
        <f>K108</f>
        <v>0</v>
      </c>
      <c r="L120" s="12"/>
      <c r="M120" s="404" t="s">
        <v>455</v>
      </c>
      <c r="N120" s="394"/>
      <c r="O120" s="401"/>
      <c r="P120" s="401"/>
      <c r="Q120" s="405">
        <f>Q108</f>
        <v>0</v>
      </c>
      <c r="R120" s="12"/>
      <c r="S120" s="327"/>
      <c r="T120" s="286"/>
      <c r="U120" s="326"/>
      <c r="V120" s="326"/>
      <c r="W120" s="286"/>
    </row>
    <row r="121" spans="1:23" ht="12.6">
      <c r="A121" s="404" t="s">
        <v>456</v>
      </c>
      <c r="B121" s="394"/>
      <c r="C121" s="401"/>
      <c r="D121" s="401"/>
      <c r="E121" s="405">
        <f>E109</f>
        <v>0</v>
      </c>
      <c r="F121" s="12"/>
      <c r="G121" s="404" t="s">
        <v>456</v>
      </c>
      <c r="H121" s="394"/>
      <c r="I121" s="401"/>
      <c r="J121" s="401"/>
      <c r="K121" s="405">
        <f>K109</f>
        <v>0</v>
      </c>
      <c r="L121" s="12"/>
      <c r="M121" s="404" t="s">
        <v>456</v>
      </c>
      <c r="N121" s="394"/>
      <c r="O121" s="401"/>
      <c r="P121" s="401"/>
      <c r="Q121" s="405">
        <f>Q109</f>
        <v>0</v>
      </c>
      <c r="R121" s="12"/>
      <c r="S121" s="327"/>
      <c r="T121" s="286"/>
      <c r="U121" s="326"/>
      <c r="V121" s="326"/>
      <c r="W121" s="286"/>
    </row>
    <row r="122" spans="1:23" ht="12.6">
      <c r="A122" s="404" t="s">
        <v>457</v>
      </c>
      <c r="B122" s="394"/>
      <c r="C122" s="401"/>
      <c r="D122" s="401"/>
      <c r="E122" s="405">
        <f>E110</f>
        <v>0</v>
      </c>
      <c r="F122" s="12"/>
      <c r="G122" s="404" t="s">
        <v>457</v>
      </c>
      <c r="H122" s="394"/>
      <c r="I122" s="401"/>
      <c r="J122" s="401"/>
      <c r="K122" s="405">
        <f>K110</f>
        <v>0</v>
      </c>
      <c r="L122" s="12"/>
      <c r="M122" s="404" t="s">
        <v>457</v>
      </c>
      <c r="N122" s="394"/>
      <c r="O122" s="401"/>
      <c r="P122" s="401"/>
      <c r="Q122" s="405">
        <f>Q110</f>
        <v>0</v>
      </c>
      <c r="R122" s="12"/>
      <c r="S122" s="327"/>
      <c r="T122" s="286"/>
      <c r="U122" s="326"/>
      <c r="V122" s="326"/>
      <c r="W122" s="286"/>
    </row>
    <row r="123" spans="1:23" ht="12.6">
      <c r="A123" s="404" t="s">
        <v>458</v>
      </c>
      <c r="B123" s="401"/>
      <c r="C123" s="401"/>
      <c r="D123" s="401"/>
      <c r="E123" s="405">
        <f>Assumptions!$L$44*E117</f>
        <v>95177.260799999989</v>
      </c>
      <c r="F123" s="12"/>
      <c r="G123" s="404" t="s">
        <v>458</v>
      </c>
      <c r="H123" s="401"/>
      <c r="I123" s="401"/>
      <c r="J123" s="401"/>
      <c r="K123" s="405">
        <f>Assumptions!$L$44*K117</f>
        <v>82576.751999999993</v>
      </c>
      <c r="L123" s="12"/>
      <c r="M123" s="404" t="s">
        <v>458</v>
      </c>
      <c r="N123" s="401"/>
      <c r="O123" s="401"/>
      <c r="P123" s="401"/>
      <c r="Q123" s="405">
        <f>Assumptions!$L$44*Q117</f>
        <v>0</v>
      </c>
      <c r="R123" s="12"/>
      <c r="S123" s="327"/>
      <c r="T123" s="326"/>
      <c r="U123" s="326"/>
      <c r="V123" s="326"/>
      <c r="W123" s="286"/>
    </row>
    <row r="124" spans="1:23" ht="13.5" thickBot="1">
      <c r="A124" s="84" t="s">
        <v>459</v>
      </c>
      <c r="B124" s="72"/>
      <c r="C124" s="87"/>
      <c r="D124" s="406"/>
      <c r="E124" s="73">
        <f>SUM(E120:E123)</f>
        <v>95177.260799999989</v>
      </c>
      <c r="F124" s="12"/>
      <c r="G124" s="84" t="s">
        <v>459</v>
      </c>
      <c r="H124" s="72"/>
      <c r="I124" s="87"/>
      <c r="J124" s="406"/>
      <c r="K124" s="73">
        <f>SUM(K120:K123)</f>
        <v>82576.751999999993</v>
      </c>
      <c r="L124" s="12"/>
      <c r="M124" s="84" t="s">
        <v>459</v>
      </c>
      <c r="N124" s="72"/>
      <c r="O124" s="87"/>
      <c r="P124" s="406"/>
      <c r="Q124" s="73">
        <f>SUM(Q120:Q123)</f>
        <v>0</v>
      </c>
      <c r="R124" s="12"/>
      <c r="S124" s="328"/>
      <c r="T124" s="167"/>
      <c r="U124" s="167"/>
      <c r="V124" s="167"/>
      <c r="W124" s="167"/>
    </row>
    <row r="125" spans="1:23" ht="14.1" thickTop="1" thickBot="1">
      <c r="A125" s="27">
        <v>0.05</v>
      </c>
      <c r="B125" s="74"/>
      <c r="C125" s="88"/>
      <c r="D125" s="94"/>
      <c r="E125" s="79">
        <f>-A125*E117</f>
        <v>-158628.76800000001</v>
      </c>
      <c r="F125" s="12"/>
      <c r="G125" s="27">
        <v>0.05</v>
      </c>
      <c r="H125" s="74"/>
      <c r="I125" s="88"/>
      <c r="J125" s="94"/>
      <c r="K125" s="79">
        <f>-G125*K117</f>
        <v>-137627.92000000001</v>
      </c>
      <c r="L125" s="12"/>
      <c r="M125" s="27">
        <v>0.05</v>
      </c>
      <c r="N125" s="74"/>
      <c r="O125" s="88"/>
      <c r="P125" s="94"/>
      <c r="Q125" s="79">
        <f>-M125*Q117</f>
        <v>0</v>
      </c>
      <c r="R125" s="12"/>
      <c r="S125" s="329"/>
      <c r="T125" s="286"/>
      <c r="U125" s="286"/>
      <c r="V125" s="286"/>
      <c r="W125" s="286"/>
    </row>
    <row r="126" spans="1:23" ht="14.1" thickTop="1" thickBot="1">
      <c r="A126" s="1016" t="s">
        <v>460</v>
      </c>
      <c r="B126" s="14"/>
      <c r="C126" s="1017"/>
      <c r="D126" s="93"/>
      <c r="E126" s="1018">
        <f>E117+E124+E125</f>
        <v>3109123.8527999995</v>
      </c>
      <c r="F126" s="12"/>
      <c r="G126" s="1016" t="s">
        <v>460</v>
      </c>
      <c r="H126" s="14"/>
      <c r="I126" s="1017"/>
      <c r="J126" s="93"/>
      <c r="K126" s="1018">
        <f>K117+K124+K125</f>
        <v>2697507.2319999998</v>
      </c>
      <c r="L126" s="12"/>
      <c r="M126" s="1016" t="s">
        <v>460</v>
      </c>
      <c r="N126" s="14"/>
      <c r="O126" s="1017"/>
      <c r="P126" s="93"/>
      <c r="Q126" s="1018">
        <f>Q117+Q124+Q125</f>
        <v>0</v>
      </c>
      <c r="R126" s="12"/>
      <c r="S126" s="330"/>
      <c r="T126" s="167"/>
      <c r="U126" s="331"/>
      <c r="V126" s="331"/>
      <c r="W126" s="167"/>
    </row>
    <row r="127" spans="1:23" ht="13.5" thickBot="1">
      <c r="A127" s="6" t="s">
        <v>461</v>
      </c>
      <c r="B127" s="78" t="s">
        <v>462</v>
      </c>
      <c r="C127" s="78"/>
      <c r="D127" s="78"/>
      <c r="E127" s="15" t="s">
        <v>463</v>
      </c>
      <c r="F127" s="12"/>
      <c r="G127" s="6" t="s">
        <v>461</v>
      </c>
      <c r="H127" s="78" t="s">
        <v>462</v>
      </c>
      <c r="I127" s="78"/>
      <c r="J127" s="78"/>
      <c r="K127" s="15" t="s">
        <v>463</v>
      </c>
      <c r="L127" s="12"/>
      <c r="M127" s="6" t="s">
        <v>461</v>
      </c>
      <c r="N127" s="78" t="s">
        <v>462</v>
      </c>
      <c r="O127" s="78"/>
      <c r="P127" s="78"/>
      <c r="Q127" s="15" t="s">
        <v>463</v>
      </c>
      <c r="R127" s="12"/>
      <c r="S127" s="123"/>
      <c r="T127" s="124"/>
      <c r="U127" s="124"/>
      <c r="V127" s="124"/>
      <c r="W127" s="124"/>
    </row>
    <row r="128" spans="1:23" ht="13.5" thickBot="1">
      <c r="A128" s="97" t="s">
        <v>464</v>
      </c>
      <c r="B128" s="90"/>
      <c r="C128" s="16"/>
      <c r="D128" s="16"/>
      <c r="E128" s="98">
        <f>-0.3*E117</f>
        <v>-951772.60799999989</v>
      </c>
      <c r="F128" s="12"/>
      <c r="G128" s="97" t="s">
        <v>464</v>
      </c>
      <c r="H128" s="90"/>
      <c r="I128" s="16"/>
      <c r="J128" s="16"/>
      <c r="K128" s="98">
        <f>-0.3*K117</f>
        <v>-825767.5199999999</v>
      </c>
      <c r="L128" s="12"/>
      <c r="M128" s="97" t="s">
        <v>464</v>
      </c>
      <c r="N128" s="90"/>
      <c r="O128" s="16"/>
      <c r="P128" s="16"/>
      <c r="Q128" s="98">
        <f>-0.3*Q117</f>
        <v>0</v>
      </c>
      <c r="R128" s="12"/>
      <c r="S128" s="289"/>
      <c r="T128" s="332"/>
      <c r="U128" s="333"/>
      <c r="V128" s="333"/>
      <c r="W128" s="333"/>
    </row>
    <row r="129" spans="1:25" ht="13.5" thickBot="1">
      <c r="A129" s="1019" t="s">
        <v>465</v>
      </c>
      <c r="B129" s="81"/>
      <c r="C129" s="81"/>
      <c r="D129" s="81"/>
      <c r="E129" s="1020">
        <f>E126+E128</f>
        <v>2157351.2447999995</v>
      </c>
      <c r="F129" s="12"/>
      <c r="G129" s="1019" t="s">
        <v>465</v>
      </c>
      <c r="H129" s="81"/>
      <c r="I129" s="81"/>
      <c r="J129" s="81"/>
      <c r="K129" s="1020">
        <f>K126+K128</f>
        <v>1871739.7119999998</v>
      </c>
      <c r="L129" s="12"/>
      <c r="M129" s="1019" t="s">
        <v>465</v>
      </c>
      <c r="N129" s="81"/>
      <c r="O129" s="81"/>
      <c r="P129" s="81"/>
      <c r="Q129" s="1020">
        <f>Q126+Q128</f>
        <v>0</v>
      </c>
      <c r="R129" s="12"/>
      <c r="S129" s="118"/>
      <c r="T129" s="334"/>
      <c r="U129" s="334"/>
      <c r="V129" s="334"/>
      <c r="W129" s="335"/>
    </row>
    <row r="130" spans="1:25" ht="12.6">
      <c r="F130" s="12"/>
      <c r="L130" s="12"/>
      <c r="R130" s="12"/>
    </row>
    <row r="131" spans="1:25" ht="12.95">
      <c r="A131" s="734" t="s">
        <v>383</v>
      </c>
      <c r="B131" s="734"/>
      <c r="C131" s="734"/>
      <c r="F131" s="12"/>
      <c r="G131" s="734" t="s">
        <v>383</v>
      </c>
      <c r="H131" s="734"/>
      <c r="I131" s="734"/>
      <c r="L131" s="12"/>
      <c r="M131" s="734" t="s">
        <v>383</v>
      </c>
      <c r="N131" s="734"/>
      <c r="O131" s="734"/>
      <c r="R131" s="12"/>
      <c r="S131" s="274"/>
      <c r="T131" s="274"/>
      <c r="U131" s="274"/>
    </row>
    <row r="132" spans="1:25" ht="12.95">
      <c r="A132" s="735"/>
      <c r="B132" s="736" t="s">
        <v>466</v>
      </c>
      <c r="C132" s="736" t="s">
        <v>467</v>
      </c>
      <c r="F132" s="83"/>
      <c r="G132" s="735"/>
      <c r="H132" s="736" t="s">
        <v>466</v>
      </c>
      <c r="I132" s="736" t="s">
        <v>467</v>
      </c>
      <c r="L132" s="83"/>
      <c r="M132" s="735"/>
      <c r="N132" s="736" t="s">
        <v>466</v>
      </c>
      <c r="O132" s="736" t="s">
        <v>467</v>
      </c>
      <c r="R132" s="83"/>
      <c r="S132" s="274"/>
      <c r="T132" s="282"/>
      <c r="U132" s="282"/>
    </row>
    <row r="133" spans="1:25" ht="12.75" customHeight="1">
      <c r="A133" s="737" t="s">
        <v>387</v>
      </c>
      <c r="B133" s="738">
        <f>IFERROR(INDEX(Assumptions!$D$4:$E$16,MATCH('4-H Financial'!B$34,Assumptions!$D$4:$D$16,0),2),0)</f>
        <v>210</v>
      </c>
      <c r="C133" s="739">
        <f>B133*D34</f>
        <v>24494148</v>
      </c>
      <c r="F133" s="12"/>
      <c r="G133" s="737" t="s">
        <v>387</v>
      </c>
      <c r="H133" s="738">
        <f>IFERROR(INDEX(Assumptions!$D$4:$E$16,MATCH('4-H Financial'!H$34,Assumptions!$D$4:$D$16,0),2),0)</f>
        <v>220</v>
      </c>
      <c r="I133" s="739">
        <f>H133*J34</f>
        <v>55482922</v>
      </c>
      <c r="L133" s="12"/>
      <c r="M133" s="737" t="s">
        <v>387</v>
      </c>
      <c r="N133" s="738">
        <f>IFERROR(INDEX(Assumptions!$D$4:$E$16,MATCH('4-H Financial'!N$34,Assumptions!$D$4:$D$16,0),2),0)</f>
        <v>0</v>
      </c>
      <c r="O133" s="739">
        <f>N133*P34</f>
        <v>0</v>
      </c>
      <c r="R133" s="12"/>
      <c r="S133" s="177"/>
      <c r="T133" s="336"/>
      <c r="U133" s="286"/>
    </row>
    <row r="134" spans="1:25" ht="12.75" customHeight="1">
      <c r="A134" s="737" t="s">
        <v>77</v>
      </c>
      <c r="B134" s="562">
        <f>Assumptions!$E$19</f>
        <v>0.05</v>
      </c>
      <c r="C134" s="740">
        <f>B134*C133</f>
        <v>1224707.4000000001</v>
      </c>
      <c r="F134" s="12"/>
      <c r="G134" s="737" t="s">
        <v>77</v>
      </c>
      <c r="H134" s="562">
        <f>Assumptions!$E$19</f>
        <v>0.05</v>
      </c>
      <c r="I134" s="740">
        <f>H134*I133</f>
        <v>2774146.1</v>
      </c>
      <c r="L134" s="12"/>
      <c r="M134" s="737" t="s">
        <v>77</v>
      </c>
      <c r="N134" s="562">
        <f>Assumptions!$E$19</f>
        <v>0.05</v>
      </c>
      <c r="O134" s="740">
        <f>N134*O133</f>
        <v>0</v>
      </c>
      <c r="R134" s="12"/>
      <c r="S134" s="177"/>
      <c r="T134" s="337"/>
      <c r="U134" s="290"/>
      <c r="Y134" s="12"/>
    </row>
    <row r="135" spans="1:25" ht="12.75" customHeight="1">
      <c r="A135" s="737" t="s">
        <v>389</v>
      </c>
      <c r="B135" s="407" t="s">
        <v>101</v>
      </c>
      <c r="C135" s="741">
        <v>0</v>
      </c>
      <c r="F135" s="12"/>
      <c r="G135" s="737" t="s">
        <v>389</v>
      </c>
      <c r="H135" s="407" t="s">
        <v>101</v>
      </c>
      <c r="I135" s="741">
        <v>0</v>
      </c>
      <c r="L135" s="12"/>
      <c r="M135" s="737" t="s">
        <v>389</v>
      </c>
      <c r="N135" s="407" t="s">
        <v>101</v>
      </c>
      <c r="O135" s="741">
        <v>0</v>
      </c>
      <c r="R135" s="12"/>
      <c r="S135" s="177"/>
      <c r="T135" s="338"/>
      <c r="U135" s="339"/>
      <c r="Y135" s="12"/>
    </row>
    <row r="136" spans="1:25" ht="12.75" customHeight="1">
      <c r="A136" s="737" t="s">
        <v>391</v>
      </c>
      <c r="B136" s="748" t="s">
        <v>468</v>
      </c>
      <c r="C136" s="739">
        <f>IF(C133=0,0,INDEX('Development Program'!$C$58:$L$62,5,MATCH($D$2,'Development Program'!$C$58:$L$58,0))/INDEX('Development Program'!$L$9:$M$18,MATCH($D$2,'Development Program'!$L$9:$L$18,0),2))</f>
        <v>404454.6</v>
      </c>
      <c r="F136" s="12"/>
      <c r="G136" s="737" t="s">
        <v>391</v>
      </c>
      <c r="H136" s="748" t="s">
        <v>468</v>
      </c>
      <c r="I136" s="739">
        <f>IF(I133=0,0,INDEX('Development Program'!$C$58:$L$62,5,MATCH($D$2,'Development Program'!$C$58:$L$58,0))/INDEX('Development Program'!$L$9:$M$18,MATCH($D$2,'Development Program'!$L$9:$L$18,0),2))</f>
        <v>404454.6</v>
      </c>
      <c r="L136" s="12"/>
      <c r="M136" s="737" t="s">
        <v>391</v>
      </c>
      <c r="N136" s="748" t="s">
        <v>468</v>
      </c>
      <c r="O136" s="739">
        <f>IF(O133=0,0,INDEX('Development Program'!$C$58:$L$62,5,MATCH($D$2,'Development Program'!$C$58:$L$58,0))/INDEX('Development Program'!$L$9:$M$18,MATCH($D$2,'Development Program'!$L$9:$L$18,0),2))</f>
        <v>0</v>
      </c>
      <c r="R136" s="12"/>
      <c r="S136" s="177"/>
      <c r="T136" s="340"/>
      <c r="U136" s="179"/>
    </row>
    <row r="137" spans="1:25" ht="12.75" customHeight="1">
      <c r="A137" s="426" t="s">
        <v>16</v>
      </c>
      <c r="B137" s="748" t="s">
        <v>468</v>
      </c>
      <c r="C137" s="739">
        <f>IF(C133=0,0,INDEX('Development Program'!$D$40:$M$55,16,MATCH($D$2,'Development Program'!$D$40:$M$40,0))/INDEX('Development Program'!$L$9:$M$18,MATCH($D$2,'Development Program'!$L$9:$L$18,0),2))</f>
        <v>2073333.3333333335</v>
      </c>
      <c r="F137" s="12"/>
      <c r="G137" s="426" t="s">
        <v>16</v>
      </c>
      <c r="H137" s="748" t="s">
        <v>468</v>
      </c>
      <c r="I137" s="739">
        <f>IF(I133=0,0,INDEX('Development Program'!$D$40:$M$55,16,MATCH($D$2,'Development Program'!$D$40:$M$40,0))/INDEX('Development Program'!$L$9:$M$18,MATCH($D$2,'Development Program'!$L$9:$L$18,0),2))</f>
        <v>2073333.3333333335</v>
      </c>
      <c r="L137" s="12"/>
      <c r="M137" s="426" t="s">
        <v>16</v>
      </c>
      <c r="N137" s="748" t="s">
        <v>468</v>
      </c>
      <c r="O137" s="739">
        <f>IF(O133=0,0,INDEX('Development Program'!$D$40:$M$55,16,MATCH($D$2,'Development Program'!$D$40:$M$40,0))/INDEX('Development Program'!$L$9:$M$18,MATCH($D$2,'Development Program'!$L$9:$L$18,0),2))</f>
        <v>0</v>
      </c>
      <c r="R137" s="12"/>
    </row>
    <row r="138" spans="1:25" ht="12.75" customHeight="1">
      <c r="A138" s="737" t="s">
        <v>79</v>
      </c>
      <c r="B138" s="409">
        <f>Assumptions!$E$20</f>
        <v>0.02</v>
      </c>
      <c r="C138" s="739">
        <f>B138*(C$133)</f>
        <v>489882.96</v>
      </c>
      <c r="F138" s="12"/>
      <c r="G138" s="737" t="s">
        <v>79</v>
      </c>
      <c r="H138" s="409">
        <f>Assumptions!$E$20</f>
        <v>0.02</v>
      </c>
      <c r="I138" s="739">
        <f>H138*(I$133)</f>
        <v>1109658.44</v>
      </c>
      <c r="L138" s="12"/>
      <c r="M138" s="737" t="s">
        <v>79</v>
      </c>
      <c r="N138" s="409">
        <f>Assumptions!$E$20</f>
        <v>0.02</v>
      </c>
      <c r="O138" s="739">
        <f>N138*(O$133)</f>
        <v>0</v>
      </c>
      <c r="R138" s="12"/>
      <c r="S138" s="177"/>
      <c r="T138" s="341"/>
      <c r="U138" s="286"/>
    </row>
    <row r="139" spans="1:25" ht="12.75" customHeight="1">
      <c r="A139" s="730" t="s">
        <v>83</v>
      </c>
      <c r="B139" s="409">
        <f>Assumptions!$E$22</f>
        <v>1.4999999999999999E-2</v>
      </c>
      <c r="C139" s="739">
        <f>B139*(C$133)</f>
        <v>367412.22</v>
      </c>
      <c r="F139" s="12"/>
      <c r="G139" s="730" t="s">
        <v>83</v>
      </c>
      <c r="H139" s="409">
        <f>Assumptions!$E$22</f>
        <v>1.4999999999999999E-2</v>
      </c>
      <c r="I139" s="739">
        <f>H139*(I$133)</f>
        <v>832243.83</v>
      </c>
      <c r="L139" s="12"/>
      <c r="M139" s="730" t="s">
        <v>83</v>
      </c>
      <c r="N139" s="409">
        <f>Assumptions!$E$22</f>
        <v>1.4999999999999999E-2</v>
      </c>
      <c r="O139" s="739">
        <f>N139*(O$133)</f>
        <v>0</v>
      </c>
      <c r="R139" s="12"/>
      <c r="S139" s="12"/>
      <c r="T139" s="341"/>
      <c r="U139" s="286"/>
    </row>
    <row r="140" spans="1:25" ht="12.75" customHeight="1">
      <c r="A140" s="730" t="s">
        <v>84</v>
      </c>
      <c r="B140" s="564">
        <f>Assumptions!$E$23</f>
        <v>2.5000000000000001E-2</v>
      </c>
      <c r="C140" s="739">
        <f>IF(D34=0,0,B140*$B$10)</f>
        <v>20222.73</v>
      </c>
      <c r="F140" s="12"/>
      <c r="G140" s="730" t="s">
        <v>84</v>
      </c>
      <c r="H140" s="564">
        <f>Assumptions!$E$23</f>
        <v>2.5000000000000001E-2</v>
      </c>
      <c r="I140" s="739">
        <f>IF(J34=0,0,H140*$B$10)</f>
        <v>20222.73</v>
      </c>
      <c r="L140" s="12"/>
      <c r="M140" s="730" t="s">
        <v>84</v>
      </c>
      <c r="N140" s="564">
        <f>Assumptions!$E$23</f>
        <v>2.5000000000000001E-2</v>
      </c>
      <c r="O140" s="739">
        <f>IF(P34=0,0,N140*$B$10)</f>
        <v>0</v>
      </c>
      <c r="R140" s="12"/>
      <c r="S140" s="12"/>
      <c r="T140" s="26"/>
      <c r="U140" s="339"/>
    </row>
    <row r="141" spans="1:25" ht="12.75" customHeight="1">
      <c r="A141" s="730" t="s">
        <v>85</v>
      </c>
      <c r="B141" s="409">
        <f>Assumptions!$E$24</f>
        <v>0.02</v>
      </c>
      <c r="C141" s="739">
        <f>B141*(C133)</f>
        <v>489882.96</v>
      </c>
      <c r="F141" s="12"/>
      <c r="G141" s="730" t="s">
        <v>85</v>
      </c>
      <c r="H141" s="409">
        <f>Assumptions!$E$24</f>
        <v>0.02</v>
      </c>
      <c r="I141" s="739">
        <f>H141*(I133)</f>
        <v>1109658.44</v>
      </c>
      <c r="L141" s="12"/>
      <c r="M141" s="730" t="s">
        <v>85</v>
      </c>
      <c r="N141" s="409">
        <f>Assumptions!$E$24</f>
        <v>0.02</v>
      </c>
      <c r="O141" s="739">
        <f>N141*(O133)</f>
        <v>0</v>
      </c>
      <c r="R141" s="12"/>
      <c r="S141" s="12"/>
      <c r="T141" s="341"/>
      <c r="U141" s="286"/>
    </row>
    <row r="142" spans="1:25" ht="12.75" customHeight="1">
      <c r="A142" s="730" t="s">
        <v>86</v>
      </c>
      <c r="B142" s="409">
        <f>Assumptions!$E$25</f>
        <v>3.5000000000000003E-2</v>
      </c>
      <c r="C142" s="739">
        <f>B142*(C133)</f>
        <v>857295.18</v>
      </c>
      <c r="F142" s="12"/>
      <c r="G142" s="730" t="s">
        <v>86</v>
      </c>
      <c r="H142" s="409">
        <f>Assumptions!$E$25</f>
        <v>3.5000000000000003E-2</v>
      </c>
      <c r="I142" s="739">
        <f>H142*(I133)</f>
        <v>1941902.2700000003</v>
      </c>
      <c r="L142" s="12"/>
      <c r="M142" s="730" t="s">
        <v>86</v>
      </c>
      <c r="N142" s="409">
        <f>Assumptions!$E$25</f>
        <v>3.5000000000000003E-2</v>
      </c>
      <c r="O142" s="739">
        <f>N142*(O133)</f>
        <v>0</v>
      </c>
      <c r="R142" s="12"/>
      <c r="S142" s="12"/>
      <c r="T142" s="341"/>
      <c r="U142" s="286"/>
    </row>
    <row r="143" spans="1:25" ht="12.75" customHeight="1">
      <c r="A143" s="730" t="s">
        <v>88</v>
      </c>
      <c r="B143" s="409">
        <f>Assumptions!$E$26</f>
        <v>0.02</v>
      </c>
      <c r="C143" s="739">
        <f>B143*(C133)</f>
        <v>489882.96</v>
      </c>
      <c r="D143" s="276"/>
      <c r="E143" s="275"/>
      <c r="F143" s="12"/>
      <c r="G143" s="730" t="s">
        <v>88</v>
      </c>
      <c r="H143" s="409">
        <f>Assumptions!$E$26</f>
        <v>0.02</v>
      </c>
      <c r="I143" s="739">
        <f>H143*(I133)</f>
        <v>1109658.44</v>
      </c>
      <c r="J143" s="276"/>
      <c r="K143" s="275"/>
      <c r="L143" s="12"/>
      <c r="M143" s="730" t="s">
        <v>88</v>
      </c>
      <c r="N143" s="409">
        <f>Assumptions!$E$26</f>
        <v>0.02</v>
      </c>
      <c r="O143" s="739">
        <f>N143*(O133)</f>
        <v>0</v>
      </c>
      <c r="P143" s="276"/>
      <c r="Q143" s="275"/>
      <c r="R143" s="12"/>
      <c r="S143" s="12"/>
      <c r="T143" s="341"/>
      <c r="U143" s="286"/>
      <c r="V143" s="276"/>
      <c r="W143" s="275"/>
    </row>
    <row r="144" spans="1:25" ht="12.75" customHeight="1">
      <c r="A144" s="730" t="s">
        <v>93</v>
      </c>
      <c r="B144" s="409">
        <f>Assumptions!$E$27</f>
        <v>0.05</v>
      </c>
      <c r="C144" s="739">
        <f>B144*C133</f>
        <v>1224707.4000000001</v>
      </c>
      <c r="D144" s="276"/>
      <c r="E144" s="275"/>
      <c r="F144" s="12"/>
      <c r="G144" s="730" t="s">
        <v>93</v>
      </c>
      <c r="H144" s="409">
        <f>Assumptions!$E$27</f>
        <v>0.05</v>
      </c>
      <c r="I144" s="739">
        <f>H144*I133</f>
        <v>2774146.1</v>
      </c>
      <c r="J144" s="276"/>
      <c r="K144" s="275"/>
      <c r="L144" s="12"/>
      <c r="M144" s="730" t="s">
        <v>93</v>
      </c>
      <c r="N144" s="409">
        <f>Assumptions!$E$27</f>
        <v>0.05</v>
      </c>
      <c r="O144" s="739">
        <f>N144*O133</f>
        <v>0</v>
      </c>
      <c r="P144" s="276"/>
      <c r="Q144" s="275"/>
      <c r="R144" s="12"/>
      <c r="S144" s="12"/>
      <c r="T144" s="342"/>
      <c r="U144" s="286"/>
      <c r="V144" s="276"/>
      <c r="W144" s="275"/>
    </row>
    <row r="145" spans="1:23" ht="12.75" customHeight="1">
      <c r="A145" s="730" t="s">
        <v>97</v>
      </c>
      <c r="B145" s="409">
        <f>Assumptions!$E$28</f>
        <v>1.4999999999999999E-2</v>
      </c>
      <c r="C145" s="739">
        <f>B145*C133</f>
        <v>367412.22</v>
      </c>
      <c r="D145" s="276"/>
      <c r="E145" s="275"/>
      <c r="F145" s="12"/>
      <c r="G145" s="730" t="s">
        <v>97</v>
      </c>
      <c r="H145" s="409">
        <f>Assumptions!$E$28</f>
        <v>1.4999999999999999E-2</v>
      </c>
      <c r="I145" s="739">
        <f>H145*I133</f>
        <v>832243.83</v>
      </c>
      <c r="J145" s="276"/>
      <c r="K145" s="275"/>
      <c r="L145" s="12"/>
      <c r="M145" s="730" t="s">
        <v>97</v>
      </c>
      <c r="N145" s="409">
        <f>Assumptions!$E$28</f>
        <v>1.4999999999999999E-2</v>
      </c>
      <c r="O145" s="739">
        <f>N145*O133</f>
        <v>0</v>
      </c>
      <c r="P145" s="276"/>
      <c r="Q145" s="275"/>
      <c r="R145" s="12"/>
      <c r="S145" s="12"/>
      <c r="T145" s="341"/>
      <c r="U145" s="286"/>
      <c r="V145" s="276"/>
      <c r="W145" s="275"/>
    </row>
    <row r="146" spans="1:23" ht="12.75" customHeight="1">
      <c r="A146" s="730" t="s">
        <v>100</v>
      </c>
      <c r="B146" s="410" t="s">
        <v>101</v>
      </c>
      <c r="C146" s="741">
        <v>700000</v>
      </c>
      <c r="F146" s="12"/>
      <c r="G146" s="730" t="s">
        <v>100</v>
      </c>
      <c r="H146" s="410" t="s">
        <v>101</v>
      </c>
      <c r="I146" s="741">
        <v>500000</v>
      </c>
      <c r="L146" s="12"/>
      <c r="M146" s="730" t="s">
        <v>100</v>
      </c>
      <c r="N146" s="410" t="s">
        <v>101</v>
      </c>
      <c r="O146" s="741">
        <v>0</v>
      </c>
      <c r="R146" s="12"/>
      <c r="S146" s="12"/>
      <c r="T146" s="26"/>
      <c r="U146" s="339"/>
    </row>
    <row r="147" spans="1:23" ht="12.75" customHeight="1">
      <c r="A147" s="730" t="s">
        <v>103</v>
      </c>
      <c r="B147" s="411">
        <f>Assumptions!$E$30</f>
        <v>6</v>
      </c>
      <c r="C147" s="739">
        <f>-B147*(E128/6)</f>
        <v>951772.60799999989</v>
      </c>
      <c r="F147" s="12"/>
      <c r="G147" s="730" t="s">
        <v>103</v>
      </c>
      <c r="H147" s="411">
        <f>Assumptions!$E$30</f>
        <v>6</v>
      </c>
      <c r="I147" s="739">
        <f>-H147*(K128/6)</f>
        <v>825767.5199999999</v>
      </c>
      <c r="L147" s="12"/>
      <c r="M147" s="730" t="s">
        <v>103</v>
      </c>
      <c r="N147" s="411">
        <f>Assumptions!$E$30</f>
        <v>6</v>
      </c>
      <c r="O147" s="739">
        <f>-N147*(Q128/6)</f>
        <v>0</v>
      </c>
      <c r="R147" s="12"/>
      <c r="S147" s="12"/>
      <c r="T147" s="343"/>
      <c r="U147" s="286"/>
    </row>
    <row r="148" spans="1:23" ht="12.75" customHeight="1">
      <c r="A148" s="730" t="s">
        <v>106</v>
      </c>
      <c r="B148" s="742">
        <f>Assumptions!$E$31</f>
        <v>30</v>
      </c>
      <c r="C148" s="739">
        <f>B148*SUM(C93,C97)</f>
        <v>2974289.4</v>
      </c>
      <c r="G148" s="730" t="s">
        <v>106</v>
      </c>
      <c r="H148" s="742">
        <f>Assumptions!$E$31</f>
        <v>30</v>
      </c>
      <c r="I148" s="739">
        <f>H148*SUM(I93,I97)</f>
        <v>2580523.5</v>
      </c>
      <c r="L148" s="12"/>
      <c r="M148" s="730" t="s">
        <v>106</v>
      </c>
      <c r="N148" s="742">
        <f>Assumptions!$E$31</f>
        <v>30</v>
      </c>
      <c r="O148" s="739">
        <f>N148*SUM(O93,O97)</f>
        <v>0</v>
      </c>
      <c r="R148" s="12"/>
      <c r="S148" s="12"/>
      <c r="T148" s="303"/>
      <c r="U148" s="286"/>
    </row>
    <row r="149" spans="1:23" ht="12.75" customHeight="1">
      <c r="A149" s="730" t="s">
        <v>403</v>
      </c>
      <c r="B149" s="563">
        <f>Assumptions!$E$32</f>
        <v>0.03</v>
      </c>
      <c r="C149" s="731">
        <f>B149*SUM(E93,E97)</f>
        <v>95177.260799999989</v>
      </c>
      <c r="G149" s="730" t="s">
        <v>403</v>
      </c>
      <c r="H149" s="563">
        <f>Assumptions!$E$32</f>
        <v>0.03</v>
      </c>
      <c r="I149" s="731">
        <f>H149*SUM(K93,K97)</f>
        <v>82576.751999999993</v>
      </c>
      <c r="M149" s="730" t="s">
        <v>403</v>
      </c>
      <c r="N149" s="563">
        <f>Assumptions!$E$32</f>
        <v>0.03</v>
      </c>
      <c r="O149" s="731">
        <f>N149*SUM(Q93,Q97)</f>
        <v>0</v>
      </c>
      <c r="S149" s="12"/>
      <c r="T149" s="344"/>
      <c r="U149" s="345"/>
    </row>
    <row r="150" spans="1:23" ht="12.75" customHeight="1">
      <c r="A150" s="730" t="s">
        <v>112</v>
      </c>
      <c r="B150" s="732">
        <f>Assumptions!$E$33</f>
        <v>1.4999999999999999E-2</v>
      </c>
      <c r="C150" s="733">
        <f>B150*SUM(C138:C149,C135,C152,C153)</f>
        <v>169394.068482</v>
      </c>
      <c r="D150" s="18"/>
      <c r="E150" s="18"/>
      <c r="G150" s="730" t="s">
        <v>112</v>
      </c>
      <c r="H150" s="732">
        <f>Assumptions!$E$33</f>
        <v>1.4999999999999999E-2</v>
      </c>
      <c r="I150" s="733">
        <f>H150*SUM(I138:I149,I135,I152,I153)</f>
        <v>272679.02777999995</v>
      </c>
      <c r="J150" s="18"/>
      <c r="K150" s="18"/>
      <c r="M150" s="730" t="s">
        <v>112</v>
      </c>
      <c r="N150" s="732">
        <f>Assumptions!$E$33</f>
        <v>1.4999999999999999E-2</v>
      </c>
      <c r="O150" s="733">
        <f>N150*SUM(O138:O149,O135,O152,O153)</f>
        <v>0</v>
      </c>
      <c r="P150" s="18"/>
      <c r="Q150" s="18"/>
      <c r="S150" s="12"/>
      <c r="T150" s="346"/>
      <c r="U150" s="339"/>
      <c r="V150" s="347"/>
      <c r="W150" s="347"/>
    </row>
    <row r="151" spans="1:23" ht="12.75" customHeight="1">
      <c r="A151" s="730" t="s">
        <v>165</v>
      </c>
      <c r="B151" s="732" t="s">
        <v>468</v>
      </c>
      <c r="C151" s="733">
        <f>IF(C133=0,0,-INDEX('Development Program'!$C$30:$L$37,8,MATCH($D$2,'Development Program'!$C$30:$L$30,0))/INDEX('Development Program'!$L$9:$M$18,MATCH($D$2,'Development Program'!$L$9:$L$18,0),2))</f>
        <v>-4083333.3333333335</v>
      </c>
      <c r="D151" s="18"/>
      <c r="E151" s="18"/>
      <c r="G151" s="730" t="s">
        <v>165</v>
      </c>
      <c r="H151" s="732" t="s">
        <v>468</v>
      </c>
      <c r="I151" s="733">
        <f>IF(I133=0,0,-INDEX('Development Program'!$C$30:$L$37,8,MATCH($D$2,'Development Program'!$C$30:$L$30,0))/INDEX('Development Program'!$L$9:$M$18,MATCH($D$2,'Development Program'!$L$9:$L$18,0),2))</f>
        <v>-4083333.3333333335</v>
      </c>
      <c r="J151" s="18"/>
      <c r="K151" s="18"/>
      <c r="M151" s="730" t="s">
        <v>165</v>
      </c>
      <c r="N151" s="732" t="s">
        <v>468</v>
      </c>
      <c r="O151" s="733">
        <f>IF(O133=0,0,-INDEX('Development Program'!$C$30:$L$37,8,MATCH($D$2,'Development Program'!$C$30:$L$30,0))/INDEX('Development Program'!$L$9:$M$18,MATCH($D$2,'Development Program'!$L$9:$L$18,0),2))</f>
        <v>0</v>
      </c>
      <c r="P151" s="18"/>
      <c r="Q151" s="18"/>
      <c r="S151" s="12"/>
      <c r="T151" s="346"/>
      <c r="U151" s="339"/>
      <c r="V151" s="347"/>
      <c r="W151" s="347"/>
    </row>
    <row r="152" spans="1:23" ht="12.75" customHeight="1">
      <c r="A152" s="426" t="s">
        <v>38</v>
      </c>
      <c r="B152" s="732">
        <f>Assumptions!$L$5</f>
        <v>5.0000000000000001E-3</v>
      </c>
      <c r="C152" s="741">
        <v>130000</v>
      </c>
      <c r="D152" s="18">
        <f>C152/B$157</f>
        <v>4.8722475196018543E-3</v>
      </c>
      <c r="E152" s="18"/>
      <c r="G152" s="426" t="s">
        <v>38</v>
      </c>
      <c r="H152" s="732">
        <f>Assumptions!$L$5</f>
        <v>5.0000000000000001E-3</v>
      </c>
      <c r="I152" s="741">
        <v>260000</v>
      </c>
      <c r="J152" s="18">
        <f>I152/H$157</f>
        <v>4.9456019445933376E-3</v>
      </c>
      <c r="K152" s="18"/>
      <c r="M152" s="426" t="s">
        <v>38</v>
      </c>
      <c r="N152" s="732">
        <f>Assumptions!$L$5</f>
        <v>5.0000000000000001E-3</v>
      </c>
      <c r="O152" s="741">
        <v>0</v>
      </c>
      <c r="P152" s="18" t="e">
        <f>O152/N$157</f>
        <v>#DIV/0!</v>
      </c>
      <c r="Q152" s="18"/>
      <c r="S152" s="12"/>
      <c r="T152" s="346"/>
      <c r="U152" s="339"/>
      <c r="V152" s="347"/>
      <c r="W152" s="347"/>
    </row>
    <row r="153" spans="1:23" ht="12.75" customHeight="1">
      <c r="A153" s="426" t="s">
        <v>407</v>
      </c>
      <c r="B153" s="732">
        <f>Assumptions!$L$4</f>
        <v>0.08</v>
      </c>
      <c r="C153" s="741">
        <v>2135000</v>
      </c>
      <c r="D153" s="18">
        <f>C153/B$157</f>
        <v>8.0017295802691984E-2</v>
      </c>
      <c r="E153" s="18"/>
      <c r="G153" s="426" t="s">
        <v>407</v>
      </c>
      <c r="H153" s="732">
        <f>Assumptions!$L$4</f>
        <v>0.08</v>
      </c>
      <c r="I153" s="741">
        <v>4200000</v>
      </c>
      <c r="J153" s="18">
        <f>I153/H$157</f>
        <v>7.9890492951123146E-2</v>
      </c>
      <c r="K153" s="18"/>
      <c r="M153" s="426" t="s">
        <v>407</v>
      </c>
      <c r="N153" s="732">
        <f>Assumptions!$L$4</f>
        <v>0.08</v>
      </c>
      <c r="O153" s="741">
        <v>0</v>
      </c>
      <c r="P153" s="18" t="e">
        <f>O153/N$157</f>
        <v>#DIV/0!</v>
      </c>
      <c r="Q153" s="18"/>
      <c r="S153" s="12"/>
      <c r="T153" s="346"/>
      <c r="U153" s="339"/>
      <c r="V153" s="347"/>
      <c r="W153" s="347"/>
    </row>
    <row r="154" spans="1:23" ht="12.75" customHeight="1">
      <c r="A154" s="743" t="s">
        <v>408</v>
      </c>
      <c r="B154" s="744"/>
      <c r="C154" s="745">
        <f>SUM(C133:C153)</f>
        <v>35575641.967281997</v>
      </c>
      <c r="D154" s="18"/>
      <c r="E154" s="18"/>
      <c r="G154" s="743" t="s">
        <v>408</v>
      </c>
      <c r="H154" s="744"/>
      <c r="I154" s="745">
        <f>SUM(I133:I153)</f>
        <v>75102803.579779997</v>
      </c>
      <c r="J154" s="18"/>
      <c r="K154" s="18"/>
      <c r="M154" s="743" t="s">
        <v>408</v>
      </c>
      <c r="N154" s="744"/>
      <c r="O154" s="745">
        <f>SUM(O133:O153)</f>
        <v>0</v>
      </c>
      <c r="P154" s="18"/>
      <c r="Q154" s="18"/>
    </row>
    <row r="155" spans="1:23" ht="12.75" customHeight="1" thickBot="1">
      <c r="A155" s="328"/>
      <c r="C155" s="167"/>
      <c r="D155" s="746"/>
      <c r="E155" s="18"/>
      <c r="G155" s="328"/>
      <c r="I155" s="167"/>
      <c r="J155" s="746"/>
      <c r="K155" s="18"/>
      <c r="M155" s="328"/>
      <c r="O155" s="167"/>
      <c r="P155" s="746"/>
      <c r="Q155" s="18"/>
    </row>
    <row r="156" spans="1:23" ht="12.75" customHeight="1">
      <c r="A156" s="1021" t="s">
        <v>23</v>
      </c>
      <c r="B156" s="1022"/>
      <c r="C156" s="167"/>
      <c r="D156" s="18"/>
      <c r="E156" s="18"/>
      <c r="G156" s="1021" t="s">
        <v>23</v>
      </c>
      <c r="H156" s="1022"/>
      <c r="I156" s="167"/>
      <c r="J156" s="18"/>
      <c r="K156" s="18"/>
      <c r="M156" s="1021" t="s">
        <v>23</v>
      </c>
      <c r="N156" s="1022"/>
      <c r="O156" s="167"/>
      <c r="P156" s="18"/>
      <c r="Q156" s="18"/>
    </row>
    <row r="157" spans="1:23" ht="12.75" customHeight="1">
      <c r="A157" s="840">
        <f>IFERROR(INDEX(Assumptions!$J$11:$L$23,MATCH('4-H Financial'!B$34,Assumptions!$J$11:$J$23,0),3),0)</f>
        <v>0.75</v>
      </c>
      <c r="B157" s="747">
        <f>C154*A157</f>
        <v>26681731.475461498</v>
      </c>
      <c r="C157" s="167"/>
      <c r="D157" s="18"/>
      <c r="E157" s="18"/>
      <c r="G157" s="840">
        <f>IFERROR(INDEX(Assumptions!$J$11:$L$23,MATCH('4-H Financial'!H$34,Assumptions!$J$11:$J$23,0),3),0)</f>
        <v>0.7</v>
      </c>
      <c r="H157" s="747">
        <f>I154*G157</f>
        <v>52571962.505845994</v>
      </c>
      <c r="I157" s="167"/>
      <c r="J157" s="18"/>
      <c r="K157" s="18"/>
      <c r="M157" s="840">
        <f>IFERROR(INDEX(Assumptions!$J$11:$L$23,MATCH('4-H Financial'!N$34,Assumptions!$J$11:$J$23,0),3),0)</f>
        <v>0</v>
      </c>
      <c r="N157" s="747">
        <f>O154*M157</f>
        <v>0</v>
      </c>
      <c r="O157" s="167"/>
      <c r="P157" s="18"/>
      <c r="Q157" s="18"/>
    </row>
    <row r="158" spans="1:23" ht="12.75" customHeight="1">
      <c r="A158" s="841">
        <f>1-A157</f>
        <v>0.25</v>
      </c>
      <c r="B158" s="747">
        <f>C154*A158</f>
        <v>8893910.4918204993</v>
      </c>
      <c r="C158" s="167"/>
      <c r="D158" s="18"/>
      <c r="E158" s="18"/>
      <c r="G158" s="841">
        <f>1-G157</f>
        <v>0.30000000000000004</v>
      </c>
      <c r="H158" s="747">
        <f>I154*G158</f>
        <v>22530841.073934004</v>
      </c>
      <c r="I158" s="167"/>
      <c r="J158" s="18"/>
      <c r="K158" s="18"/>
      <c r="M158" s="841">
        <f>1-M157</f>
        <v>1</v>
      </c>
      <c r="N158" s="747">
        <f>O154*M158</f>
        <v>0</v>
      </c>
      <c r="O158" s="167"/>
      <c r="P158" s="18"/>
      <c r="Q158" s="18"/>
    </row>
    <row r="159" spans="1:23" ht="12.75" customHeight="1" thickBot="1">
      <c r="S159" s="12"/>
      <c r="T159" s="349"/>
      <c r="U159" s="339"/>
      <c r="V159" s="347"/>
      <c r="W159" s="347"/>
    </row>
    <row r="160" spans="1:23" ht="13.5" thickBot="1">
      <c r="A160" s="1021" t="s">
        <v>469</v>
      </c>
      <c r="B160" s="1022"/>
      <c r="D160" s="18"/>
      <c r="G160" s="1021" t="s">
        <v>469</v>
      </c>
      <c r="H160" s="1022"/>
      <c r="J160" s="18"/>
      <c r="M160" s="1021" t="s">
        <v>469</v>
      </c>
      <c r="N160" s="1022"/>
      <c r="P160" s="18"/>
      <c r="S160" s="328"/>
      <c r="U160" s="167"/>
    </row>
    <row r="161" spans="1:22" ht="13.5" thickBot="1">
      <c r="A161" s="565" t="s">
        <v>470</v>
      </c>
      <c r="B161" s="566"/>
      <c r="C161" s="12"/>
      <c r="D161" s="346"/>
      <c r="E161" s="339"/>
      <c r="G161" s="565" t="s">
        <v>470</v>
      </c>
      <c r="H161" s="566"/>
      <c r="I161" s="12"/>
      <c r="J161" s="12"/>
      <c r="K161" s="346"/>
      <c r="L161" s="339"/>
      <c r="M161" s="565" t="s">
        <v>470</v>
      </c>
      <c r="N161" s="566"/>
      <c r="O161" s="12"/>
      <c r="P161" s="12"/>
      <c r="Q161" s="346"/>
      <c r="R161" s="339"/>
      <c r="S161" s="274"/>
      <c r="T161" s="274"/>
      <c r="V161" s="347"/>
    </row>
    <row r="162" spans="1:22" ht="12.95">
      <c r="A162" s="358" t="s">
        <v>471</v>
      </c>
      <c r="B162" s="359">
        <f>E63+E80+E101</f>
        <v>0</v>
      </c>
      <c r="D162" s="281"/>
      <c r="G162" s="358" t="s">
        <v>471</v>
      </c>
      <c r="H162" s="359">
        <f>K63+K80+K101</f>
        <v>38425200</v>
      </c>
      <c r="J162" s="281"/>
      <c r="M162" s="358" t="s">
        <v>471</v>
      </c>
      <c r="N162" s="359">
        <f>Q63+Q80+Q101</f>
        <v>0</v>
      </c>
      <c r="P162" s="281"/>
      <c r="S162" s="137"/>
      <c r="T162" s="281"/>
      <c r="V162" s="129"/>
    </row>
    <row r="163" spans="1:22" ht="12.95">
      <c r="A163" s="479">
        <v>0.03</v>
      </c>
      <c r="B163" s="480">
        <f>-B162*A163</f>
        <v>0</v>
      </c>
      <c r="D163" s="167"/>
      <c r="G163" s="479">
        <v>0.03</v>
      </c>
      <c r="H163" s="480">
        <f>-H162*G163</f>
        <v>-1152756</v>
      </c>
      <c r="J163" s="167"/>
      <c r="M163" s="479">
        <v>0.03</v>
      </c>
      <c r="N163" s="480">
        <f>-N162*M163</f>
        <v>0</v>
      </c>
      <c r="P163" s="167"/>
      <c r="S163" s="277"/>
      <c r="T163" s="288"/>
      <c r="V163" s="281"/>
    </row>
    <row r="164" spans="1:22" ht="13.5" thickBot="1">
      <c r="A164" s="414" t="s">
        <v>472</v>
      </c>
      <c r="B164" s="481">
        <f>SUM(B162:B163)</f>
        <v>0</v>
      </c>
      <c r="G164" s="414" t="s">
        <v>472</v>
      </c>
      <c r="H164" s="481">
        <f>SUM(H162:H163)</f>
        <v>37272444</v>
      </c>
      <c r="M164" s="414" t="s">
        <v>472</v>
      </c>
      <c r="N164" s="481">
        <f>SUM(N162:N163)</f>
        <v>0</v>
      </c>
      <c r="S164" s="280"/>
      <c r="T164" s="350"/>
      <c r="V164" s="167"/>
    </row>
    <row r="165" spans="1:22" ht="13.5" thickBot="1">
      <c r="A165" s="1023" t="s">
        <v>473</v>
      </c>
      <c r="B165" s="1024"/>
      <c r="G165" s="1023" t="s">
        <v>473</v>
      </c>
      <c r="H165" s="1024"/>
      <c r="M165" s="1023" t="s">
        <v>473</v>
      </c>
      <c r="N165" s="1024"/>
      <c r="S165" s="277"/>
      <c r="T165" s="351"/>
    </row>
    <row r="166" spans="1:22" ht="12.95">
      <c r="A166" s="360" t="s">
        <v>474</v>
      </c>
      <c r="B166" s="567">
        <f>IFERROR(INDEX(Assumptions!$J$64:$L$76,MATCH('4-H Financial'!B$34,Assumptions!$J$64:$J$76,0),3),0)</f>
        <v>5.5E-2</v>
      </c>
      <c r="G166" s="360" t="s">
        <v>474</v>
      </c>
      <c r="H166" s="567">
        <f>IFERROR(INDEX(Assumptions!$J$64:$L$76,MATCH('4-H Financial'!H$34,Assumptions!$J$64:$J$76,0),3),0)</f>
        <v>5.5E-2</v>
      </c>
      <c r="M166" s="360" t="s">
        <v>474</v>
      </c>
      <c r="N166" s="567">
        <f>IFERROR(INDEX(Assumptions!$J$64:$L$76,MATCH('4-H Financial'!N$34,Assumptions!$J$64:$J$76,0),3),0)</f>
        <v>0</v>
      </c>
      <c r="S166" s="277"/>
      <c r="T166" s="351"/>
    </row>
    <row r="167" spans="1:22" ht="12.95">
      <c r="A167" s="482" t="s">
        <v>475</v>
      </c>
      <c r="B167" s="483">
        <f>IFERROR(E$129/B$166,0)</f>
        <v>39224568.087272719</v>
      </c>
      <c r="C167" s="279"/>
      <c r="G167" s="482" t="s">
        <v>475</v>
      </c>
      <c r="H167" s="483">
        <f>IFERROR(K$129/H$166,0)</f>
        <v>34031631.127272725</v>
      </c>
      <c r="I167" s="279"/>
      <c r="M167" s="482" t="s">
        <v>475</v>
      </c>
      <c r="N167" s="483">
        <f>IFERROR(Q$129/N$166,0)</f>
        <v>0</v>
      </c>
      <c r="O167" s="279"/>
      <c r="S167" s="277"/>
      <c r="T167" s="351"/>
    </row>
    <row r="168" spans="1:22" ht="12.95">
      <c r="A168" s="408" t="s">
        <v>476</v>
      </c>
      <c r="B168" s="484">
        <f>IFERROR(B166-1%,0)</f>
        <v>4.4999999999999998E-2</v>
      </c>
      <c r="C168" s="288"/>
      <c r="F168" s="18"/>
      <c r="G168" s="408" t="s">
        <v>476</v>
      </c>
      <c r="H168" s="484">
        <f>IFERROR(H166-1%,0)</f>
        <v>4.4999999999999998E-2</v>
      </c>
      <c r="I168" s="288"/>
      <c r="L168" s="18"/>
      <c r="M168" s="408" t="s">
        <v>476</v>
      </c>
      <c r="N168" s="484">
        <f>IFERROR(N166-1%,0)</f>
        <v>-0.01</v>
      </c>
      <c r="O168" s="288"/>
      <c r="R168" s="18"/>
      <c r="S168" s="352"/>
      <c r="T168" s="281"/>
    </row>
    <row r="169" spans="1:22" ht="12.95">
      <c r="A169" s="408" t="s">
        <v>127</v>
      </c>
      <c r="B169" s="872">
        <f>IFERROR(INDEX(Assumptions!$J$48:$L$60,MATCH('4-H Financial'!B$34,Assumptions!$J$48:$J$60,0),3),0)</f>
        <v>0.04</v>
      </c>
      <c r="F169" s="18"/>
      <c r="G169" s="408" t="s">
        <v>127</v>
      </c>
      <c r="H169" s="872">
        <f>IFERROR(INDEX(Assumptions!$J$48:$L$60,MATCH('4-H Financial'!H$34,Assumptions!$J$48:$J$60,0),3),0)</f>
        <v>0.05</v>
      </c>
      <c r="L169" s="18"/>
      <c r="M169" s="408" t="s">
        <v>127</v>
      </c>
      <c r="N169" s="872">
        <f>IFERROR(INDEX(Assumptions!$J$48:$L$60,MATCH('4-H Financial'!N$34,Assumptions!$J$48:$J$60,0),3),0)</f>
        <v>0</v>
      </c>
      <c r="R169" s="18"/>
      <c r="S169" s="352"/>
      <c r="T169" s="281"/>
    </row>
    <row r="170" spans="1:22" ht="12.95">
      <c r="A170" s="408" t="s">
        <v>125</v>
      </c>
      <c r="B170" s="485">
        <f>Assumptions!$L$41</f>
        <v>5</v>
      </c>
      <c r="D170" s="279"/>
      <c r="F170" s="18"/>
      <c r="G170" s="408" t="s">
        <v>125</v>
      </c>
      <c r="H170" s="485">
        <f>Assumptions!$L$41</f>
        <v>5</v>
      </c>
      <c r="J170" s="279"/>
      <c r="L170" s="18"/>
      <c r="M170" s="408" t="s">
        <v>125</v>
      </c>
      <c r="N170" s="485">
        <f>Assumptions!$L$41</f>
        <v>5</v>
      </c>
      <c r="P170" s="279"/>
      <c r="R170" s="18"/>
      <c r="S170" s="352"/>
      <c r="T170" s="281"/>
    </row>
    <row r="171" spans="1:22" ht="12.95">
      <c r="A171" s="408" t="s">
        <v>386</v>
      </c>
      <c r="B171" s="419">
        <f>(E$129*(1+B$169)^(B$170+1))</f>
        <v>2729737.5596214598</v>
      </c>
      <c r="D171" s="279"/>
      <c r="F171" s="18"/>
      <c r="G171" s="408" t="s">
        <v>386</v>
      </c>
      <c r="H171" s="419">
        <f>(K$129*(1+H$169)^(H$170+1))</f>
        <v>2508310.2284358926</v>
      </c>
      <c r="J171" s="279"/>
      <c r="L171" s="18"/>
      <c r="M171" s="408" t="s">
        <v>386</v>
      </c>
      <c r="N171" s="419">
        <f>(Q$129*(1+N$169)^(N$170+1))</f>
        <v>0</v>
      </c>
      <c r="P171" s="279"/>
      <c r="R171" s="18"/>
      <c r="S171" s="352"/>
      <c r="T171" s="281"/>
    </row>
    <row r="172" spans="1:22" ht="12.95">
      <c r="A172" s="418" t="s">
        <v>477</v>
      </c>
      <c r="B172" s="483">
        <f>IFERROR(B171/B$168,0)</f>
        <v>60660834.658254668</v>
      </c>
      <c r="C172" s="357"/>
      <c r="D172" s="279"/>
      <c r="F172" s="18"/>
      <c r="G172" s="418" t="s">
        <v>477</v>
      </c>
      <c r="H172" s="483">
        <f>IFERROR(H171/H$168,0)</f>
        <v>55740227.298575394</v>
      </c>
      <c r="I172" s="357"/>
      <c r="J172" s="279"/>
      <c r="L172" s="18"/>
      <c r="M172" s="418" t="s">
        <v>477</v>
      </c>
      <c r="N172" s="483">
        <f>IFERROR(N171/N$168,0)</f>
        <v>0</v>
      </c>
      <c r="O172" s="357"/>
      <c r="P172" s="279"/>
      <c r="R172" s="18"/>
      <c r="S172" s="352"/>
      <c r="T172" s="281"/>
    </row>
    <row r="173" spans="1:22" ht="12.95">
      <c r="A173" s="412" t="s">
        <v>471</v>
      </c>
      <c r="B173" s="486">
        <f>B172</f>
        <v>60660834.658254668</v>
      </c>
      <c r="F173" s="18"/>
      <c r="G173" s="412" t="s">
        <v>471</v>
      </c>
      <c r="H173" s="486">
        <f>H172</f>
        <v>55740227.298575394</v>
      </c>
      <c r="L173" s="18"/>
      <c r="M173" s="412" t="s">
        <v>471</v>
      </c>
      <c r="N173" s="486">
        <f>N172</f>
        <v>0</v>
      </c>
      <c r="R173" s="18"/>
      <c r="S173" s="352"/>
      <c r="T173" s="281"/>
    </row>
    <row r="174" spans="1:22" ht="12.95">
      <c r="A174" s="479">
        <v>0.03</v>
      </c>
      <c r="B174" s="413">
        <f>-A$174*B$167</f>
        <v>-1176737.0426181816</v>
      </c>
      <c r="D174" s="167"/>
      <c r="G174" s="479">
        <v>0.03</v>
      </c>
      <c r="H174" s="413">
        <f>-G$174*H$167</f>
        <v>-1020948.9338181817</v>
      </c>
      <c r="J174" s="167"/>
      <c r="M174" s="479">
        <v>0.03</v>
      </c>
      <c r="N174" s="413">
        <f>-M$174*N$167</f>
        <v>0</v>
      </c>
      <c r="P174" s="167"/>
      <c r="S174" s="353"/>
      <c r="T174" s="283"/>
    </row>
    <row r="175" spans="1:22" ht="13.5" thickBot="1">
      <c r="A175" s="414" t="s">
        <v>472</v>
      </c>
      <c r="B175" s="415">
        <f>SUM(B173:B174)</f>
        <v>59484097.615636483</v>
      </c>
      <c r="D175" s="283"/>
      <c r="E175" s="274"/>
      <c r="G175" s="414" t="s">
        <v>472</v>
      </c>
      <c r="H175" s="415">
        <f>SUM(H173:H174)</f>
        <v>54719278.36475721</v>
      </c>
      <c r="J175" s="283"/>
      <c r="K175" s="274"/>
      <c r="M175" s="414" t="s">
        <v>472</v>
      </c>
      <c r="N175" s="415">
        <f>SUM(N173:N174)</f>
        <v>0</v>
      </c>
      <c r="P175" s="283"/>
      <c r="Q175" s="274"/>
      <c r="S175" s="277"/>
      <c r="T175" s="288"/>
      <c r="V175" s="167"/>
    </row>
    <row r="176" spans="1:22" ht="13.5" thickBot="1">
      <c r="A176" s="1023" t="s">
        <v>478</v>
      </c>
      <c r="B176" s="566"/>
      <c r="D176" s="276"/>
      <c r="G176" s="1023" t="s">
        <v>478</v>
      </c>
      <c r="H176" s="566"/>
      <c r="J176" s="276"/>
      <c r="M176" s="1023" t="s">
        <v>478</v>
      </c>
      <c r="N176" s="566"/>
      <c r="P176" s="276"/>
      <c r="S176" s="280"/>
      <c r="T176" s="278"/>
    </row>
    <row r="177" spans="1:22" ht="12.95">
      <c r="A177" s="291" t="s">
        <v>479</v>
      </c>
      <c r="B177" s="292">
        <f>B162+B173</f>
        <v>60660834.658254668</v>
      </c>
      <c r="G177" s="291" t="s">
        <v>479</v>
      </c>
      <c r="H177" s="292">
        <f>H162+H173</f>
        <v>94165427.298575401</v>
      </c>
      <c r="M177" s="291" t="s">
        <v>479</v>
      </c>
      <c r="N177" s="292">
        <f>N162+N173</f>
        <v>0</v>
      </c>
      <c r="S177" s="277"/>
      <c r="T177" s="302"/>
      <c r="V177" s="276"/>
    </row>
    <row r="178" spans="1:22" ht="12.95">
      <c r="A178" s="418" t="s">
        <v>480</v>
      </c>
      <c r="B178" s="486">
        <f>SUM(B164,B175)</f>
        <v>59484097.615636483</v>
      </c>
      <c r="G178" s="418" t="s">
        <v>480</v>
      </c>
      <c r="H178" s="486">
        <f>SUM(H164,H175)</f>
        <v>91991722.36475721</v>
      </c>
      <c r="M178" s="418" t="s">
        <v>480</v>
      </c>
      <c r="N178" s="486">
        <f>SUM(N164,N175)</f>
        <v>0</v>
      </c>
      <c r="S178" s="277"/>
      <c r="T178" s="302"/>
      <c r="V178" s="276"/>
    </row>
    <row r="179" spans="1:22" ht="13.5" thickBot="1">
      <c r="A179" s="416" t="s">
        <v>481</v>
      </c>
      <c r="B179" s="417">
        <f>SUM(B178:B178)</f>
        <v>59484097.615636483</v>
      </c>
      <c r="G179" s="416" t="s">
        <v>481</v>
      </c>
      <c r="H179" s="417">
        <f>SUM(H178:H178)</f>
        <v>91991722.36475721</v>
      </c>
      <c r="M179" s="416" t="s">
        <v>481</v>
      </c>
      <c r="N179" s="417">
        <f>SUM(N178:N178)</f>
        <v>0</v>
      </c>
      <c r="S179" s="277"/>
      <c r="T179" s="302"/>
      <c r="V179" s="276"/>
    </row>
    <row r="180" spans="1:22" ht="23.25" customHeight="1">
      <c r="G180" s="355"/>
      <c r="H180" s="354"/>
      <c r="M180" s="355"/>
      <c r="N180" s="354"/>
      <c r="S180" s="284"/>
      <c r="T180" s="287"/>
    </row>
    <row r="181" spans="1:22" ht="23.25" customHeight="1">
      <c r="D181" s="277"/>
      <c r="G181" s="356"/>
      <c r="H181" s="288"/>
      <c r="J181" s="277"/>
      <c r="M181" s="356"/>
      <c r="N181" s="288"/>
      <c r="P181" s="277"/>
      <c r="S181" s="355"/>
      <c r="T181" s="354"/>
    </row>
    <row r="182" spans="1:22" ht="23.25" customHeight="1">
      <c r="S182" s="356"/>
      <c r="T182" s="288"/>
      <c r="V182" s="277"/>
    </row>
    <row r="183" spans="1:22" ht="23.25" customHeight="1">
      <c r="B183" s="130"/>
      <c r="D183" s="277"/>
    </row>
    <row r="184" spans="1:22" ht="23.25" customHeight="1">
      <c r="B184" s="130"/>
    </row>
    <row r="185" spans="1:22" ht="23.25" customHeight="1">
      <c r="B185" s="290"/>
    </row>
  </sheetData>
  <mergeCells count="9">
    <mergeCell ref="A118:E118"/>
    <mergeCell ref="G118:K118"/>
    <mergeCell ref="M118:Q118"/>
    <mergeCell ref="S118:W118"/>
    <mergeCell ref="D2:E2"/>
    <mergeCell ref="B116:C116"/>
    <mergeCell ref="H116:I116"/>
    <mergeCell ref="N116:O116"/>
    <mergeCell ref="T116:U116"/>
  </mergeCells>
  <conditionalFormatting sqref="C49 C66">
    <cfRule type="expression" dxfId="41" priority="8">
      <formula>C55&gt;D48</formula>
    </cfRule>
  </conditionalFormatting>
  <conditionalFormatting sqref="C58 C75 C83">
    <cfRule type="expression" dxfId="40" priority="7">
      <formula>C63&gt;D57</formula>
    </cfRule>
  </conditionalFormatting>
  <conditionalFormatting sqref="I49 I66">
    <cfRule type="expression" dxfId="39" priority="4">
      <formula>I55&gt;J48</formula>
    </cfRule>
  </conditionalFormatting>
  <conditionalFormatting sqref="I58 I75 I83">
    <cfRule type="expression" dxfId="38" priority="3">
      <formula>I63&gt;J57</formula>
    </cfRule>
  </conditionalFormatting>
  <conditionalFormatting sqref="O49 O66">
    <cfRule type="expression" dxfId="37" priority="2">
      <formula>O55&gt;P48</formula>
    </cfRule>
  </conditionalFormatting>
  <conditionalFormatting sqref="O58 O75 O83">
    <cfRule type="expression" dxfId="36" priority="1">
      <formula>O63&gt;P57</formula>
    </cfRule>
  </conditionalFormatting>
  <conditionalFormatting sqref="U49 U66">
    <cfRule type="expression" dxfId="35" priority="6">
      <formula>U55&gt;V48</formula>
    </cfRule>
  </conditionalFormatting>
  <conditionalFormatting sqref="U58 U75 U83">
    <cfRule type="expression" dxfId="34" priority="5">
      <formula>U63&gt;V57</formula>
    </cfRule>
  </conditionalFormatting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1" manualBreakCount="1">
    <brk id="111" max="4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46313-E8E4-4120-8CB5-DA134A02354D}">
  <sheetPr>
    <tabColor theme="2" tint="-9.9978637043366805E-2"/>
  </sheetPr>
  <dimension ref="A1:CI185"/>
  <sheetViews>
    <sheetView zoomScale="85" zoomScaleNormal="85" zoomScalePageLayoutView="125" workbookViewId="0">
      <pane xSplit="1" ySplit="9" topLeftCell="V37" activePane="bottomRight" state="frozen"/>
      <selection pane="bottomRight" activeCell="Z56" sqref="Z56"/>
      <selection pane="bottomLeft" activeCell="E4" sqref="E4"/>
      <selection pane="topRight" activeCell="E4" sqref="E4"/>
    </sheetView>
  </sheetViews>
  <sheetFormatPr defaultColWidth="8.85546875" defaultRowHeight="14.1"/>
  <cols>
    <col min="1" max="1" width="44" style="207" bestFit="1" customWidth="1"/>
    <col min="2" max="2" width="42.5703125" style="208" customWidth="1"/>
    <col min="3" max="4" width="17.85546875" style="207" hidden="1" customWidth="1"/>
    <col min="5" max="43" width="17.85546875" style="207" customWidth="1"/>
    <col min="44" max="44" width="17.85546875" style="208" customWidth="1"/>
    <col min="45" max="58" width="17.5703125" style="207" customWidth="1"/>
    <col min="59" max="59" width="20.42578125" style="207" customWidth="1"/>
    <col min="60" max="84" width="17" style="207" customWidth="1"/>
    <col min="85" max="85" width="16.42578125" style="207" customWidth="1"/>
    <col min="86" max="86" width="15" style="209" customWidth="1"/>
    <col min="87" max="87" width="17.85546875" style="209" bestFit="1" customWidth="1"/>
    <col min="88" max="88" width="9.42578125" style="207" bestFit="1" customWidth="1"/>
    <col min="89" max="89" width="11.85546875" style="207" bestFit="1" customWidth="1"/>
    <col min="90" max="91" width="9.42578125" style="207" bestFit="1" customWidth="1"/>
    <col min="92" max="16384" width="8.85546875" style="207"/>
  </cols>
  <sheetData>
    <row r="1" spans="1:87" ht="20.25" customHeight="1"/>
    <row r="2" spans="1:87" s="488" customFormat="1" ht="20.25" customHeight="1">
      <c r="A2" s="1081" t="str">
        <f>'4-H Financial'!D2</f>
        <v>4-H</v>
      </c>
      <c r="B2" s="775"/>
      <c r="C2" s="1092"/>
      <c r="D2" s="1092"/>
      <c r="E2" s="1082" t="str">
        <f>'Development Program'!C65</f>
        <v>Pre-Development</v>
      </c>
      <c r="F2" s="1083"/>
      <c r="G2" s="1083"/>
      <c r="H2" s="1082" t="str">
        <f>'Development Program'!F65</f>
        <v>Construction</v>
      </c>
      <c r="I2" s="1083"/>
      <c r="J2" s="1083"/>
      <c r="K2" s="1082" t="str">
        <f>'Development Program'!I65</f>
        <v>Close-Out</v>
      </c>
      <c r="L2" s="1083"/>
      <c r="M2" s="1084"/>
      <c r="N2" s="420" t="s">
        <v>202</v>
      </c>
      <c r="O2" s="1092"/>
      <c r="P2" s="1092"/>
      <c r="Q2" s="1092"/>
      <c r="R2" s="1092"/>
      <c r="S2" s="1092"/>
      <c r="T2" s="1092"/>
      <c r="U2" s="1092"/>
      <c r="V2" s="1092"/>
      <c r="W2" s="1092"/>
      <c r="X2" s="1092"/>
      <c r="Y2" s="1092"/>
      <c r="Z2" s="1092"/>
      <c r="AA2" s="1092"/>
      <c r="AB2" s="1092"/>
      <c r="AC2" s="1092"/>
      <c r="AD2" s="1092"/>
      <c r="AE2" s="1092"/>
      <c r="AF2" s="1092"/>
      <c r="AG2" s="1092"/>
      <c r="AH2" s="1092"/>
      <c r="AI2" s="1092"/>
      <c r="AJ2" s="1092"/>
      <c r="AK2" s="1092"/>
      <c r="AL2" s="1092"/>
      <c r="AM2" s="1092"/>
      <c r="AN2" s="1092"/>
      <c r="AO2" s="1092"/>
      <c r="AP2" s="1092"/>
      <c r="AQ2" s="1092"/>
      <c r="AR2" s="775"/>
      <c r="AS2" s="1092"/>
      <c r="AT2" s="1092"/>
      <c r="AU2" s="1092"/>
      <c r="AV2" s="1092"/>
      <c r="AW2" s="1092"/>
      <c r="AX2" s="1092"/>
      <c r="AY2" s="1092"/>
      <c r="AZ2" s="1092"/>
      <c r="BA2" s="1092"/>
      <c r="BB2" s="1092"/>
      <c r="BC2" s="1092"/>
      <c r="BD2" s="1092"/>
      <c r="BE2" s="1092"/>
      <c r="BF2" s="1092"/>
      <c r="BG2" s="1092"/>
      <c r="BH2" s="1092"/>
      <c r="BI2" s="1092"/>
      <c r="BJ2" s="1092"/>
      <c r="BK2" s="1092"/>
      <c r="BL2" s="1092"/>
      <c r="BM2" s="1092"/>
      <c r="BN2" s="1092"/>
      <c r="BO2" s="1092"/>
      <c r="BP2" s="1092"/>
      <c r="BQ2" s="1092"/>
      <c r="BR2" s="1092"/>
      <c r="BS2" s="1092"/>
      <c r="BT2" s="1092"/>
      <c r="BU2" s="1092"/>
      <c r="BV2" s="1092"/>
      <c r="BW2" s="1092"/>
      <c r="BX2" s="1092"/>
      <c r="BY2" s="1092"/>
      <c r="BZ2" s="1092"/>
      <c r="CA2" s="1092"/>
      <c r="CB2" s="1092"/>
      <c r="CC2" s="1092"/>
      <c r="CD2" s="1092"/>
      <c r="CE2" s="1092"/>
      <c r="CF2" s="1092"/>
      <c r="CG2" s="1092"/>
      <c r="CH2" s="1093"/>
      <c r="CI2" s="1093"/>
    </row>
    <row r="3" spans="1:87" ht="20.25" customHeight="1">
      <c r="A3" s="1081"/>
      <c r="B3" s="248" t="s">
        <v>482</v>
      </c>
      <c r="E3" s="765" t="str">
        <f>'Development Program'!C66</f>
        <v>PD Start</v>
      </c>
      <c r="F3" s="1094" t="str">
        <f>'Development Program'!D66</f>
        <v>PD End</v>
      </c>
      <c r="G3" s="766" t="str">
        <f>'Development Program'!E66</f>
        <v>PD Duration</v>
      </c>
      <c r="H3" s="765" t="str">
        <f>'Development Program'!F66</f>
        <v>CS Start</v>
      </c>
      <c r="I3" s="1094" t="str">
        <f>'Development Program'!G66</f>
        <v>CS End</v>
      </c>
      <c r="J3" s="766" t="str">
        <f>'Development Program'!H66</f>
        <v>CS Duration</v>
      </c>
      <c r="K3" s="1025" t="str">
        <f>'Development Program'!I66</f>
        <v>CO Start</v>
      </c>
      <c r="L3" s="767" t="str">
        <f>'Development Program'!J66</f>
        <v>CO End</v>
      </c>
      <c r="M3" s="266" t="str">
        <f>'Development Program'!K66</f>
        <v>CO Duration</v>
      </c>
      <c r="N3" s="262"/>
    </row>
    <row r="4" spans="1:87" s="768" customFormat="1" ht="20.25" customHeight="1">
      <c r="A4" s="1081"/>
      <c r="B4" s="776" t="s">
        <v>483</v>
      </c>
      <c r="E4" s="263">
        <f>INDEX('Development Program'!$B$66:$K$76,MATCH($A$2,'Development Program'!$B$66:$B$76,0),MATCH(E3,'Development Program'!$B$66:$K$66,0))</f>
        <v>48214</v>
      </c>
      <c r="F4" s="264">
        <f>INDEX('Development Program'!$B$66:$K$76,MATCH($A$2,'Development Program'!$B$66:$B$76,0),MATCH(F3,'Development Program'!$B$66:$K$66,0))</f>
        <v>48669</v>
      </c>
      <c r="G4" s="265">
        <f>INDEX('Development Program'!$B$66:$K$76,MATCH($A$2,'Development Program'!$B$66:$B$76,0),MATCH(G3,'Development Program'!$B$66:$K$66,0))</f>
        <v>15</v>
      </c>
      <c r="H4" s="263">
        <f>INDEX('Development Program'!$B$66:$K$76,MATCH($A$2,'Development Program'!$B$66:$B$76,0),MATCH(H3,'Development Program'!$B$66:$K$66,0))</f>
        <v>48670</v>
      </c>
      <c r="I4" s="264">
        <f>INDEX('Development Program'!$B$66:$K$76,MATCH($A$2,'Development Program'!$B$66:$B$76,0),MATCH(I3,'Development Program'!$B$66:$K$66,0))</f>
        <v>49765</v>
      </c>
      <c r="J4" s="265">
        <f>INDEX('Development Program'!$B$66:$K$76,MATCH($A$2,'Development Program'!$B$66:$B$76,0),MATCH(J3,'Development Program'!$B$66:$K$66,0))</f>
        <v>36</v>
      </c>
      <c r="K4" s="263">
        <f>INDEX('Development Program'!$B$66:$K$76,MATCH($A$2,'Development Program'!$B$66:$B$76,0),MATCH(K3,'Development Program'!$B$66:$K$66,0))</f>
        <v>49766</v>
      </c>
      <c r="L4" s="264">
        <f>INDEX('Development Program'!$B$66:$K$76,MATCH($A$2,'Development Program'!$B$66:$B$76,0),MATCH(L3,'Development Program'!$B$66:$K$66,0))</f>
        <v>49948</v>
      </c>
      <c r="M4" s="265">
        <f>INDEX('Development Program'!$B$66:$K$76,MATCH($A$2,'Development Program'!$B$66:$B$76,0),MATCH(M3,'Development Program'!$B$66:$K$66,0))</f>
        <v>6</v>
      </c>
      <c r="N4" s="265">
        <f>INDEX('Development Program'!$B$66:$L$76,MATCH($A$2,'Development Program'!$B$66:$B$76,0),MATCH(N2,'Development Program'!$B$65:$L$65,0))</f>
        <v>57</v>
      </c>
      <c r="O4" s="769"/>
      <c r="U4" s="770"/>
      <c r="AR4" s="771"/>
      <c r="AS4" s="772"/>
      <c r="AT4" s="772"/>
      <c r="AU4" s="772"/>
      <c r="BA4" s="1085" t="s">
        <v>484</v>
      </c>
      <c r="BB4" s="1085"/>
      <c r="BC4" s="1085"/>
      <c r="BD4" s="1085"/>
      <c r="BE4" s="1085"/>
      <c r="BF4" s="773"/>
      <c r="BG4" s="1080" t="s">
        <v>485</v>
      </c>
      <c r="BH4" s="1080"/>
      <c r="BI4" s="1080"/>
      <c r="CH4" s="774"/>
      <c r="CI4" s="774"/>
    </row>
    <row r="5" spans="1:87" s="210" customFormat="1" ht="20.25" customHeight="1">
      <c r="A5" s="261"/>
      <c r="B5" s="249"/>
      <c r="C5" s="258" t="str">
        <f>IFERROR(INDEX($E$2:$N$4,2,MATCH(#REF!+1,$E$4:$N$4,0)),"")</f>
        <v/>
      </c>
      <c r="D5" s="258" t="str">
        <f>IFERROR(INDEX($E$2:$N$4,2,MATCH(C9+1,$E$4:$N$4,0)),"")</f>
        <v/>
      </c>
      <c r="E5" s="258"/>
      <c r="F5" s="258" t="str">
        <f t="shared" ref="F5:X5" si="0">IFERROR(INDEX($E$2:$N$4,2,MATCH(E9+1,$E$4:$N$4,0)),"")</f>
        <v>PD Start</v>
      </c>
      <c r="G5" s="258" t="str">
        <f t="shared" si="0"/>
        <v/>
      </c>
      <c r="H5" s="258" t="str">
        <f t="shared" si="0"/>
        <v/>
      </c>
      <c r="I5" s="258" t="str">
        <f t="shared" si="0"/>
        <v/>
      </c>
      <c r="J5" s="258" t="str">
        <f t="shared" si="0"/>
        <v/>
      </c>
      <c r="K5" s="258" t="str">
        <f t="shared" si="0"/>
        <v>CS Start</v>
      </c>
      <c r="L5" s="258" t="str">
        <f t="shared" si="0"/>
        <v/>
      </c>
      <c r="M5" s="258" t="str">
        <f t="shared" si="0"/>
        <v/>
      </c>
      <c r="N5" s="258" t="str">
        <f t="shared" si="0"/>
        <v/>
      </c>
      <c r="O5" s="258" t="str">
        <f t="shared" si="0"/>
        <v/>
      </c>
      <c r="P5" s="258" t="str">
        <f t="shared" si="0"/>
        <v/>
      </c>
      <c r="Q5" s="258" t="str">
        <f t="shared" si="0"/>
        <v/>
      </c>
      <c r="R5" s="258" t="str">
        <f t="shared" si="0"/>
        <v/>
      </c>
      <c r="S5" s="258" t="str">
        <f t="shared" si="0"/>
        <v/>
      </c>
      <c r="T5" s="258" t="str">
        <f t="shared" si="0"/>
        <v/>
      </c>
      <c r="U5" s="258" t="str">
        <f t="shared" si="0"/>
        <v/>
      </c>
      <c r="V5" s="258" t="str">
        <f t="shared" si="0"/>
        <v/>
      </c>
      <c r="W5" s="258" t="str">
        <f t="shared" si="0"/>
        <v>CO Start</v>
      </c>
      <c r="X5" s="258" t="str">
        <f t="shared" si="0"/>
        <v/>
      </c>
      <c r="Y5" s="246">
        <v>1</v>
      </c>
      <c r="Z5" s="246">
        <v>1</v>
      </c>
      <c r="AA5" s="246">
        <v>1</v>
      </c>
      <c r="AB5" s="246">
        <v>1</v>
      </c>
      <c r="AC5" s="246">
        <v>2</v>
      </c>
      <c r="AD5" s="246">
        <v>2</v>
      </c>
      <c r="AE5" s="246">
        <v>2</v>
      </c>
      <c r="AF5" s="246">
        <v>2</v>
      </c>
      <c r="AG5" s="246">
        <v>3</v>
      </c>
      <c r="AH5" s="246">
        <v>3</v>
      </c>
      <c r="AI5" s="246">
        <v>3</v>
      </c>
      <c r="AJ5" s="246">
        <v>3</v>
      </c>
      <c r="AK5" s="246">
        <v>4</v>
      </c>
      <c r="AL5" s="246">
        <v>4</v>
      </c>
      <c r="AM5" s="246">
        <v>4</v>
      </c>
      <c r="AN5" s="246">
        <v>4</v>
      </c>
      <c r="AO5" s="246">
        <v>5</v>
      </c>
      <c r="AP5" s="246">
        <v>5</v>
      </c>
      <c r="AQ5" s="246">
        <v>5</v>
      </c>
      <c r="AR5" s="247">
        <v>5</v>
      </c>
      <c r="AS5" s="211"/>
      <c r="AT5" s="211"/>
      <c r="AU5" s="211"/>
      <c r="BA5" s="212"/>
      <c r="BB5" s="212"/>
      <c r="BC5" s="212"/>
      <c r="BD5" s="212"/>
      <c r="BE5" s="212"/>
      <c r="BF5" s="212"/>
      <c r="BG5" s="213"/>
      <c r="BH5" s="213"/>
      <c r="BI5" s="213"/>
      <c r="CH5" s="214"/>
      <c r="CI5" s="214"/>
    </row>
    <row r="6" spans="1:87" s="210" customFormat="1" ht="20.25" customHeight="1">
      <c r="A6" s="261"/>
      <c r="B6" s="249"/>
      <c r="C6" s="258"/>
      <c r="D6" s="258"/>
      <c r="E6" s="258" t="str">
        <f t="shared" ref="E6:X6" si="1">IFERROR(INDEX($E$2:$N$4,2,MATCH(E9,$E$4:$N$4,0)),"")</f>
        <v/>
      </c>
      <c r="F6" s="258" t="str">
        <f t="shared" si="1"/>
        <v/>
      </c>
      <c r="G6" s="258" t="str">
        <f t="shared" si="1"/>
        <v/>
      </c>
      <c r="H6" s="258" t="str">
        <f t="shared" si="1"/>
        <v/>
      </c>
      <c r="I6" s="258" t="str">
        <f t="shared" si="1"/>
        <v/>
      </c>
      <c r="J6" s="258" t="str">
        <f t="shared" si="1"/>
        <v>PD End</v>
      </c>
      <c r="K6" s="258" t="str">
        <f t="shared" si="1"/>
        <v/>
      </c>
      <c r="L6" s="258" t="str">
        <f t="shared" si="1"/>
        <v/>
      </c>
      <c r="M6" s="258" t="str">
        <f t="shared" si="1"/>
        <v/>
      </c>
      <c r="N6" s="258" t="str">
        <f t="shared" si="1"/>
        <v/>
      </c>
      <c r="O6" s="258" t="str">
        <f t="shared" si="1"/>
        <v/>
      </c>
      <c r="P6" s="258" t="str">
        <f t="shared" si="1"/>
        <v/>
      </c>
      <c r="Q6" s="258" t="str">
        <f t="shared" si="1"/>
        <v/>
      </c>
      <c r="R6" s="258" t="str">
        <f t="shared" si="1"/>
        <v/>
      </c>
      <c r="S6" s="258" t="str">
        <f t="shared" si="1"/>
        <v/>
      </c>
      <c r="T6" s="258" t="str">
        <f t="shared" si="1"/>
        <v/>
      </c>
      <c r="U6" s="258" t="str">
        <f t="shared" si="1"/>
        <v/>
      </c>
      <c r="V6" s="258" t="str">
        <f t="shared" si="1"/>
        <v>CS End</v>
      </c>
      <c r="W6" s="258" t="str">
        <f t="shared" si="1"/>
        <v/>
      </c>
      <c r="X6" s="258" t="str">
        <f t="shared" si="1"/>
        <v>CO End</v>
      </c>
      <c r="Y6" s="828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247"/>
      <c r="AS6" s="211"/>
      <c r="AT6" s="211"/>
      <c r="AU6" s="211"/>
      <c r="BA6" s="212"/>
      <c r="BB6" s="212"/>
      <c r="BC6" s="212"/>
      <c r="BD6" s="212"/>
      <c r="BE6" s="212"/>
      <c r="BF6" s="212"/>
      <c r="BG6" s="213"/>
      <c r="BH6" s="213"/>
      <c r="BI6" s="213"/>
      <c r="CH6" s="214"/>
      <c r="CI6" s="214"/>
    </row>
    <row r="7" spans="1:87" s="210" customFormat="1" ht="20.25" customHeight="1">
      <c r="A7" s="261"/>
      <c r="B7" s="249" t="s">
        <v>486</v>
      </c>
      <c r="C7" s="258"/>
      <c r="D7" s="258"/>
      <c r="E7" s="258">
        <v>0</v>
      </c>
      <c r="F7" s="258">
        <f t="shared" ref="F7:X7" si="2">IF(OR($H$4&gt;F9,$K$4&lt;F9),0,E7+1)</f>
        <v>0</v>
      </c>
      <c r="G7" s="258">
        <f t="shared" si="2"/>
        <v>0</v>
      </c>
      <c r="H7" s="258">
        <f t="shared" si="2"/>
        <v>0</v>
      </c>
      <c r="I7" s="258">
        <f t="shared" si="2"/>
        <v>0</v>
      </c>
      <c r="J7" s="258">
        <f t="shared" si="2"/>
        <v>0</v>
      </c>
      <c r="K7" s="258">
        <f t="shared" si="2"/>
        <v>1</v>
      </c>
      <c r="L7" s="258">
        <f t="shared" si="2"/>
        <v>2</v>
      </c>
      <c r="M7" s="258">
        <f t="shared" si="2"/>
        <v>3</v>
      </c>
      <c r="N7" s="258">
        <f t="shared" si="2"/>
        <v>4</v>
      </c>
      <c r="O7" s="258">
        <f t="shared" si="2"/>
        <v>5</v>
      </c>
      <c r="P7" s="258">
        <f t="shared" si="2"/>
        <v>6</v>
      </c>
      <c r="Q7" s="258">
        <f t="shared" si="2"/>
        <v>7</v>
      </c>
      <c r="R7" s="258">
        <f t="shared" si="2"/>
        <v>8</v>
      </c>
      <c r="S7" s="258">
        <f t="shared" si="2"/>
        <v>9</v>
      </c>
      <c r="T7" s="258">
        <f t="shared" si="2"/>
        <v>10</v>
      </c>
      <c r="U7" s="258">
        <f t="shared" si="2"/>
        <v>11</v>
      </c>
      <c r="V7" s="258">
        <f t="shared" si="2"/>
        <v>12</v>
      </c>
      <c r="W7" s="258">
        <f t="shared" si="2"/>
        <v>0</v>
      </c>
      <c r="X7" s="258">
        <f t="shared" si="2"/>
        <v>0</v>
      </c>
      <c r="Y7" s="829">
        <v>1</v>
      </c>
      <c r="Z7" s="829">
        <v>2</v>
      </c>
      <c r="AA7" s="829">
        <v>3</v>
      </c>
      <c r="AB7" s="829">
        <v>4</v>
      </c>
      <c r="AC7" s="829">
        <v>1</v>
      </c>
      <c r="AD7" s="829">
        <v>2</v>
      </c>
      <c r="AE7" s="829">
        <v>3</v>
      </c>
      <c r="AF7" s="829">
        <v>4</v>
      </c>
      <c r="AG7" s="829">
        <v>1</v>
      </c>
      <c r="AH7" s="829">
        <v>2</v>
      </c>
      <c r="AI7" s="829">
        <v>3</v>
      </c>
      <c r="AJ7" s="829">
        <v>4</v>
      </c>
      <c r="AK7" s="829">
        <v>1</v>
      </c>
      <c r="AL7" s="829">
        <v>2</v>
      </c>
      <c r="AM7" s="829">
        <v>3</v>
      </c>
      <c r="AN7" s="829">
        <v>4</v>
      </c>
      <c r="AO7" s="829">
        <v>1</v>
      </c>
      <c r="AP7" s="829">
        <v>2</v>
      </c>
      <c r="AQ7" s="829">
        <v>3</v>
      </c>
      <c r="AR7" s="830">
        <v>4</v>
      </c>
      <c r="AS7" s="211"/>
      <c r="AT7" s="211"/>
      <c r="AU7" s="211"/>
      <c r="BA7" s="212"/>
      <c r="BB7" s="212"/>
      <c r="BC7" s="212"/>
      <c r="BD7" s="212"/>
      <c r="BE7" s="212"/>
      <c r="BF7" s="212"/>
      <c r="BG7" s="213"/>
      <c r="BH7" s="213"/>
      <c r="BI7" s="213"/>
      <c r="CH7" s="214"/>
      <c r="CI7" s="214"/>
    </row>
    <row r="8" spans="1:87" s="210" customFormat="1" ht="20.25" customHeight="1">
      <c r="A8" s="261"/>
      <c r="B8" s="249" t="s">
        <v>487</v>
      </c>
      <c r="C8" s="258"/>
      <c r="D8" s="258"/>
      <c r="E8" s="258">
        <v>0</v>
      </c>
      <c r="F8" s="258">
        <f>IF(OR(G6=$I$3,F6=$I$3,F5=$K$3),1,0)</f>
        <v>0</v>
      </c>
      <c r="G8" s="258">
        <f t="shared" ref="G8:W8" si="3">IF(OR(H6=$I$3,G6=$I$3,G5=$K$3),1,0)</f>
        <v>0</v>
      </c>
      <c r="H8" s="258">
        <f t="shared" si="3"/>
        <v>0</v>
      </c>
      <c r="I8" s="258">
        <f t="shared" si="3"/>
        <v>0</v>
      </c>
      <c r="J8" s="258">
        <f t="shared" si="3"/>
        <v>0</v>
      </c>
      <c r="K8" s="258">
        <f t="shared" si="3"/>
        <v>0</v>
      </c>
      <c r="L8" s="258">
        <f t="shared" si="3"/>
        <v>0</v>
      </c>
      <c r="M8" s="258">
        <f t="shared" si="3"/>
        <v>0</v>
      </c>
      <c r="N8" s="258">
        <f t="shared" si="3"/>
        <v>0</v>
      </c>
      <c r="O8" s="258">
        <f t="shared" si="3"/>
        <v>0</v>
      </c>
      <c r="P8" s="258">
        <f t="shared" si="3"/>
        <v>0</v>
      </c>
      <c r="Q8" s="258">
        <f t="shared" si="3"/>
        <v>0</v>
      </c>
      <c r="R8" s="258">
        <f t="shared" si="3"/>
        <v>0</v>
      </c>
      <c r="S8" s="258">
        <f t="shared" si="3"/>
        <v>0</v>
      </c>
      <c r="T8" s="258">
        <f t="shared" si="3"/>
        <v>0</v>
      </c>
      <c r="U8" s="258">
        <f t="shared" si="3"/>
        <v>1</v>
      </c>
      <c r="V8" s="258">
        <f t="shared" si="3"/>
        <v>1</v>
      </c>
      <c r="W8" s="258">
        <f t="shared" si="3"/>
        <v>1</v>
      </c>
      <c r="X8" s="258">
        <f>IF(OR(Y6=$I$3,X6=$I$3,X5=$K$3),1,0)</f>
        <v>0</v>
      </c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7"/>
      <c r="AS8" s="211"/>
      <c r="AT8" s="211"/>
      <c r="AU8" s="211"/>
      <c r="BA8" s="212"/>
      <c r="BB8" s="212"/>
      <c r="BC8" s="212"/>
      <c r="BD8" s="212"/>
      <c r="BE8" s="212"/>
      <c r="BF8" s="212"/>
      <c r="BG8" s="213"/>
      <c r="BH8" s="213"/>
      <c r="BI8" s="213"/>
      <c r="CH8" s="214"/>
      <c r="CI8" s="214"/>
    </row>
    <row r="9" spans="1:87" s="215" customFormat="1" ht="20.25" customHeight="1">
      <c r="A9" s="261"/>
      <c r="B9" s="250" t="s">
        <v>373</v>
      </c>
      <c r="C9" s="218" t="s">
        <v>488</v>
      </c>
      <c r="D9" s="218" t="s">
        <v>489</v>
      </c>
      <c r="E9" s="216">
        <f>E4-1</f>
        <v>48213</v>
      </c>
      <c r="F9" s="216">
        <f>EOMONTH(E9,3)</f>
        <v>48304</v>
      </c>
      <c r="G9" s="216">
        <f t="shared" ref="G9:V9" si="4">EOMONTH(F9,3)</f>
        <v>48395</v>
      </c>
      <c r="H9" s="216">
        <f t="shared" si="4"/>
        <v>48487</v>
      </c>
      <c r="I9" s="216">
        <f t="shared" si="4"/>
        <v>48579</v>
      </c>
      <c r="J9" s="216">
        <f t="shared" si="4"/>
        <v>48669</v>
      </c>
      <c r="K9" s="216">
        <f t="shared" si="4"/>
        <v>48760</v>
      </c>
      <c r="L9" s="216">
        <f t="shared" si="4"/>
        <v>48852</v>
      </c>
      <c r="M9" s="216">
        <f t="shared" si="4"/>
        <v>48944</v>
      </c>
      <c r="N9" s="216">
        <f t="shared" si="4"/>
        <v>49034</v>
      </c>
      <c r="O9" s="216">
        <f t="shared" si="4"/>
        <v>49125</v>
      </c>
      <c r="P9" s="216">
        <f t="shared" si="4"/>
        <v>49217</v>
      </c>
      <c r="Q9" s="216">
        <f t="shared" si="4"/>
        <v>49309</v>
      </c>
      <c r="R9" s="216">
        <f t="shared" si="4"/>
        <v>49399</v>
      </c>
      <c r="S9" s="216">
        <f t="shared" si="4"/>
        <v>49490</v>
      </c>
      <c r="T9" s="216">
        <f t="shared" si="4"/>
        <v>49582</v>
      </c>
      <c r="U9" s="216">
        <f t="shared" si="4"/>
        <v>49674</v>
      </c>
      <c r="V9" s="216">
        <f t="shared" si="4"/>
        <v>49765</v>
      </c>
      <c r="W9" s="216">
        <f>EOMONTH(V9,3)</f>
        <v>49856</v>
      </c>
      <c r="X9" s="216">
        <f>EOMONTH(W9,3)</f>
        <v>49948</v>
      </c>
      <c r="Y9" s="216">
        <f>EOMONTH(X9,3)</f>
        <v>50040</v>
      </c>
      <c r="Z9" s="216">
        <f t="shared" ref="Z9:AR9" si="5">EOMONTH(Y9,3)</f>
        <v>50130</v>
      </c>
      <c r="AA9" s="216">
        <f t="shared" si="5"/>
        <v>50221</v>
      </c>
      <c r="AB9" s="216">
        <f t="shared" si="5"/>
        <v>50313</v>
      </c>
      <c r="AC9" s="216">
        <f t="shared" si="5"/>
        <v>50405</v>
      </c>
      <c r="AD9" s="216">
        <f t="shared" si="5"/>
        <v>50495</v>
      </c>
      <c r="AE9" s="216">
        <f t="shared" si="5"/>
        <v>50586</v>
      </c>
      <c r="AF9" s="216">
        <f t="shared" si="5"/>
        <v>50678</v>
      </c>
      <c r="AG9" s="216">
        <f t="shared" si="5"/>
        <v>50770</v>
      </c>
      <c r="AH9" s="216">
        <f t="shared" si="5"/>
        <v>50860</v>
      </c>
      <c r="AI9" s="216">
        <f t="shared" si="5"/>
        <v>50951</v>
      </c>
      <c r="AJ9" s="216">
        <f t="shared" si="5"/>
        <v>51043</v>
      </c>
      <c r="AK9" s="216">
        <f t="shared" si="5"/>
        <v>51135</v>
      </c>
      <c r="AL9" s="216">
        <f t="shared" si="5"/>
        <v>51226</v>
      </c>
      <c r="AM9" s="216">
        <f t="shared" si="5"/>
        <v>51317</v>
      </c>
      <c r="AN9" s="216">
        <f t="shared" si="5"/>
        <v>51409</v>
      </c>
      <c r="AO9" s="216">
        <f t="shared" si="5"/>
        <v>51501</v>
      </c>
      <c r="AP9" s="216">
        <f t="shared" si="5"/>
        <v>51591</v>
      </c>
      <c r="AQ9" s="216">
        <f t="shared" si="5"/>
        <v>51682</v>
      </c>
      <c r="AR9" s="217">
        <f t="shared" si="5"/>
        <v>51774</v>
      </c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</row>
    <row r="10" spans="1:87" ht="20.25" customHeight="1">
      <c r="A10" s="207" t="s">
        <v>490</v>
      </c>
      <c r="B10" s="251"/>
      <c r="C10" s="220"/>
      <c r="D10" s="222"/>
      <c r="E10" s="271">
        <f>IF(E7&gt;0,NORMSDIST((E7-(($J$4)/6))/1.8),0)</f>
        <v>0</v>
      </c>
      <c r="F10" s="220">
        <f t="shared" ref="F10:X10" si="6">IF(F7&gt;0,NORMSDIST((F7-(($J$4)/6))/1.8),0)</f>
        <v>0</v>
      </c>
      <c r="G10" s="220">
        <f t="shared" si="6"/>
        <v>0</v>
      </c>
      <c r="H10" s="220">
        <f t="shared" si="6"/>
        <v>0</v>
      </c>
      <c r="I10" s="220">
        <f t="shared" si="6"/>
        <v>0</v>
      </c>
      <c r="J10" s="220">
        <f t="shared" si="6"/>
        <v>0</v>
      </c>
      <c r="K10" s="220">
        <f t="shared" si="6"/>
        <v>2.7366017862441431E-3</v>
      </c>
      <c r="L10" s="220">
        <f t="shared" si="6"/>
        <v>1.3134145691021117E-2</v>
      </c>
      <c r="M10" s="220">
        <f t="shared" si="6"/>
        <v>4.7790352272814703E-2</v>
      </c>
      <c r="N10" s="220">
        <f t="shared" si="6"/>
        <v>0.13326026290250542</v>
      </c>
      <c r="O10" s="220">
        <f t="shared" si="6"/>
        <v>0.28925736075397196</v>
      </c>
      <c r="P10" s="220">
        <f t="shared" si="6"/>
        <v>0.5</v>
      </c>
      <c r="Q10" s="220">
        <f t="shared" si="6"/>
        <v>0.7107426392460281</v>
      </c>
      <c r="R10" s="220">
        <f t="shared" si="6"/>
        <v>0.86673973709749452</v>
      </c>
      <c r="S10" s="220">
        <f t="shared" si="6"/>
        <v>0.9522096477271853</v>
      </c>
      <c r="T10" s="220">
        <f t="shared" si="6"/>
        <v>0.98686585430897888</v>
      </c>
      <c r="U10" s="220">
        <f t="shared" si="6"/>
        <v>0.99726339821375587</v>
      </c>
      <c r="V10" s="220">
        <f t="shared" si="6"/>
        <v>0.99957093966680322</v>
      </c>
      <c r="W10" s="220">
        <f t="shared" si="6"/>
        <v>0</v>
      </c>
      <c r="X10" s="220">
        <f t="shared" si="6"/>
        <v>0</v>
      </c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1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CH10" s="207"/>
      <c r="CI10" s="207"/>
    </row>
    <row r="11" spans="1:87" ht="20.25" customHeight="1">
      <c r="A11" s="207" t="s">
        <v>491</v>
      </c>
      <c r="B11" s="268">
        <f>SUM(E11:W11)</f>
        <v>0.99957093966680322</v>
      </c>
      <c r="C11" s="220">
        <f>SUM(E11:X11)</f>
        <v>0.99957093966680322</v>
      </c>
      <c r="D11" s="222"/>
      <c r="E11" s="271">
        <f>IF(E10-B10&lt;0,0,E10-B10)</f>
        <v>0</v>
      </c>
      <c r="F11" s="220">
        <f t="shared" ref="F11:X11" si="7">IF(F10-E10&lt;0,0,F10-E10)</f>
        <v>0</v>
      </c>
      <c r="G11" s="220">
        <f t="shared" si="7"/>
        <v>0</v>
      </c>
      <c r="H11" s="220">
        <f t="shared" si="7"/>
        <v>0</v>
      </c>
      <c r="I11" s="220">
        <f t="shared" si="7"/>
        <v>0</v>
      </c>
      <c r="J11" s="220">
        <f t="shared" si="7"/>
        <v>0</v>
      </c>
      <c r="K11" s="220">
        <f t="shared" si="7"/>
        <v>2.7366017862441431E-3</v>
      </c>
      <c r="L11" s="220">
        <f t="shared" si="7"/>
        <v>1.0397543904776974E-2</v>
      </c>
      <c r="M11" s="220">
        <f t="shared" si="7"/>
        <v>3.4656206581793587E-2</v>
      </c>
      <c r="N11" s="220">
        <f t="shared" si="7"/>
        <v>8.5469910629690726E-2</v>
      </c>
      <c r="O11" s="220">
        <f t="shared" si="7"/>
        <v>0.15599709785146654</v>
      </c>
      <c r="P11" s="220">
        <f t="shared" si="7"/>
        <v>0.21074263924602804</v>
      </c>
      <c r="Q11" s="220">
        <f t="shared" si="7"/>
        <v>0.2107426392460281</v>
      </c>
      <c r="R11" s="220">
        <f t="shared" si="7"/>
        <v>0.15599709785146643</v>
      </c>
      <c r="S11" s="220">
        <f t="shared" si="7"/>
        <v>8.5469910629690782E-2</v>
      </c>
      <c r="T11" s="220">
        <f t="shared" si="7"/>
        <v>3.465620658179358E-2</v>
      </c>
      <c r="U11" s="220">
        <f t="shared" si="7"/>
        <v>1.0397543904776985E-2</v>
      </c>
      <c r="V11" s="220">
        <f t="shared" si="7"/>
        <v>2.3075414530473459E-3</v>
      </c>
      <c r="W11" s="220">
        <f t="shared" si="7"/>
        <v>0</v>
      </c>
      <c r="X11" s="220">
        <f t="shared" si="7"/>
        <v>0</v>
      </c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1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CH11" s="207"/>
      <c r="CI11" s="207"/>
    </row>
    <row r="12" spans="1:87" ht="20.25" customHeight="1">
      <c r="A12" s="207" t="s">
        <v>492</v>
      </c>
      <c r="B12" s="268">
        <f>SUM(E12:W12)</f>
        <v>4.290603331967846E-4</v>
      </c>
      <c r="C12" s="220">
        <f>SUM(E12:X12)</f>
        <v>4.290603331967846E-4</v>
      </c>
      <c r="D12" s="487">
        <f>B12-C12</f>
        <v>0</v>
      </c>
      <c r="E12" s="269">
        <f t="shared" ref="E12:X12" si="8">IF(E6=$I$3,100%-E10,0)</f>
        <v>0</v>
      </c>
      <c r="F12" s="267">
        <f t="shared" si="8"/>
        <v>0</v>
      </c>
      <c r="G12" s="267">
        <f t="shared" si="8"/>
        <v>0</v>
      </c>
      <c r="H12" s="267">
        <f t="shared" si="8"/>
        <v>0</v>
      </c>
      <c r="I12" s="267">
        <f t="shared" si="8"/>
        <v>0</v>
      </c>
      <c r="J12" s="267">
        <f t="shared" si="8"/>
        <v>0</v>
      </c>
      <c r="K12" s="267">
        <f t="shared" si="8"/>
        <v>0</v>
      </c>
      <c r="L12" s="267">
        <f t="shared" si="8"/>
        <v>0</v>
      </c>
      <c r="M12" s="267">
        <f t="shared" si="8"/>
        <v>0</v>
      </c>
      <c r="N12" s="267">
        <f t="shared" si="8"/>
        <v>0</v>
      </c>
      <c r="O12" s="267">
        <f t="shared" si="8"/>
        <v>0</v>
      </c>
      <c r="P12" s="267">
        <f t="shared" si="8"/>
        <v>0</v>
      </c>
      <c r="Q12" s="267">
        <f t="shared" si="8"/>
        <v>0</v>
      </c>
      <c r="R12" s="267">
        <f t="shared" si="8"/>
        <v>0</v>
      </c>
      <c r="S12" s="267">
        <f t="shared" si="8"/>
        <v>0</v>
      </c>
      <c r="T12" s="267">
        <f t="shared" si="8"/>
        <v>0</v>
      </c>
      <c r="U12" s="267">
        <f t="shared" si="8"/>
        <v>0</v>
      </c>
      <c r="V12" s="267">
        <f t="shared" si="8"/>
        <v>4.290603331967846E-4</v>
      </c>
      <c r="W12" s="267">
        <f t="shared" si="8"/>
        <v>0</v>
      </c>
      <c r="X12" s="267">
        <f t="shared" si="8"/>
        <v>0</v>
      </c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1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CH12" s="207"/>
      <c r="CI12" s="207"/>
    </row>
    <row r="13" spans="1:87" ht="20.25" customHeight="1">
      <c r="A13" s="207" t="s">
        <v>491</v>
      </c>
      <c r="B13" s="251">
        <f>SUM(E13:W13)</f>
        <v>1</v>
      </c>
      <c r="C13" s="220">
        <f>SUM(E13:X13)</f>
        <v>1</v>
      </c>
      <c r="D13" s="222"/>
      <c r="E13" s="269">
        <f t="shared" ref="E13:X13" si="9">SUM(E11:E12)</f>
        <v>0</v>
      </c>
      <c r="F13" s="267">
        <f t="shared" si="9"/>
        <v>0</v>
      </c>
      <c r="G13" s="267">
        <f t="shared" si="9"/>
        <v>0</v>
      </c>
      <c r="H13" s="267">
        <f t="shared" si="9"/>
        <v>0</v>
      </c>
      <c r="I13" s="267">
        <f t="shared" si="9"/>
        <v>0</v>
      </c>
      <c r="J13" s="267">
        <f t="shared" si="9"/>
        <v>0</v>
      </c>
      <c r="K13" s="267">
        <f t="shared" si="9"/>
        <v>2.7366017862441431E-3</v>
      </c>
      <c r="L13" s="267">
        <f t="shared" si="9"/>
        <v>1.0397543904776974E-2</v>
      </c>
      <c r="M13" s="267">
        <f t="shared" si="9"/>
        <v>3.4656206581793587E-2</v>
      </c>
      <c r="N13" s="267">
        <f t="shared" si="9"/>
        <v>8.5469910629690726E-2</v>
      </c>
      <c r="O13" s="267">
        <f t="shared" si="9"/>
        <v>0.15599709785146654</v>
      </c>
      <c r="P13" s="267">
        <f t="shared" si="9"/>
        <v>0.21074263924602804</v>
      </c>
      <c r="Q13" s="267">
        <f t="shared" si="9"/>
        <v>0.2107426392460281</v>
      </c>
      <c r="R13" s="267">
        <f t="shared" si="9"/>
        <v>0.15599709785146643</v>
      </c>
      <c r="S13" s="267">
        <f t="shared" si="9"/>
        <v>8.5469910629690782E-2</v>
      </c>
      <c r="T13" s="267">
        <f t="shared" si="9"/>
        <v>3.465620658179358E-2</v>
      </c>
      <c r="U13" s="267">
        <f t="shared" si="9"/>
        <v>1.0397543904776985E-2</v>
      </c>
      <c r="V13" s="267">
        <f t="shared" si="9"/>
        <v>2.7366017862441305E-3</v>
      </c>
      <c r="W13" s="267">
        <f t="shared" si="9"/>
        <v>0</v>
      </c>
      <c r="X13" s="267">
        <f t="shared" si="9"/>
        <v>0</v>
      </c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1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CH13" s="207"/>
      <c r="CI13" s="207"/>
    </row>
    <row r="14" spans="1:87" s="488" customFormat="1" ht="20.25" customHeight="1">
      <c r="A14" s="1092" t="s">
        <v>387</v>
      </c>
      <c r="B14" s="764">
        <f t="shared" ref="B14:B31" si="10">SUM(E14:X14)</f>
        <v>79977069.999999985</v>
      </c>
      <c r="C14" s="1095">
        <f>'4-H Financial'!$B7</f>
        <v>79977070</v>
      </c>
      <c r="D14" s="1095">
        <f t="shared" ref="D14:D31" si="11">B14-C14</f>
        <v>0</v>
      </c>
      <c r="E14" s="1096">
        <v>0</v>
      </c>
      <c r="F14" s="1095">
        <f>$C$14*F13</f>
        <v>0</v>
      </c>
      <c r="G14" s="1095">
        <f t="shared" ref="G14:X14" si="12">$C$14*G13</f>
        <v>0</v>
      </c>
      <c r="H14" s="1095">
        <f t="shared" si="12"/>
        <v>0</v>
      </c>
      <c r="I14" s="1095">
        <f t="shared" si="12"/>
        <v>0</v>
      </c>
      <c r="J14" s="1095">
        <f t="shared" si="12"/>
        <v>0</v>
      </c>
      <c r="K14" s="1095">
        <f t="shared" si="12"/>
        <v>218865.39262057288</v>
      </c>
      <c r="L14" s="1095">
        <f t="shared" si="12"/>
        <v>831565.09670042142</v>
      </c>
      <c r="M14" s="1095">
        <f t="shared" si="12"/>
        <v>2771701.8597265664</v>
      </c>
      <c r="N14" s="1095">
        <f t="shared" si="12"/>
        <v>6835633.0253245197</v>
      </c>
      <c r="O14" s="1095">
        <f t="shared" si="12"/>
        <v>12476190.814663589</v>
      </c>
      <c r="P14" s="1095">
        <f t="shared" si="12"/>
        <v>16854578.810964331</v>
      </c>
      <c r="Q14" s="1095">
        <f t="shared" si="12"/>
        <v>16854578.810964335</v>
      </c>
      <c r="R14" s="1095">
        <f t="shared" si="12"/>
        <v>12476190.81466358</v>
      </c>
      <c r="S14" s="1095">
        <f t="shared" si="12"/>
        <v>6835633.0253245234</v>
      </c>
      <c r="T14" s="1095">
        <f t="shared" si="12"/>
        <v>2771701.8597265659</v>
      </c>
      <c r="U14" s="1095">
        <f t="shared" si="12"/>
        <v>831565.09670042223</v>
      </c>
      <c r="V14" s="1095">
        <f t="shared" si="12"/>
        <v>218865.39262057186</v>
      </c>
      <c r="W14" s="1095">
        <f t="shared" si="12"/>
        <v>0</v>
      </c>
      <c r="X14" s="1095">
        <f t="shared" si="12"/>
        <v>0</v>
      </c>
      <c r="Y14" s="1095"/>
      <c r="Z14" s="1095"/>
      <c r="AA14" s="1095"/>
      <c r="AB14" s="1095"/>
      <c r="AC14" s="1095"/>
      <c r="AD14" s="1095"/>
      <c r="AE14" s="1095"/>
      <c r="AF14" s="1095"/>
      <c r="AG14" s="1095"/>
      <c r="AH14" s="1095"/>
      <c r="AI14" s="1095"/>
      <c r="AJ14" s="1095"/>
      <c r="AK14" s="1095"/>
      <c r="AL14" s="1095"/>
      <c r="AM14" s="1095"/>
      <c r="AN14" s="1095"/>
      <c r="AO14" s="1095"/>
      <c r="AP14" s="1095"/>
      <c r="AQ14" s="1095"/>
      <c r="AR14" s="764"/>
      <c r="AS14" s="1092"/>
      <c r="AT14" s="1092"/>
      <c r="AU14" s="1092"/>
      <c r="AV14" s="1093"/>
      <c r="AW14" s="1093"/>
      <c r="AX14" s="1093"/>
      <c r="AY14" s="1093"/>
      <c r="AZ14" s="1093"/>
      <c r="BA14" s="1093"/>
      <c r="BB14" s="1093"/>
      <c r="BC14" s="1093"/>
      <c r="BD14" s="1093"/>
      <c r="BE14" s="1093"/>
      <c r="BF14" s="1093"/>
      <c r="BG14" s="1093"/>
      <c r="BH14" s="1093"/>
      <c r="BI14" s="1093"/>
      <c r="BJ14" s="1093"/>
      <c r="BK14" s="1093"/>
      <c r="BL14" s="1093"/>
      <c r="BM14" s="1093"/>
      <c r="BN14" s="1093"/>
      <c r="BO14" s="1093"/>
      <c r="BP14" s="1093"/>
      <c r="BQ14" s="1093"/>
      <c r="BR14" s="1093"/>
      <c r="BS14" s="1093"/>
      <c r="BT14" s="1093"/>
      <c r="BU14" s="1093"/>
      <c r="BV14" s="1092"/>
      <c r="BW14" s="1092"/>
      <c r="BX14" s="1092"/>
      <c r="BY14" s="1092"/>
      <c r="BZ14" s="1092"/>
      <c r="CA14" s="1092"/>
      <c r="CB14" s="1092"/>
      <c r="CC14" s="1092"/>
      <c r="CD14" s="1092"/>
      <c r="CE14" s="1092"/>
      <c r="CF14" s="1092"/>
      <c r="CG14" s="1092"/>
      <c r="CH14" s="1092"/>
      <c r="CI14" s="1092"/>
    </row>
    <row r="15" spans="1:87" ht="20.25" customHeight="1">
      <c r="A15" s="207" t="s">
        <v>77</v>
      </c>
      <c r="B15" s="224">
        <f t="shared" si="10"/>
        <v>3998853.5</v>
      </c>
      <c r="C15" s="223">
        <f>'4-H Financial'!$B8</f>
        <v>3998853.5</v>
      </c>
      <c r="D15" s="223">
        <f t="shared" si="11"/>
        <v>0</v>
      </c>
      <c r="E15" s="270">
        <v>0</v>
      </c>
      <c r="F15" s="223">
        <f>$C15*F$13</f>
        <v>0</v>
      </c>
      <c r="G15" s="223">
        <f t="shared" ref="G15:X15" si="13">$C15*G$13</f>
        <v>0</v>
      </c>
      <c r="H15" s="223">
        <f t="shared" si="13"/>
        <v>0</v>
      </c>
      <c r="I15" s="223">
        <f t="shared" si="13"/>
        <v>0</v>
      </c>
      <c r="J15" s="223">
        <f t="shared" si="13"/>
        <v>0</v>
      </c>
      <c r="K15" s="223">
        <f t="shared" si="13"/>
        <v>10943.269631028643</v>
      </c>
      <c r="L15" s="223">
        <f t="shared" si="13"/>
        <v>41578.254835021071</v>
      </c>
      <c r="M15" s="223">
        <f t="shared" si="13"/>
        <v>138585.09298632832</v>
      </c>
      <c r="N15" s="223">
        <f t="shared" si="13"/>
        <v>341781.65126622596</v>
      </c>
      <c r="O15" s="223">
        <f t="shared" si="13"/>
        <v>623809.54073317943</v>
      </c>
      <c r="P15" s="223">
        <f t="shared" si="13"/>
        <v>842728.94054821657</v>
      </c>
      <c r="Q15" s="223">
        <f t="shared" si="13"/>
        <v>842728.94054821681</v>
      </c>
      <c r="R15" s="223">
        <f t="shared" si="13"/>
        <v>623809.54073317896</v>
      </c>
      <c r="S15" s="223">
        <f t="shared" si="13"/>
        <v>341781.6512662262</v>
      </c>
      <c r="T15" s="223">
        <f t="shared" si="13"/>
        <v>138585.09298632829</v>
      </c>
      <c r="U15" s="223">
        <f t="shared" si="13"/>
        <v>41578.254835021115</v>
      </c>
      <c r="V15" s="223">
        <f t="shared" si="13"/>
        <v>10943.269631028594</v>
      </c>
      <c r="W15" s="223">
        <f t="shared" si="13"/>
        <v>0</v>
      </c>
      <c r="X15" s="223">
        <f t="shared" si="13"/>
        <v>0</v>
      </c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4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CH15" s="207"/>
      <c r="CI15" s="207"/>
    </row>
    <row r="16" spans="1:87" ht="20.25" customHeight="1">
      <c r="A16" s="207" t="s">
        <v>389</v>
      </c>
      <c r="B16" s="224">
        <f t="shared" si="10"/>
        <v>0</v>
      </c>
      <c r="C16" s="223">
        <f>'4-H Financial'!$B9</f>
        <v>0</v>
      </c>
      <c r="D16" s="223">
        <f t="shared" si="11"/>
        <v>0</v>
      </c>
      <c r="E16" s="270">
        <v>0</v>
      </c>
      <c r="F16" s="223">
        <f>IF(AND(F$9&gt;$E$4,F$9&lt;$H$4),$C16/(($G$4)/3),0)</f>
        <v>0</v>
      </c>
      <c r="G16" s="223">
        <f t="shared" ref="G16:X16" si="14">IF(AND(G$9&gt;$E$4,G$9&lt;$H$4),$C16/(($G$4)/3),0)</f>
        <v>0</v>
      </c>
      <c r="H16" s="223">
        <f t="shared" si="14"/>
        <v>0</v>
      </c>
      <c r="I16" s="223">
        <f t="shared" si="14"/>
        <v>0</v>
      </c>
      <c r="J16" s="223">
        <f t="shared" si="14"/>
        <v>0</v>
      </c>
      <c r="K16" s="223">
        <f t="shared" si="14"/>
        <v>0</v>
      </c>
      <c r="L16" s="223">
        <f t="shared" si="14"/>
        <v>0</v>
      </c>
      <c r="M16" s="223">
        <f t="shared" si="14"/>
        <v>0</v>
      </c>
      <c r="N16" s="223">
        <f t="shared" si="14"/>
        <v>0</v>
      </c>
      <c r="O16" s="223">
        <f t="shared" si="14"/>
        <v>0</v>
      </c>
      <c r="P16" s="223">
        <f t="shared" si="14"/>
        <v>0</v>
      </c>
      <c r="Q16" s="223">
        <f t="shared" si="14"/>
        <v>0</v>
      </c>
      <c r="R16" s="223">
        <f t="shared" si="14"/>
        <v>0</v>
      </c>
      <c r="S16" s="223">
        <f t="shared" si="14"/>
        <v>0</v>
      </c>
      <c r="T16" s="223">
        <f t="shared" si="14"/>
        <v>0</v>
      </c>
      <c r="U16" s="223">
        <f t="shared" si="14"/>
        <v>0</v>
      </c>
      <c r="V16" s="223">
        <f t="shared" si="14"/>
        <v>0</v>
      </c>
      <c r="W16" s="223">
        <f t="shared" si="14"/>
        <v>0</v>
      </c>
      <c r="X16" s="223">
        <f t="shared" si="14"/>
        <v>0</v>
      </c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4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CH16" s="207"/>
      <c r="CI16" s="207"/>
    </row>
    <row r="17" spans="1:87" ht="20.25" customHeight="1">
      <c r="A17" s="207" t="s">
        <v>391</v>
      </c>
      <c r="B17" s="224">
        <f t="shared" si="10"/>
        <v>808909.2</v>
      </c>
      <c r="C17" s="223">
        <f>'4-H Financial'!$B10</f>
        <v>808909.2</v>
      </c>
      <c r="D17" s="223">
        <f t="shared" si="11"/>
        <v>0</v>
      </c>
      <c r="E17" s="270">
        <v>0</v>
      </c>
      <c r="F17" s="223">
        <f>IF(F6=$F$3,$C$17,0)</f>
        <v>0</v>
      </c>
      <c r="G17" s="223">
        <f t="shared" ref="G17:X17" si="15">IF(G6=$F$3,$C$17,0)</f>
        <v>0</v>
      </c>
      <c r="H17" s="223">
        <f t="shared" si="15"/>
        <v>0</v>
      </c>
      <c r="I17" s="223">
        <f t="shared" si="15"/>
        <v>0</v>
      </c>
      <c r="J17" s="223">
        <f t="shared" si="15"/>
        <v>808909.2</v>
      </c>
      <c r="K17" s="223">
        <f t="shared" si="15"/>
        <v>0</v>
      </c>
      <c r="L17" s="223">
        <f t="shared" si="15"/>
        <v>0</v>
      </c>
      <c r="M17" s="223">
        <f t="shared" si="15"/>
        <v>0</v>
      </c>
      <c r="N17" s="223">
        <f t="shared" si="15"/>
        <v>0</v>
      </c>
      <c r="O17" s="223">
        <f t="shared" si="15"/>
        <v>0</v>
      </c>
      <c r="P17" s="223">
        <f t="shared" si="15"/>
        <v>0</v>
      </c>
      <c r="Q17" s="223">
        <f t="shared" si="15"/>
        <v>0</v>
      </c>
      <c r="R17" s="223">
        <f t="shared" si="15"/>
        <v>0</v>
      </c>
      <c r="S17" s="223">
        <f t="shared" si="15"/>
        <v>0</v>
      </c>
      <c r="T17" s="223">
        <f t="shared" si="15"/>
        <v>0</v>
      </c>
      <c r="U17" s="223">
        <f t="shared" si="15"/>
        <v>0</v>
      </c>
      <c r="V17" s="223">
        <f t="shared" si="15"/>
        <v>0</v>
      </c>
      <c r="W17" s="223">
        <f t="shared" si="15"/>
        <v>0</v>
      </c>
      <c r="X17" s="223">
        <f t="shared" si="15"/>
        <v>0</v>
      </c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4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CH17" s="207"/>
      <c r="CI17" s="207"/>
    </row>
    <row r="18" spans="1:87" ht="20.25" customHeight="1">
      <c r="A18" s="207" t="s">
        <v>393</v>
      </c>
      <c r="B18" s="224">
        <f t="shared" si="10"/>
        <v>4146666.6666666665</v>
      </c>
      <c r="C18" s="223">
        <f>'4-H Financial'!$B11</f>
        <v>4146666.666666667</v>
      </c>
      <c r="D18" s="223">
        <f t="shared" si="11"/>
        <v>0</v>
      </c>
      <c r="E18" s="270">
        <v>0</v>
      </c>
      <c r="F18" s="223">
        <f>$C18*F$13</f>
        <v>0</v>
      </c>
      <c r="G18" s="223">
        <f t="shared" ref="G18:X19" si="16">$C18*G$13</f>
        <v>0</v>
      </c>
      <c r="H18" s="223">
        <f t="shared" si="16"/>
        <v>0</v>
      </c>
      <c r="I18" s="223">
        <f t="shared" si="16"/>
        <v>0</v>
      </c>
      <c r="J18" s="223">
        <f t="shared" si="16"/>
        <v>0</v>
      </c>
      <c r="K18" s="223">
        <f t="shared" si="16"/>
        <v>11347.775406959048</v>
      </c>
      <c r="L18" s="223">
        <f t="shared" si="16"/>
        <v>43115.148725141858</v>
      </c>
      <c r="M18" s="223">
        <f t="shared" si="16"/>
        <v>143707.73662583742</v>
      </c>
      <c r="N18" s="223">
        <f t="shared" si="16"/>
        <v>354415.22941111756</v>
      </c>
      <c r="O18" s="223">
        <f t="shared" si="16"/>
        <v>646867.96575741458</v>
      </c>
      <c r="P18" s="223">
        <f t="shared" si="16"/>
        <v>873879.47740686301</v>
      </c>
      <c r="Q18" s="223">
        <f t="shared" si="16"/>
        <v>873879.47740686324</v>
      </c>
      <c r="R18" s="223">
        <f t="shared" si="16"/>
        <v>646867.96575741412</v>
      </c>
      <c r="S18" s="223">
        <f t="shared" si="16"/>
        <v>354415.22941111779</v>
      </c>
      <c r="T18" s="223">
        <f t="shared" si="16"/>
        <v>143707.73662583739</v>
      </c>
      <c r="U18" s="223">
        <f t="shared" si="16"/>
        <v>43115.148725141902</v>
      </c>
      <c r="V18" s="223">
        <f t="shared" si="16"/>
        <v>11347.775406958996</v>
      </c>
      <c r="W18" s="223">
        <f t="shared" si="16"/>
        <v>0</v>
      </c>
      <c r="X18" s="223">
        <f t="shared" si="16"/>
        <v>0</v>
      </c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4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CH18" s="207"/>
      <c r="CI18" s="207"/>
    </row>
    <row r="19" spans="1:87" ht="20.25" customHeight="1">
      <c r="A19" s="207" t="s">
        <v>79</v>
      </c>
      <c r="B19" s="224">
        <f t="shared" si="10"/>
        <v>1599541.4</v>
      </c>
      <c r="C19" s="223">
        <f>'4-H Financial'!$B12</f>
        <v>1599541.4</v>
      </c>
      <c r="D19" s="223">
        <f t="shared" si="11"/>
        <v>0</v>
      </c>
      <c r="E19" s="270">
        <v>0</v>
      </c>
      <c r="F19" s="223">
        <f>$C19*F$13</f>
        <v>0</v>
      </c>
      <c r="G19" s="223">
        <f t="shared" si="16"/>
        <v>0</v>
      </c>
      <c r="H19" s="223">
        <f t="shared" si="16"/>
        <v>0</v>
      </c>
      <c r="I19" s="223">
        <f t="shared" si="16"/>
        <v>0</v>
      </c>
      <c r="J19" s="223">
        <f t="shared" si="16"/>
        <v>0</v>
      </c>
      <c r="K19" s="223">
        <f t="shared" si="16"/>
        <v>4377.3078524114571</v>
      </c>
      <c r="L19" s="223">
        <f t="shared" si="16"/>
        <v>16631.301934008428</v>
      </c>
      <c r="M19" s="223">
        <f t="shared" si="16"/>
        <v>55434.037194531324</v>
      </c>
      <c r="N19" s="223">
        <f t="shared" si="16"/>
        <v>136712.66050649039</v>
      </c>
      <c r="O19" s="223">
        <f t="shared" si="16"/>
        <v>249523.81629327175</v>
      </c>
      <c r="P19" s="223">
        <f t="shared" si="16"/>
        <v>337091.5762192866</v>
      </c>
      <c r="Q19" s="223">
        <f t="shared" si="16"/>
        <v>337091.57621928671</v>
      </c>
      <c r="R19" s="223">
        <f t="shared" si="16"/>
        <v>249523.81629327158</v>
      </c>
      <c r="S19" s="223">
        <f t="shared" si="16"/>
        <v>136712.66050649047</v>
      </c>
      <c r="T19" s="223">
        <f t="shared" si="16"/>
        <v>55434.037194531316</v>
      </c>
      <c r="U19" s="223">
        <f t="shared" si="16"/>
        <v>16631.301934008443</v>
      </c>
      <c r="V19" s="223">
        <f t="shared" si="16"/>
        <v>4377.3078524114371</v>
      </c>
      <c r="W19" s="223">
        <f t="shared" si="16"/>
        <v>0</v>
      </c>
      <c r="X19" s="223">
        <f t="shared" si="16"/>
        <v>0</v>
      </c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4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CH19" s="207"/>
      <c r="CI19" s="207"/>
    </row>
    <row r="20" spans="1:87" ht="20.25" customHeight="1">
      <c r="A20" s="207" t="s">
        <v>83</v>
      </c>
      <c r="B20" s="224">
        <f t="shared" si="10"/>
        <v>1199656.0499999998</v>
      </c>
      <c r="C20" s="223">
        <f>'4-H Financial'!$B13</f>
        <v>1199656.0499999998</v>
      </c>
      <c r="D20" s="223">
        <f t="shared" si="11"/>
        <v>0</v>
      </c>
      <c r="E20" s="270">
        <v>0</v>
      </c>
      <c r="F20" s="223">
        <f>IF(AND(F9&gt;$E$4,F9&lt;$H$4), (($C20)*60%/(($G$4)/3)),IF(OR(F7=1,F7=2,F7=3,F7=4,F7=5,F7=6),(($C20)*40%/6),0))</f>
        <v>143958.72599999997</v>
      </c>
      <c r="G20" s="223">
        <f t="shared" ref="G20:X20" si="17">IF(AND(G9&gt;$E$4,G9&lt;$H$4), (($C20)*60%/(($G$4)/3)),IF(OR(G7=1,G7=2,G7=3,G7=4,G7=5,G7=6),(($C20)*40%/6),0))</f>
        <v>143958.72599999997</v>
      </c>
      <c r="H20" s="223">
        <f t="shared" si="17"/>
        <v>143958.72599999997</v>
      </c>
      <c r="I20" s="223">
        <f t="shared" si="17"/>
        <v>143958.72599999997</v>
      </c>
      <c r="J20" s="223">
        <f t="shared" si="17"/>
        <v>143958.72599999997</v>
      </c>
      <c r="K20" s="223">
        <f t="shared" si="17"/>
        <v>79977.069999999992</v>
      </c>
      <c r="L20" s="223">
        <f t="shared" si="17"/>
        <v>79977.069999999992</v>
      </c>
      <c r="M20" s="223">
        <f t="shared" si="17"/>
        <v>79977.069999999992</v>
      </c>
      <c r="N20" s="223">
        <f t="shared" si="17"/>
        <v>79977.069999999992</v>
      </c>
      <c r="O20" s="223">
        <f t="shared" si="17"/>
        <v>79977.069999999992</v>
      </c>
      <c r="P20" s="223">
        <f t="shared" si="17"/>
        <v>79977.069999999992</v>
      </c>
      <c r="Q20" s="223">
        <f t="shared" si="17"/>
        <v>0</v>
      </c>
      <c r="R20" s="223">
        <f t="shared" si="17"/>
        <v>0</v>
      </c>
      <c r="S20" s="223">
        <f t="shared" si="17"/>
        <v>0</v>
      </c>
      <c r="T20" s="223">
        <f t="shared" si="17"/>
        <v>0</v>
      </c>
      <c r="U20" s="223">
        <f t="shared" si="17"/>
        <v>0</v>
      </c>
      <c r="V20" s="223">
        <f t="shared" si="17"/>
        <v>0</v>
      </c>
      <c r="W20" s="223">
        <f t="shared" si="17"/>
        <v>0</v>
      </c>
      <c r="X20" s="223">
        <f t="shared" si="17"/>
        <v>0</v>
      </c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4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CH20" s="207"/>
      <c r="CI20" s="207"/>
    </row>
    <row r="21" spans="1:87" ht="20.25" customHeight="1">
      <c r="A21" s="207" t="s">
        <v>84</v>
      </c>
      <c r="B21" s="224">
        <f t="shared" si="10"/>
        <v>40445.46</v>
      </c>
      <c r="C21" s="223">
        <f>'4-H Financial'!$B14</f>
        <v>40445.46</v>
      </c>
      <c r="D21" s="223">
        <f t="shared" si="11"/>
        <v>0</v>
      </c>
      <c r="E21" s="270">
        <v>0</v>
      </c>
      <c r="F21" s="223">
        <f>IF(F17=0,0,$C$21)</f>
        <v>0</v>
      </c>
      <c r="G21" s="223">
        <f t="shared" ref="G21:X21" si="18">IF(G17=0,0,$C$21)</f>
        <v>0</v>
      </c>
      <c r="H21" s="223">
        <f t="shared" si="18"/>
        <v>0</v>
      </c>
      <c r="I21" s="223">
        <f t="shared" si="18"/>
        <v>0</v>
      </c>
      <c r="J21" s="223">
        <f t="shared" si="18"/>
        <v>40445.46</v>
      </c>
      <c r="K21" s="223">
        <f t="shared" si="18"/>
        <v>0</v>
      </c>
      <c r="L21" s="223">
        <f t="shared" si="18"/>
        <v>0</v>
      </c>
      <c r="M21" s="223">
        <f t="shared" si="18"/>
        <v>0</v>
      </c>
      <c r="N21" s="223">
        <f t="shared" si="18"/>
        <v>0</v>
      </c>
      <c r="O21" s="223">
        <f t="shared" si="18"/>
        <v>0</v>
      </c>
      <c r="P21" s="223">
        <f t="shared" si="18"/>
        <v>0</v>
      </c>
      <c r="Q21" s="223">
        <f t="shared" si="18"/>
        <v>0</v>
      </c>
      <c r="R21" s="223">
        <f t="shared" si="18"/>
        <v>0</v>
      </c>
      <c r="S21" s="223">
        <f t="shared" si="18"/>
        <v>0</v>
      </c>
      <c r="T21" s="223">
        <f t="shared" si="18"/>
        <v>0</v>
      </c>
      <c r="U21" s="223">
        <f t="shared" si="18"/>
        <v>0</v>
      </c>
      <c r="V21" s="223">
        <f t="shared" si="18"/>
        <v>0</v>
      </c>
      <c r="W21" s="223">
        <f t="shared" si="18"/>
        <v>0</v>
      </c>
      <c r="X21" s="223">
        <f t="shared" si="18"/>
        <v>0</v>
      </c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4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CH21" s="207"/>
      <c r="CI21" s="207"/>
    </row>
    <row r="22" spans="1:87" ht="20.25" customHeight="1">
      <c r="A22" s="207" t="s">
        <v>85</v>
      </c>
      <c r="B22" s="224">
        <f t="shared" si="10"/>
        <v>1599541.3999999994</v>
      </c>
      <c r="C22" s="223">
        <f>'4-H Financial'!$B15</f>
        <v>1599541.4</v>
      </c>
      <c r="D22" s="223">
        <f t="shared" si="11"/>
        <v>0</v>
      </c>
      <c r="E22" s="270">
        <v>0</v>
      </c>
      <c r="F22" s="223">
        <f>IF(AND(F9&gt;$E$4,F9&lt;$H$4), (($C22)*60%/(($G$4)/3)),IF(OR(F7=1,F7=2,F7=3,F7=4,F7=5,F7=6),(($C22)*40%/6),0))</f>
        <v>191944.96799999996</v>
      </c>
      <c r="G22" s="223">
        <f t="shared" ref="G22:X22" si="19">IF(AND(G9&gt;$E$4,G9&lt;$H$4), (($C22)*60%/(($G$4)/3)),IF(OR(G7=1,G7=2,G7=3,G7=4,G7=5,G7=6),(($C22)*40%/6),0))</f>
        <v>191944.96799999996</v>
      </c>
      <c r="H22" s="223">
        <f t="shared" si="19"/>
        <v>191944.96799999996</v>
      </c>
      <c r="I22" s="223">
        <f t="shared" si="19"/>
        <v>191944.96799999996</v>
      </c>
      <c r="J22" s="223">
        <f t="shared" si="19"/>
        <v>191944.96799999996</v>
      </c>
      <c r="K22" s="223">
        <f t="shared" si="19"/>
        <v>106636.09333333334</v>
      </c>
      <c r="L22" s="223">
        <f t="shared" si="19"/>
        <v>106636.09333333334</v>
      </c>
      <c r="M22" s="223">
        <f t="shared" si="19"/>
        <v>106636.09333333334</v>
      </c>
      <c r="N22" s="223">
        <f t="shared" si="19"/>
        <v>106636.09333333334</v>
      </c>
      <c r="O22" s="223">
        <f t="shared" si="19"/>
        <v>106636.09333333334</v>
      </c>
      <c r="P22" s="223">
        <f t="shared" si="19"/>
        <v>106636.09333333334</v>
      </c>
      <c r="Q22" s="223">
        <f t="shared" si="19"/>
        <v>0</v>
      </c>
      <c r="R22" s="223">
        <f t="shared" si="19"/>
        <v>0</v>
      </c>
      <c r="S22" s="223">
        <f t="shared" si="19"/>
        <v>0</v>
      </c>
      <c r="T22" s="223">
        <f t="shared" si="19"/>
        <v>0</v>
      </c>
      <c r="U22" s="223">
        <f t="shared" si="19"/>
        <v>0</v>
      </c>
      <c r="V22" s="223">
        <f t="shared" si="19"/>
        <v>0</v>
      </c>
      <c r="W22" s="223">
        <f t="shared" si="19"/>
        <v>0</v>
      </c>
      <c r="X22" s="223">
        <f t="shared" si="19"/>
        <v>0</v>
      </c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4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CH22" s="207"/>
      <c r="CI22" s="207"/>
    </row>
    <row r="23" spans="1:87" ht="20.25" customHeight="1">
      <c r="A23" s="207" t="s">
        <v>86</v>
      </c>
      <c r="B23" s="224">
        <f t="shared" si="10"/>
        <v>2799197.4499999997</v>
      </c>
      <c r="C23" s="223">
        <f>'4-H Financial'!$B16</f>
        <v>2799197.45</v>
      </c>
      <c r="D23" s="223">
        <f t="shared" si="11"/>
        <v>0</v>
      </c>
      <c r="E23" s="270">
        <v>0</v>
      </c>
      <c r="F23" s="223">
        <f>IF(AND(F$9&gt;$F$4,F9&lt;$K$4),$C23/(($J$4)/3),0)</f>
        <v>0</v>
      </c>
      <c r="G23" s="223">
        <f t="shared" ref="G23:X23" si="20">IF(AND(G$9&gt;$F$4,G9&lt;$K$4),$C23/(($J$4)/3),0)</f>
        <v>0</v>
      </c>
      <c r="H23" s="223">
        <f t="shared" si="20"/>
        <v>0</v>
      </c>
      <c r="I23" s="223">
        <f t="shared" si="20"/>
        <v>0</v>
      </c>
      <c r="J23" s="223">
        <f t="shared" si="20"/>
        <v>0</v>
      </c>
      <c r="K23" s="223">
        <f t="shared" si="20"/>
        <v>233266.45416666669</v>
      </c>
      <c r="L23" s="223">
        <f t="shared" si="20"/>
        <v>233266.45416666669</v>
      </c>
      <c r="M23" s="223">
        <f t="shared" si="20"/>
        <v>233266.45416666669</v>
      </c>
      <c r="N23" s="223">
        <f t="shared" si="20"/>
        <v>233266.45416666669</v>
      </c>
      <c r="O23" s="223">
        <f t="shared" si="20"/>
        <v>233266.45416666669</v>
      </c>
      <c r="P23" s="223">
        <f t="shared" si="20"/>
        <v>233266.45416666669</v>
      </c>
      <c r="Q23" s="223">
        <f t="shared" si="20"/>
        <v>233266.45416666669</v>
      </c>
      <c r="R23" s="223">
        <f t="shared" si="20"/>
        <v>233266.45416666669</v>
      </c>
      <c r="S23" s="223">
        <f t="shared" si="20"/>
        <v>233266.45416666669</v>
      </c>
      <c r="T23" s="223">
        <f t="shared" si="20"/>
        <v>233266.45416666669</v>
      </c>
      <c r="U23" s="223">
        <f t="shared" si="20"/>
        <v>233266.45416666669</v>
      </c>
      <c r="V23" s="223">
        <f t="shared" si="20"/>
        <v>233266.45416666669</v>
      </c>
      <c r="W23" s="223">
        <f t="shared" si="20"/>
        <v>0</v>
      </c>
      <c r="X23" s="223">
        <f t="shared" si="20"/>
        <v>0</v>
      </c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4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CH23" s="207"/>
      <c r="CI23" s="207"/>
    </row>
    <row r="24" spans="1:87" ht="20.25" customHeight="1">
      <c r="A24" s="207" t="s">
        <v>88</v>
      </c>
      <c r="B24" s="224">
        <f t="shared" si="10"/>
        <v>1599541.4000000001</v>
      </c>
      <c r="C24" s="223">
        <f>'4-H Financial'!$B17</f>
        <v>1599541.4</v>
      </c>
      <c r="D24" s="223">
        <f t="shared" si="11"/>
        <v>0</v>
      </c>
      <c r="E24" s="270">
        <v>0</v>
      </c>
      <c r="F24" s="223">
        <f>IF(AND(F$9&gt;$F$4,F$9&lt;$K$4),$C24/(($J$4)/3),0)</f>
        <v>0</v>
      </c>
      <c r="G24" s="223">
        <f t="shared" ref="G24:X24" si="21">IF(AND(G$9&gt;$F$4,G$9&lt;$K$4),$C24/(($J$4)/3),0)</f>
        <v>0</v>
      </c>
      <c r="H24" s="223">
        <f t="shared" si="21"/>
        <v>0</v>
      </c>
      <c r="I24" s="223">
        <f t="shared" si="21"/>
        <v>0</v>
      </c>
      <c r="J24" s="223">
        <f t="shared" si="21"/>
        <v>0</v>
      </c>
      <c r="K24" s="223">
        <f t="shared" si="21"/>
        <v>133295.11666666667</v>
      </c>
      <c r="L24" s="223">
        <f t="shared" si="21"/>
        <v>133295.11666666667</v>
      </c>
      <c r="M24" s="223">
        <f t="shared" si="21"/>
        <v>133295.11666666667</v>
      </c>
      <c r="N24" s="223">
        <f t="shared" si="21"/>
        <v>133295.11666666667</v>
      </c>
      <c r="O24" s="223">
        <f t="shared" si="21"/>
        <v>133295.11666666667</v>
      </c>
      <c r="P24" s="223">
        <f t="shared" si="21"/>
        <v>133295.11666666667</v>
      </c>
      <c r="Q24" s="223">
        <f t="shared" si="21"/>
        <v>133295.11666666667</v>
      </c>
      <c r="R24" s="223">
        <f t="shared" si="21"/>
        <v>133295.11666666667</v>
      </c>
      <c r="S24" s="223">
        <f t="shared" si="21"/>
        <v>133295.11666666667</v>
      </c>
      <c r="T24" s="223">
        <f t="shared" si="21"/>
        <v>133295.11666666667</v>
      </c>
      <c r="U24" s="223">
        <f t="shared" si="21"/>
        <v>133295.11666666667</v>
      </c>
      <c r="V24" s="223">
        <f t="shared" si="21"/>
        <v>133295.11666666667</v>
      </c>
      <c r="W24" s="223">
        <f t="shared" si="21"/>
        <v>0</v>
      </c>
      <c r="X24" s="223">
        <f t="shared" si="21"/>
        <v>0</v>
      </c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4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CH24" s="207"/>
      <c r="CI24" s="207"/>
    </row>
    <row r="25" spans="1:87" ht="20.25" customHeight="1">
      <c r="A25" s="207" t="s">
        <v>93</v>
      </c>
      <c r="B25" s="224">
        <f t="shared" si="10"/>
        <v>3998853.5</v>
      </c>
      <c r="C25" s="223">
        <f>'4-H Financial'!$B18</f>
        <v>3998853.5</v>
      </c>
      <c r="D25" s="223">
        <f t="shared" si="11"/>
        <v>0</v>
      </c>
      <c r="E25" s="270">
        <v>0</v>
      </c>
      <c r="F25" s="223">
        <f>$C25*F$13</f>
        <v>0</v>
      </c>
      <c r="G25" s="223">
        <f t="shared" ref="G25:X25" si="22">$C25*G$13</f>
        <v>0</v>
      </c>
      <c r="H25" s="223">
        <f t="shared" si="22"/>
        <v>0</v>
      </c>
      <c r="I25" s="223">
        <f t="shared" si="22"/>
        <v>0</v>
      </c>
      <c r="J25" s="223">
        <f t="shared" si="22"/>
        <v>0</v>
      </c>
      <c r="K25" s="223">
        <f t="shared" si="22"/>
        <v>10943.269631028643</v>
      </c>
      <c r="L25" s="223">
        <f t="shared" si="22"/>
        <v>41578.254835021071</v>
      </c>
      <c r="M25" s="223">
        <f t="shared" si="22"/>
        <v>138585.09298632832</v>
      </c>
      <c r="N25" s="223">
        <f t="shared" si="22"/>
        <v>341781.65126622596</v>
      </c>
      <c r="O25" s="223">
        <f t="shared" si="22"/>
        <v>623809.54073317943</v>
      </c>
      <c r="P25" s="223">
        <f t="shared" si="22"/>
        <v>842728.94054821657</v>
      </c>
      <c r="Q25" s="223">
        <f t="shared" si="22"/>
        <v>842728.94054821681</v>
      </c>
      <c r="R25" s="223">
        <f t="shared" si="22"/>
        <v>623809.54073317896</v>
      </c>
      <c r="S25" s="223">
        <f t="shared" si="22"/>
        <v>341781.6512662262</v>
      </c>
      <c r="T25" s="223">
        <f t="shared" si="22"/>
        <v>138585.09298632829</v>
      </c>
      <c r="U25" s="223">
        <f t="shared" si="22"/>
        <v>41578.254835021115</v>
      </c>
      <c r="V25" s="223">
        <f t="shared" si="22"/>
        <v>10943.269631028594</v>
      </c>
      <c r="W25" s="223">
        <f t="shared" si="22"/>
        <v>0</v>
      </c>
      <c r="X25" s="223">
        <f t="shared" si="22"/>
        <v>0</v>
      </c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4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CH25" s="207"/>
      <c r="CI25" s="207"/>
    </row>
    <row r="26" spans="1:87" ht="20.25" customHeight="1">
      <c r="A26" s="207" t="s">
        <v>97</v>
      </c>
      <c r="B26" s="224">
        <f t="shared" si="10"/>
        <v>1199656.0499999998</v>
      </c>
      <c r="C26" s="223">
        <f>'4-H Financial'!$B19</f>
        <v>1199656.0499999998</v>
      </c>
      <c r="D26" s="223">
        <f t="shared" si="11"/>
        <v>0</v>
      </c>
      <c r="E26" s="270">
        <v>0</v>
      </c>
      <c r="F26" s="273">
        <f>IF(AND(F9&gt;$E$4,F9&lt;$H$4),(($C26)*20%/(($G$4)/3)),IF((F7=1),(($C26)*80%),0))</f>
        <v>47986.241999999991</v>
      </c>
      <c r="G26" s="273">
        <f t="shared" ref="G26:X26" si="23">IF(AND(G9&gt;$E$4,G9&lt;$H$4),(($C26)*20%/(($G$4)/3)),IF((G7=1),(($C26)*80%),0))</f>
        <v>47986.241999999991</v>
      </c>
      <c r="H26" s="273">
        <f t="shared" si="23"/>
        <v>47986.241999999991</v>
      </c>
      <c r="I26" s="273">
        <f t="shared" si="23"/>
        <v>47986.241999999991</v>
      </c>
      <c r="J26" s="273">
        <f t="shared" si="23"/>
        <v>47986.241999999991</v>
      </c>
      <c r="K26" s="273">
        <f t="shared" si="23"/>
        <v>959724.83999999985</v>
      </c>
      <c r="L26" s="273">
        <f t="shared" si="23"/>
        <v>0</v>
      </c>
      <c r="M26" s="273">
        <f t="shared" si="23"/>
        <v>0</v>
      </c>
      <c r="N26" s="273">
        <f t="shared" si="23"/>
        <v>0</v>
      </c>
      <c r="O26" s="273">
        <f t="shared" si="23"/>
        <v>0</v>
      </c>
      <c r="P26" s="273">
        <f t="shared" si="23"/>
        <v>0</v>
      </c>
      <c r="Q26" s="273">
        <f t="shared" si="23"/>
        <v>0</v>
      </c>
      <c r="R26" s="273">
        <f t="shared" si="23"/>
        <v>0</v>
      </c>
      <c r="S26" s="273">
        <f t="shared" si="23"/>
        <v>0</v>
      </c>
      <c r="T26" s="273">
        <f t="shared" si="23"/>
        <v>0</v>
      </c>
      <c r="U26" s="273">
        <f t="shared" si="23"/>
        <v>0</v>
      </c>
      <c r="V26" s="273">
        <f t="shared" si="23"/>
        <v>0</v>
      </c>
      <c r="W26" s="273">
        <f t="shared" si="23"/>
        <v>0</v>
      </c>
      <c r="X26" s="273">
        <f t="shared" si="23"/>
        <v>0</v>
      </c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4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CH26" s="207"/>
      <c r="CI26" s="207"/>
    </row>
    <row r="27" spans="1:87" ht="20.25" customHeight="1">
      <c r="A27" s="207" t="s">
        <v>100</v>
      </c>
      <c r="B27" s="224">
        <f t="shared" si="10"/>
        <v>1200000</v>
      </c>
      <c r="C27" s="223">
        <f>'4-H Financial'!$B20</f>
        <v>1200000</v>
      </c>
      <c r="D27" s="223">
        <f t="shared" si="11"/>
        <v>0</v>
      </c>
      <c r="E27" s="270">
        <v>0</v>
      </c>
      <c r="F27" s="223">
        <f>IF(F$8=1,$C27/COUNTIF($E$8:$X$8,"1"),0)</f>
        <v>0</v>
      </c>
      <c r="G27" s="223">
        <f t="shared" ref="G27:X27" si="24">IF(G$8=1,$C27/COUNTIF($E$8:$X$8,"1"),0)</f>
        <v>0</v>
      </c>
      <c r="H27" s="223">
        <f>IF(H$8=1,$C27/COUNTIF($E$8:$X$8,"1"),0)</f>
        <v>0</v>
      </c>
      <c r="I27" s="223">
        <f t="shared" si="24"/>
        <v>0</v>
      </c>
      <c r="J27" s="223">
        <f t="shared" si="24"/>
        <v>0</v>
      </c>
      <c r="K27" s="223">
        <f t="shared" si="24"/>
        <v>0</v>
      </c>
      <c r="L27" s="223">
        <f t="shared" si="24"/>
        <v>0</v>
      </c>
      <c r="M27" s="223">
        <f t="shared" si="24"/>
        <v>0</v>
      </c>
      <c r="N27" s="223">
        <f t="shared" si="24"/>
        <v>0</v>
      </c>
      <c r="O27" s="223">
        <f t="shared" si="24"/>
        <v>0</v>
      </c>
      <c r="P27" s="223">
        <f t="shared" si="24"/>
        <v>0</v>
      </c>
      <c r="Q27" s="223">
        <f t="shared" si="24"/>
        <v>0</v>
      </c>
      <c r="R27" s="223">
        <f t="shared" si="24"/>
        <v>0</v>
      </c>
      <c r="S27" s="223">
        <f t="shared" si="24"/>
        <v>0</v>
      </c>
      <c r="T27" s="223">
        <f t="shared" si="24"/>
        <v>0</v>
      </c>
      <c r="U27" s="223">
        <f t="shared" si="24"/>
        <v>400000</v>
      </c>
      <c r="V27" s="223">
        <f t="shared" si="24"/>
        <v>400000</v>
      </c>
      <c r="W27" s="223">
        <f t="shared" si="24"/>
        <v>400000</v>
      </c>
      <c r="X27" s="223">
        <f t="shared" si="24"/>
        <v>0</v>
      </c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4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CH27" s="207"/>
      <c r="CI27" s="207"/>
    </row>
    <row r="28" spans="1:87" ht="20.25" customHeight="1">
      <c r="A28" s="207" t="s">
        <v>103</v>
      </c>
      <c r="B28" s="224">
        <f t="shared" si="10"/>
        <v>1777540.1279999998</v>
      </c>
      <c r="C28" s="223">
        <f>'4-H Financial'!$B21</f>
        <v>1777540.1279999998</v>
      </c>
      <c r="D28" s="223">
        <f t="shared" si="11"/>
        <v>0</v>
      </c>
      <c r="E28" s="270">
        <v>0</v>
      </c>
      <c r="F28" s="223">
        <f>IF(AND(F9&gt;$I$4,F9&lt;=$L$4),$C28/(($M$4)/3),0)</f>
        <v>0</v>
      </c>
      <c r="G28" s="223">
        <f t="shared" ref="G28:X28" si="25">IF(AND(G9&gt;$I$4,G9&lt;=$L$4),$C28/(($M$4)/3),0)</f>
        <v>0</v>
      </c>
      <c r="H28" s="223">
        <f t="shared" si="25"/>
        <v>0</v>
      </c>
      <c r="I28" s="223">
        <f t="shared" si="25"/>
        <v>0</v>
      </c>
      <c r="J28" s="223">
        <f t="shared" si="25"/>
        <v>0</v>
      </c>
      <c r="K28" s="223">
        <f t="shared" si="25"/>
        <v>0</v>
      </c>
      <c r="L28" s="223">
        <f t="shared" si="25"/>
        <v>0</v>
      </c>
      <c r="M28" s="223">
        <f t="shared" si="25"/>
        <v>0</v>
      </c>
      <c r="N28" s="223">
        <f t="shared" si="25"/>
        <v>0</v>
      </c>
      <c r="O28" s="223">
        <f t="shared" si="25"/>
        <v>0</v>
      </c>
      <c r="P28" s="223">
        <f t="shared" si="25"/>
        <v>0</v>
      </c>
      <c r="Q28" s="223">
        <f t="shared" si="25"/>
        <v>0</v>
      </c>
      <c r="R28" s="223">
        <f t="shared" si="25"/>
        <v>0</v>
      </c>
      <c r="S28" s="223">
        <f t="shared" si="25"/>
        <v>0</v>
      </c>
      <c r="T28" s="223">
        <f t="shared" si="25"/>
        <v>0</v>
      </c>
      <c r="U28" s="223">
        <f t="shared" si="25"/>
        <v>0</v>
      </c>
      <c r="V28" s="223">
        <f t="shared" si="25"/>
        <v>0</v>
      </c>
      <c r="W28" s="223">
        <f t="shared" si="25"/>
        <v>888770.0639999999</v>
      </c>
      <c r="X28" s="223">
        <f t="shared" si="25"/>
        <v>888770.0639999999</v>
      </c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4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CH28" s="207"/>
      <c r="CI28" s="207"/>
    </row>
    <row r="29" spans="1:87" ht="20.25" customHeight="1">
      <c r="A29" s="207" t="s">
        <v>106</v>
      </c>
      <c r="B29" s="224">
        <f t="shared" si="10"/>
        <v>5554812.9000000004</v>
      </c>
      <c r="C29" s="223">
        <f>'4-H Financial'!$B22</f>
        <v>5554812.9000000004</v>
      </c>
      <c r="D29" s="223">
        <f t="shared" si="11"/>
        <v>0</v>
      </c>
      <c r="E29" s="270">
        <v>0</v>
      </c>
      <c r="F29" s="223">
        <f>IF(F$8=1,$C29/COUNTIF($E$8:$X$8,"1"),0)</f>
        <v>0</v>
      </c>
      <c r="G29" s="223">
        <f t="shared" ref="G29:X29" si="26">IF(G$8=1,$C29/COUNTIF($E$8:$X$8,"1"),0)</f>
        <v>0</v>
      </c>
      <c r="H29" s="223">
        <f t="shared" si="26"/>
        <v>0</v>
      </c>
      <c r="I29" s="223">
        <f t="shared" si="26"/>
        <v>0</v>
      </c>
      <c r="J29" s="223">
        <f t="shared" si="26"/>
        <v>0</v>
      </c>
      <c r="K29" s="223">
        <f t="shared" si="26"/>
        <v>0</v>
      </c>
      <c r="L29" s="223">
        <f t="shared" si="26"/>
        <v>0</v>
      </c>
      <c r="M29" s="223">
        <f t="shared" si="26"/>
        <v>0</v>
      </c>
      <c r="N29" s="223">
        <f t="shared" si="26"/>
        <v>0</v>
      </c>
      <c r="O29" s="223">
        <f t="shared" si="26"/>
        <v>0</v>
      </c>
      <c r="P29" s="223">
        <f t="shared" si="26"/>
        <v>0</v>
      </c>
      <c r="Q29" s="223">
        <f t="shared" si="26"/>
        <v>0</v>
      </c>
      <c r="R29" s="223">
        <f t="shared" si="26"/>
        <v>0</v>
      </c>
      <c r="S29" s="223">
        <f t="shared" si="26"/>
        <v>0</v>
      </c>
      <c r="T29" s="223">
        <f t="shared" si="26"/>
        <v>0</v>
      </c>
      <c r="U29" s="223">
        <f t="shared" si="26"/>
        <v>1851604.3</v>
      </c>
      <c r="V29" s="223">
        <f t="shared" si="26"/>
        <v>1851604.3</v>
      </c>
      <c r="W29" s="223">
        <f t="shared" si="26"/>
        <v>1851604.3</v>
      </c>
      <c r="X29" s="223">
        <f t="shared" si="26"/>
        <v>0</v>
      </c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4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CH29" s="207"/>
      <c r="CI29" s="207"/>
    </row>
    <row r="30" spans="1:87" ht="20.25" customHeight="1">
      <c r="A30" s="207" t="s">
        <v>403</v>
      </c>
      <c r="B30" s="224">
        <f t="shared" si="10"/>
        <v>177754.01279999997</v>
      </c>
      <c r="C30" s="223">
        <f>'4-H Financial'!$B23</f>
        <v>177754.01279999997</v>
      </c>
      <c r="D30" s="223">
        <f t="shared" si="11"/>
        <v>0</v>
      </c>
      <c r="E30" s="270">
        <v>0</v>
      </c>
      <c r="F30" s="223">
        <f>IF(AND(F$9&gt;$I$4,F$9&lt;$L$4),$C30,0)</f>
        <v>0</v>
      </c>
      <c r="G30" s="223">
        <f t="shared" ref="G30:X30" si="27">IF(AND(G$9&gt;$I$4,G$9&lt;$L$4),$C30,0)</f>
        <v>0</v>
      </c>
      <c r="H30" s="223">
        <f t="shared" si="27"/>
        <v>0</v>
      </c>
      <c r="I30" s="223">
        <f t="shared" si="27"/>
        <v>0</v>
      </c>
      <c r="J30" s="223">
        <f t="shared" si="27"/>
        <v>0</v>
      </c>
      <c r="K30" s="223">
        <f t="shared" si="27"/>
        <v>0</v>
      </c>
      <c r="L30" s="223">
        <f t="shared" si="27"/>
        <v>0</v>
      </c>
      <c r="M30" s="223">
        <f t="shared" si="27"/>
        <v>0</v>
      </c>
      <c r="N30" s="223">
        <f t="shared" si="27"/>
        <v>0</v>
      </c>
      <c r="O30" s="223">
        <f t="shared" si="27"/>
        <v>0</v>
      </c>
      <c r="P30" s="223">
        <f t="shared" si="27"/>
        <v>0</v>
      </c>
      <c r="Q30" s="223">
        <f t="shared" si="27"/>
        <v>0</v>
      </c>
      <c r="R30" s="223">
        <f t="shared" si="27"/>
        <v>0</v>
      </c>
      <c r="S30" s="223">
        <f t="shared" si="27"/>
        <v>0</v>
      </c>
      <c r="T30" s="223">
        <f t="shared" si="27"/>
        <v>0</v>
      </c>
      <c r="U30" s="223">
        <f t="shared" si="27"/>
        <v>0</v>
      </c>
      <c r="V30" s="223">
        <f t="shared" si="27"/>
        <v>0</v>
      </c>
      <c r="W30" s="223">
        <f t="shared" si="27"/>
        <v>177754.01279999997</v>
      </c>
      <c r="X30" s="223">
        <f t="shared" si="27"/>
        <v>0</v>
      </c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4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CH30" s="207"/>
      <c r="CI30" s="207"/>
    </row>
    <row r="31" spans="1:87" ht="20.25" customHeight="1">
      <c r="A31" s="207" t="s">
        <v>112</v>
      </c>
      <c r="B31" s="224">
        <f t="shared" si="10"/>
        <v>442073.09626199998</v>
      </c>
      <c r="C31" s="223">
        <f>'4-H Financial'!$B24</f>
        <v>442073.09626199992</v>
      </c>
      <c r="D31" s="223">
        <f t="shared" si="11"/>
        <v>0</v>
      </c>
      <c r="E31" s="270">
        <v>0</v>
      </c>
      <c r="F31" s="223">
        <f t="shared" ref="F31:X31" si="28">IF(F$13&gt;0,$C31/(($J$4)/3),0)</f>
        <v>0</v>
      </c>
      <c r="G31" s="223">
        <f t="shared" si="28"/>
        <v>0</v>
      </c>
      <c r="H31" s="223">
        <f t="shared" si="28"/>
        <v>0</v>
      </c>
      <c r="I31" s="223">
        <f t="shared" si="28"/>
        <v>0</v>
      </c>
      <c r="J31" s="223">
        <f t="shared" si="28"/>
        <v>0</v>
      </c>
      <c r="K31" s="223">
        <f t="shared" si="28"/>
        <v>36839.424688499996</v>
      </c>
      <c r="L31" s="223">
        <f t="shared" si="28"/>
        <v>36839.424688499996</v>
      </c>
      <c r="M31" s="223">
        <f t="shared" si="28"/>
        <v>36839.424688499996</v>
      </c>
      <c r="N31" s="223">
        <f t="shared" si="28"/>
        <v>36839.424688499996</v>
      </c>
      <c r="O31" s="223">
        <f t="shared" si="28"/>
        <v>36839.424688499996</v>
      </c>
      <c r="P31" s="223">
        <f t="shared" si="28"/>
        <v>36839.424688499996</v>
      </c>
      <c r="Q31" s="223">
        <f t="shared" si="28"/>
        <v>36839.424688499996</v>
      </c>
      <c r="R31" s="223">
        <f t="shared" si="28"/>
        <v>36839.424688499996</v>
      </c>
      <c r="S31" s="223">
        <f t="shared" si="28"/>
        <v>36839.424688499996</v>
      </c>
      <c r="T31" s="223">
        <f t="shared" si="28"/>
        <v>36839.424688499996</v>
      </c>
      <c r="U31" s="223">
        <f t="shared" si="28"/>
        <v>36839.424688499996</v>
      </c>
      <c r="V31" s="223">
        <f t="shared" si="28"/>
        <v>36839.424688499996</v>
      </c>
      <c r="W31" s="223">
        <f t="shared" si="28"/>
        <v>0</v>
      </c>
      <c r="X31" s="223">
        <f t="shared" si="28"/>
        <v>0</v>
      </c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CH31" s="207"/>
      <c r="CI31" s="207"/>
    </row>
    <row r="32" spans="1:87" ht="20.25" customHeight="1">
      <c r="A32" s="207" t="s">
        <v>165</v>
      </c>
      <c r="B32" s="224">
        <f>SUM(E32:X32)</f>
        <v>-8166666.666666667</v>
      </c>
      <c r="C32" s="223">
        <f>'4-H Financial'!$B25</f>
        <v>-8166666.666666667</v>
      </c>
      <c r="D32" s="223">
        <f>B32-C32</f>
        <v>0</v>
      </c>
      <c r="E32" s="270">
        <v>0</v>
      </c>
      <c r="F32" s="223">
        <f>$C32*F$13</f>
        <v>0</v>
      </c>
      <c r="G32" s="223">
        <f t="shared" ref="G32:X32" si="29">$C32*G$13</f>
        <v>0</v>
      </c>
      <c r="H32" s="223">
        <f t="shared" si="29"/>
        <v>0</v>
      </c>
      <c r="I32" s="223">
        <f t="shared" si="29"/>
        <v>0</v>
      </c>
      <c r="J32" s="223">
        <f t="shared" si="29"/>
        <v>0</v>
      </c>
      <c r="K32" s="223">
        <f t="shared" si="29"/>
        <v>-22348.914587660503</v>
      </c>
      <c r="L32" s="223">
        <f t="shared" si="29"/>
        <v>-84913.275222345299</v>
      </c>
      <c r="M32" s="223">
        <f t="shared" si="29"/>
        <v>-283025.68708464765</v>
      </c>
      <c r="N32" s="223">
        <f t="shared" si="29"/>
        <v>-698004.27014247433</v>
      </c>
      <c r="O32" s="223">
        <f t="shared" si="29"/>
        <v>-1273976.29912031</v>
      </c>
      <c r="P32" s="223">
        <f t="shared" si="29"/>
        <v>-1721064.8871758957</v>
      </c>
      <c r="Q32" s="223">
        <f t="shared" si="29"/>
        <v>-1721064.8871758962</v>
      </c>
      <c r="R32" s="223">
        <f t="shared" si="29"/>
        <v>-1273976.2991203093</v>
      </c>
      <c r="S32" s="223">
        <f t="shared" si="29"/>
        <v>-698004.27014247479</v>
      </c>
      <c r="T32" s="223">
        <f t="shared" si="29"/>
        <v>-283025.68708464759</v>
      </c>
      <c r="U32" s="223">
        <f t="shared" si="29"/>
        <v>-84913.275222345372</v>
      </c>
      <c r="V32" s="223">
        <f t="shared" si="29"/>
        <v>-22348.914587660402</v>
      </c>
      <c r="W32" s="223">
        <f t="shared" si="29"/>
        <v>0</v>
      </c>
      <c r="X32" s="223">
        <f t="shared" si="29"/>
        <v>0</v>
      </c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4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CH32" s="207"/>
      <c r="CI32" s="207"/>
    </row>
    <row r="33" spans="1:87" ht="20.25" customHeight="1">
      <c r="A33" s="207" t="s">
        <v>38</v>
      </c>
      <c r="B33" s="224">
        <f ca="1">SUM(E33:X33)</f>
        <v>390000</v>
      </c>
      <c r="C33" s="223">
        <f>'4-H Financial'!$B26</f>
        <v>390000</v>
      </c>
      <c r="D33" s="223">
        <f ca="1">B33-C33</f>
        <v>0</v>
      </c>
      <c r="E33" s="270">
        <v>0</v>
      </c>
      <c r="F33" s="223">
        <f t="shared" ref="F33:X33" ca="1" si="30">IF(AND(G39&gt;0,F39=0),$C$33,0)</f>
        <v>0</v>
      </c>
      <c r="G33" s="223">
        <f t="shared" ca="1" si="30"/>
        <v>0</v>
      </c>
      <c r="H33" s="223">
        <f t="shared" ca="1" si="30"/>
        <v>0</v>
      </c>
      <c r="I33" s="223">
        <f t="shared" ca="1" si="30"/>
        <v>0</v>
      </c>
      <c r="J33" s="223">
        <f t="shared" ca="1" si="30"/>
        <v>0</v>
      </c>
      <c r="K33" s="223">
        <f t="shared" ca="1" si="30"/>
        <v>0</v>
      </c>
      <c r="L33" s="223">
        <f t="shared" ca="1" si="30"/>
        <v>0</v>
      </c>
      <c r="M33" s="223">
        <f t="shared" ca="1" si="30"/>
        <v>0</v>
      </c>
      <c r="N33" s="223">
        <f t="shared" ca="1" si="30"/>
        <v>390000</v>
      </c>
      <c r="O33" s="223">
        <f t="shared" ca="1" si="30"/>
        <v>0</v>
      </c>
      <c r="P33" s="223">
        <f t="shared" ca="1" si="30"/>
        <v>0</v>
      </c>
      <c r="Q33" s="223">
        <f t="shared" ca="1" si="30"/>
        <v>0</v>
      </c>
      <c r="R33" s="223">
        <f t="shared" ca="1" si="30"/>
        <v>0</v>
      </c>
      <c r="S33" s="223">
        <f t="shared" ca="1" si="30"/>
        <v>0</v>
      </c>
      <c r="T33" s="223">
        <f t="shared" ca="1" si="30"/>
        <v>0</v>
      </c>
      <c r="U33" s="223">
        <f t="shared" ca="1" si="30"/>
        <v>0</v>
      </c>
      <c r="V33" s="223">
        <f t="shared" ca="1" si="30"/>
        <v>0</v>
      </c>
      <c r="W33" s="223">
        <f t="shared" ca="1" si="30"/>
        <v>0</v>
      </c>
      <c r="X33" s="223">
        <f t="shared" ca="1" si="30"/>
        <v>0</v>
      </c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4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CH33" s="207"/>
      <c r="CI33" s="207"/>
    </row>
    <row r="34" spans="1:87" ht="20.25" customHeight="1">
      <c r="A34" s="207" t="s">
        <v>407</v>
      </c>
      <c r="B34" s="224">
        <f>SUM(E34:X34)</f>
        <v>6335000.0000000009</v>
      </c>
      <c r="C34" s="223">
        <f>'4-H Financial'!$B27</f>
        <v>6335000</v>
      </c>
      <c r="D34" s="223">
        <f>B34-C34</f>
        <v>0</v>
      </c>
      <c r="E34" s="270">
        <v>0</v>
      </c>
      <c r="F34" s="223">
        <f>IF(F7&lt;&gt;0,$C$34/($J$4/3),0)</f>
        <v>0</v>
      </c>
      <c r="G34" s="223">
        <f t="shared" ref="G34:X34" si="31">IF(G7&lt;&gt;0,$C$34/($J$4/3),0)</f>
        <v>0</v>
      </c>
      <c r="H34" s="223">
        <f t="shared" si="31"/>
        <v>0</v>
      </c>
      <c r="I34" s="223">
        <f t="shared" si="31"/>
        <v>0</v>
      </c>
      <c r="J34" s="223">
        <f t="shared" si="31"/>
        <v>0</v>
      </c>
      <c r="K34" s="223">
        <f t="shared" si="31"/>
        <v>527916.66666666663</v>
      </c>
      <c r="L34" s="223">
        <f t="shared" si="31"/>
        <v>527916.66666666663</v>
      </c>
      <c r="M34" s="223">
        <f t="shared" si="31"/>
        <v>527916.66666666663</v>
      </c>
      <c r="N34" s="223">
        <f t="shared" si="31"/>
        <v>527916.66666666663</v>
      </c>
      <c r="O34" s="223">
        <f t="shared" si="31"/>
        <v>527916.66666666663</v>
      </c>
      <c r="P34" s="223">
        <f t="shared" si="31"/>
        <v>527916.66666666663</v>
      </c>
      <c r="Q34" s="223">
        <f t="shared" si="31"/>
        <v>527916.66666666663</v>
      </c>
      <c r="R34" s="223">
        <f t="shared" si="31"/>
        <v>527916.66666666663</v>
      </c>
      <c r="S34" s="223">
        <f t="shared" si="31"/>
        <v>527916.66666666663</v>
      </c>
      <c r="T34" s="223">
        <f t="shared" si="31"/>
        <v>527916.66666666663</v>
      </c>
      <c r="U34" s="223">
        <f t="shared" si="31"/>
        <v>527916.66666666663</v>
      </c>
      <c r="V34" s="223">
        <f t="shared" si="31"/>
        <v>527916.66666666663</v>
      </c>
      <c r="W34" s="223">
        <f t="shared" si="31"/>
        <v>0</v>
      </c>
      <c r="X34" s="223">
        <f t="shared" si="31"/>
        <v>0</v>
      </c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4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CH34" s="207"/>
      <c r="CI34" s="207"/>
    </row>
    <row r="35" spans="1:87" ht="20.25" customHeight="1">
      <c r="B35" s="252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CH35" s="207"/>
      <c r="CI35" s="207"/>
    </row>
    <row r="36" spans="1:87" s="254" customFormat="1" ht="30" customHeight="1">
      <c r="A36" s="254" t="s">
        <v>408</v>
      </c>
      <c r="B36" s="256">
        <f ca="1">SUM(E36:X36)</f>
        <v>110678445.54706199</v>
      </c>
      <c r="C36" s="255">
        <f>SUM(C14:C34)</f>
        <v>110678445.54706201</v>
      </c>
      <c r="D36" s="255">
        <f ca="1">B36-C36</f>
        <v>0</v>
      </c>
      <c r="E36" s="255">
        <f>SUM(E14:E34)</f>
        <v>0</v>
      </c>
      <c r="F36" s="255">
        <f ca="1">SUM(F14:F34)</f>
        <v>383889.93599999987</v>
      </c>
      <c r="G36" s="255">
        <f t="shared" ref="G36:X36" ca="1" si="32">SUM(G14:G34)</f>
        <v>383889.93599999987</v>
      </c>
      <c r="H36" s="255">
        <f t="shared" ca="1" si="32"/>
        <v>383889.93599999987</v>
      </c>
      <c r="I36" s="255">
        <f t="shared" ca="1" si="32"/>
        <v>383889.93599999987</v>
      </c>
      <c r="J36" s="255">
        <f t="shared" ca="1" si="32"/>
        <v>1233244.5959999999</v>
      </c>
      <c r="K36" s="255">
        <f t="shared" ca="1" si="32"/>
        <v>2311783.7660761732</v>
      </c>
      <c r="L36" s="255">
        <f t="shared" ca="1" si="32"/>
        <v>2007485.6073291018</v>
      </c>
      <c r="M36" s="255">
        <f t="shared" ca="1" si="32"/>
        <v>4082918.9579567774</v>
      </c>
      <c r="N36" s="255">
        <f t="shared" ca="1" si="32"/>
        <v>8820250.7731539384</v>
      </c>
      <c r="O36" s="255">
        <f t="shared" ca="1" si="32"/>
        <v>14464156.204582157</v>
      </c>
      <c r="P36" s="255">
        <f t="shared" ca="1" si="32"/>
        <v>19147873.68403285</v>
      </c>
      <c r="Q36" s="255">
        <f t="shared" ca="1" si="32"/>
        <v>18961260.52069952</v>
      </c>
      <c r="R36" s="255">
        <f t="shared" ca="1" si="32"/>
        <v>14277543.041248815</v>
      </c>
      <c r="S36" s="255">
        <f t="shared" ca="1" si="32"/>
        <v>8243637.609820609</v>
      </c>
      <c r="T36" s="255">
        <f t="shared" ca="1" si="32"/>
        <v>3896305.7946234434</v>
      </c>
      <c r="U36" s="255">
        <f t="shared" ca="1" si="32"/>
        <v>4072476.7439957694</v>
      </c>
      <c r="V36" s="255">
        <f t="shared" ca="1" si="32"/>
        <v>3417050.0627428391</v>
      </c>
      <c r="W36" s="255">
        <f t="shared" ca="1" si="32"/>
        <v>3318128.3768000002</v>
      </c>
      <c r="X36" s="255">
        <f t="shared" ca="1" si="32"/>
        <v>888770.0639999999</v>
      </c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6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</row>
    <row r="37" spans="1:87" s="227" customFormat="1" ht="20.25" customHeight="1">
      <c r="A37" s="227" t="s">
        <v>493</v>
      </c>
      <c r="B37" s="369">
        <f ca="1">SUM(E37:X37)</f>
        <v>31424751.565754503</v>
      </c>
      <c r="C37" s="228"/>
      <c r="D37" s="230"/>
      <c r="E37" s="228">
        <f>E36</f>
        <v>0</v>
      </c>
      <c r="F37" s="228">
        <f ca="1">IF(((E38+F36)&lt;=$B$38),F36,($B$38-E38))</f>
        <v>383889.93599999987</v>
      </c>
      <c r="G37" s="228">
        <f t="shared" ref="G37:X37" ca="1" si="33">IF(((F38+G36)&lt;=$B$38),G36,($B$38-F38))</f>
        <v>383889.93599999987</v>
      </c>
      <c r="H37" s="228">
        <f t="shared" ca="1" si="33"/>
        <v>383889.93599999987</v>
      </c>
      <c r="I37" s="228">
        <f t="shared" ca="1" si="33"/>
        <v>383889.93599999987</v>
      </c>
      <c r="J37" s="228">
        <f t="shared" ca="1" si="33"/>
        <v>1233244.5959999999</v>
      </c>
      <c r="K37" s="228">
        <f t="shared" ca="1" si="33"/>
        <v>2311783.7660761732</v>
      </c>
      <c r="L37" s="228">
        <f t="shared" ca="1" si="33"/>
        <v>2007485.6073291018</v>
      </c>
      <c r="M37" s="228">
        <f t="shared" ca="1" si="33"/>
        <v>4082918.9579567774</v>
      </c>
      <c r="N37" s="228">
        <f t="shared" ca="1" si="33"/>
        <v>8820250.7731539384</v>
      </c>
      <c r="O37" s="228">
        <f t="shared" ca="1" si="33"/>
        <v>11433508.121238515</v>
      </c>
      <c r="P37" s="228">
        <f t="shared" ca="1" si="33"/>
        <v>0</v>
      </c>
      <c r="Q37" s="228">
        <f t="shared" ca="1" si="33"/>
        <v>0</v>
      </c>
      <c r="R37" s="228">
        <f t="shared" ca="1" si="33"/>
        <v>0</v>
      </c>
      <c r="S37" s="228">
        <f t="shared" ca="1" si="33"/>
        <v>0</v>
      </c>
      <c r="T37" s="228">
        <f t="shared" ca="1" si="33"/>
        <v>0</v>
      </c>
      <c r="U37" s="228">
        <f t="shared" ca="1" si="33"/>
        <v>0</v>
      </c>
      <c r="V37" s="228">
        <f t="shared" ca="1" si="33"/>
        <v>0</v>
      </c>
      <c r="W37" s="228">
        <f t="shared" ca="1" si="33"/>
        <v>0</v>
      </c>
      <c r="X37" s="228">
        <f t="shared" ca="1" si="33"/>
        <v>0</v>
      </c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9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</row>
    <row r="38" spans="1:87" ht="20.25" customHeight="1">
      <c r="A38" s="207" t="s">
        <v>494</v>
      </c>
      <c r="B38" s="224">
        <f>'4-H Financial'!$D$15</f>
        <v>31424751.565754503</v>
      </c>
      <c r="C38" s="223"/>
      <c r="D38" s="223"/>
      <c r="E38" s="223">
        <f>IF(OR(E9&lt;$E$4,E9&gt;$L$4),0,IF(SUM($E$37:E37)&lt;=$B38,SUM($E$37:E37),$B$38))</f>
        <v>0</v>
      </c>
      <c r="F38" s="223">
        <f ca="1">IF(OR(F9&lt;$E$4,F9&gt;$L$4),0,IF(SUM($E$37:F37)&lt;=$B38,SUM($E$37:F37),$B$38))</f>
        <v>383889.93599999987</v>
      </c>
      <c r="G38" s="223">
        <f ca="1">IF(OR(G9&lt;$E$4,G9&gt;$L$4),0,IF(SUM($E$37:G37)&lt;=$B38,SUM($E$37:G37),$B$38))</f>
        <v>767779.87199999974</v>
      </c>
      <c r="H38" s="223">
        <f ca="1">IF(OR(H9&lt;$E$4,H9&gt;$L$4),0,IF(SUM($E$37:H37)&lt;=$B38,SUM($E$37:H37),$B$38))</f>
        <v>1151669.8079999997</v>
      </c>
      <c r="I38" s="223">
        <f ca="1">IF(OR(I9&lt;$E$4,I9&gt;$L$4),0,IF(SUM($E$37:I37)&lt;=$B38,SUM($E$37:I37),$B$38))</f>
        <v>1535559.7439999995</v>
      </c>
      <c r="J38" s="223">
        <f ca="1">IF(OR(J9&lt;$E$4,J9&gt;$L$4),0,IF(SUM($E$37:J37)&lt;=$B38,SUM($E$37:J37),$B$38))</f>
        <v>2768804.3399999994</v>
      </c>
      <c r="K38" s="223">
        <f ca="1">IF(OR(K9&lt;$E$4,K9&gt;$L$4),0,IF(SUM($E$37:K37)&lt;=$B38,SUM($E$37:K37),$B$38))</f>
        <v>5080588.1060761726</v>
      </c>
      <c r="L38" s="223">
        <f ca="1">IF(OR(L9&lt;$E$4,L9&gt;$L$4),0,IF(SUM($E$37:L37)&lt;=$B38,SUM($E$37:L37),$B$38))</f>
        <v>7088073.7134052739</v>
      </c>
      <c r="M38" s="223">
        <f ca="1">IF(OR(M9&lt;$E$4,M9&gt;$L$4),0,IF(SUM($E$37:M37)&lt;=$B38,SUM($E$37:M37),$B$38))</f>
        <v>11170992.671362052</v>
      </c>
      <c r="N38" s="223">
        <f ca="1">IF(OR(N9&lt;$E$4,N9&gt;$L$4),0,IF(SUM($E$37:N37)&lt;=$B38,SUM($E$37:N37),$B$38))</f>
        <v>19991243.444515988</v>
      </c>
      <c r="O38" s="223">
        <f ca="1">IF(OR(O9&lt;$E$4,O9&gt;$L$4),0,IF(SUM($E$37:O37)&lt;=$B38,SUM($E$37:O37),$B$38))</f>
        <v>31424751.565754503</v>
      </c>
      <c r="P38" s="223">
        <f ca="1">IF(OR(P9&lt;$E$4,P9&gt;$L$4),0,IF(SUM($E$37:P37)&lt;=$B38,SUM($E$37:P37),$B$38))</f>
        <v>31424751.565754503</v>
      </c>
      <c r="Q38" s="223">
        <f ca="1">IF(OR(Q9&lt;$E$4,Q9&gt;$L$4),0,IF(SUM($E$37:Q37)&lt;=$B38,SUM($E$37:Q37),$B$38))</f>
        <v>31424751.565754503</v>
      </c>
      <c r="R38" s="223">
        <f ca="1">IF(OR(R9&lt;$E$4,R9&gt;$L$4),0,IF(SUM($E$37:R37)&lt;=$B38,SUM($E$37:R37),$B$38))</f>
        <v>31424751.565754503</v>
      </c>
      <c r="S38" s="223">
        <f ca="1">IF(OR(S9&lt;$E$4,S9&gt;$L$4),0,IF(SUM($E$37:S37)&lt;=$B38,SUM($E$37:S37),$B$38))</f>
        <v>31424751.565754503</v>
      </c>
      <c r="T38" s="223">
        <f ca="1">IF(OR(T9&lt;$E$4,T9&gt;$L$4),0,IF(SUM($E$37:T37)&lt;=$B38,SUM($E$37:T37),$B$38))</f>
        <v>31424751.565754503</v>
      </c>
      <c r="U38" s="223">
        <f ca="1">IF(OR(U9&lt;$E$4,U9&gt;$L$4),0,IF(SUM($E$37:U37)&lt;=$B38,SUM($E$37:U37),$B$38))</f>
        <v>31424751.565754503</v>
      </c>
      <c r="V38" s="223">
        <f ca="1">IF(OR(V9&lt;$E$4,V9&gt;$L$4),0,IF(SUM($E$37:V37)&lt;=$B38,SUM($E$37:V37),$B$38))</f>
        <v>31424751.565754503</v>
      </c>
      <c r="W38" s="223">
        <f ca="1">IF(OR(W9&lt;$E$4,W9&gt;$L$4),0,IF(SUM($E$37:W37)&lt;=$B38,SUM($E$37:W37),$B$38))</f>
        <v>31424751.565754503</v>
      </c>
      <c r="X38" s="223">
        <f ca="1">IF(OR(X9&lt;$E$4,X9&gt;$L$4),0,IF(SUM($E$37:X37)&lt;=$B38,SUM($E$37:X37),$B$38))</f>
        <v>31424751.565754503</v>
      </c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4"/>
      <c r="AS38" s="223"/>
      <c r="AT38" s="223"/>
      <c r="AU38" s="223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CH38" s="207"/>
      <c r="CI38" s="207"/>
    </row>
    <row r="39" spans="1:87" ht="20.25" customHeight="1">
      <c r="A39" s="207" t="s">
        <v>495</v>
      </c>
      <c r="B39" s="365">
        <f ca="1">SUM(E39:X39)</f>
        <v>79253693.981307492</v>
      </c>
      <c r="C39" s="223"/>
      <c r="D39" s="223"/>
      <c r="E39" s="223">
        <f t="shared" ref="E39:X39" si="34">IF(E36&gt;E37,E36-E37,0)</f>
        <v>0</v>
      </c>
      <c r="F39" s="223">
        <f t="shared" ca="1" si="34"/>
        <v>0</v>
      </c>
      <c r="G39" s="223">
        <f t="shared" ca="1" si="34"/>
        <v>0</v>
      </c>
      <c r="H39" s="223">
        <f t="shared" ca="1" si="34"/>
        <v>0</v>
      </c>
      <c r="I39" s="223">
        <f t="shared" ca="1" si="34"/>
        <v>0</v>
      </c>
      <c r="J39" s="223">
        <f t="shared" ca="1" si="34"/>
        <v>0</v>
      </c>
      <c r="K39" s="223">
        <f t="shared" ca="1" si="34"/>
        <v>0</v>
      </c>
      <c r="L39" s="223">
        <f t="shared" ca="1" si="34"/>
        <v>0</v>
      </c>
      <c r="M39" s="223">
        <f t="shared" ca="1" si="34"/>
        <v>0</v>
      </c>
      <c r="N39" s="223">
        <f t="shared" ca="1" si="34"/>
        <v>0</v>
      </c>
      <c r="O39" s="223">
        <f t="shared" ca="1" si="34"/>
        <v>3030648.0833436418</v>
      </c>
      <c r="P39" s="223">
        <f t="shared" ca="1" si="34"/>
        <v>19147873.68403285</v>
      </c>
      <c r="Q39" s="223">
        <f t="shared" ca="1" si="34"/>
        <v>18961260.52069952</v>
      </c>
      <c r="R39" s="223">
        <f t="shared" ca="1" si="34"/>
        <v>14277543.041248815</v>
      </c>
      <c r="S39" s="223">
        <f t="shared" ca="1" si="34"/>
        <v>8243637.609820609</v>
      </c>
      <c r="T39" s="223">
        <f t="shared" ca="1" si="34"/>
        <v>3896305.7946234434</v>
      </c>
      <c r="U39" s="223">
        <f t="shared" ca="1" si="34"/>
        <v>4072476.7439957694</v>
      </c>
      <c r="V39" s="223">
        <f t="shared" ca="1" si="34"/>
        <v>3417050.0627428391</v>
      </c>
      <c r="W39" s="223">
        <f t="shared" ca="1" si="34"/>
        <v>3318128.3768000002</v>
      </c>
      <c r="X39" s="223">
        <f t="shared" ca="1" si="34"/>
        <v>888770.0639999999</v>
      </c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4"/>
      <c r="AS39" s="245"/>
      <c r="AT39" s="223"/>
      <c r="AU39" s="223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CH39" s="207"/>
      <c r="CI39" s="207"/>
    </row>
    <row r="40" spans="1:87" s="227" customFormat="1" ht="20.25" customHeight="1">
      <c r="A40" s="227" t="s">
        <v>496</v>
      </c>
      <c r="B40" s="229">
        <f ca="1">-B39</f>
        <v>-79253693.981307492</v>
      </c>
      <c r="C40" s="228"/>
      <c r="D40" s="228"/>
      <c r="E40" s="228">
        <f>IF(E6=$K$3,$B$40,0)</f>
        <v>0</v>
      </c>
      <c r="F40" s="228">
        <f t="shared" ref="F40:X40" si="35">IF(F6=$L$3,$B$40,0)</f>
        <v>0</v>
      </c>
      <c r="G40" s="228">
        <f t="shared" si="35"/>
        <v>0</v>
      </c>
      <c r="H40" s="228">
        <f t="shared" si="35"/>
        <v>0</v>
      </c>
      <c r="I40" s="228">
        <f t="shared" si="35"/>
        <v>0</v>
      </c>
      <c r="J40" s="228">
        <f t="shared" si="35"/>
        <v>0</v>
      </c>
      <c r="K40" s="228">
        <f t="shared" si="35"/>
        <v>0</v>
      </c>
      <c r="L40" s="228">
        <f t="shared" si="35"/>
        <v>0</v>
      </c>
      <c r="M40" s="228">
        <f t="shared" si="35"/>
        <v>0</v>
      </c>
      <c r="N40" s="228">
        <f t="shared" si="35"/>
        <v>0</v>
      </c>
      <c r="O40" s="228">
        <f t="shared" si="35"/>
        <v>0</v>
      </c>
      <c r="P40" s="228">
        <f t="shared" si="35"/>
        <v>0</v>
      </c>
      <c r="Q40" s="228">
        <f t="shared" si="35"/>
        <v>0</v>
      </c>
      <c r="R40" s="228">
        <f t="shared" si="35"/>
        <v>0</v>
      </c>
      <c r="S40" s="228">
        <f t="shared" si="35"/>
        <v>0</v>
      </c>
      <c r="T40" s="228">
        <f t="shared" si="35"/>
        <v>0</v>
      </c>
      <c r="U40" s="228">
        <f t="shared" si="35"/>
        <v>0</v>
      </c>
      <c r="V40" s="228">
        <f t="shared" si="35"/>
        <v>0</v>
      </c>
      <c r="W40" s="228">
        <f t="shared" si="35"/>
        <v>0</v>
      </c>
      <c r="X40" s="228">
        <f t="shared" ca="1" si="35"/>
        <v>-79253693.981307492</v>
      </c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9"/>
      <c r="AS40" s="228"/>
      <c r="AT40" s="228"/>
      <c r="AU40" s="228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</row>
    <row r="41" spans="1:87" s="366" customFormat="1" ht="20.25" customHeight="1">
      <c r="A41" s="371" t="s">
        <v>497</v>
      </c>
      <c r="B41" s="372">
        <f>'4-H Financial'!$D$9</f>
        <v>37272444</v>
      </c>
      <c r="C41" s="373"/>
      <c r="D41" s="373"/>
      <c r="E41" s="373">
        <f t="shared" ref="E41:X41" si="36">IF(E6=$L$3,$B41,0)</f>
        <v>0</v>
      </c>
      <c r="F41" s="373">
        <f t="shared" si="36"/>
        <v>0</v>
      </c>
      <c r="G41" s="373">
        <f t="shared" si="36"/>
        <v>0</v>
      </c>
      <c r="H41" s="373">
        <f t="shared" si="36"/>
        <v>0</v>
      </c>
      <c r="I41" s="373">
        <f t="shared" si="36"/>
        <v>0</v>
      </c>
      <c r="J41" s="373">
        <f t="shared" si="36"/>
        <v>0</v>
      </c>
      <c r="K41" s="373">
        <f t="shared" si="36"/>
        <v>0</v>
      </c>
      <c r="L41" s="373">
        <f t="shared" si="36"/>
        <v>0</v>
      </c>
      <c r="M41" s="373">
        <f t="shared" si="36"/>
        <v>0</v>
      </c>
      <c r="N41" s="373">
        <f t="shared" si="36"/>
        <v>0</v>
      </c>
      <c r="O41" s="373">
        <f t="shared" si="36"/>
        <v>0</v>
      </c>
      <c r="P41" s="373">
        <f t="shared" si="36"/>
        <v>0</v>
      </c>
      <c r="Q41" s="373">
        <f t="shared" si="36"/>
        <v>0</v>
      </c>
      <c r="R41" s="373">
        <f t="shared" si="36"/>
        <v>0</v>
      </c>
      <c r="S41" s="373">
        <f t="shared" si="36"/>
        <v>0</v>
      </c>
      <c r="T41" s="373">
        <f t="shared" si="36"/>
        <v>0</v>
      </c>
      <c r="U41" s="373">
        <f t="shared" si="36"/>
        <v>0</v>
      </c>
      <c r="V41" s="373">
        <f t="shared" si="36"/>
        <v>0</v>
      </c>
      <c r="W41" s="373">
        <f t="shared" si="36"/>
        <v>0</v>
      </c>
      <c r="X41" s="373">
        <f t="shared" si="36"/>
        <v>37272444</v>
      </c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2"/>
      <c r="AS41" s="373"/>
      <c r="AT41" s="373"/>
      <c r="AU41" s="373"/>
      <c r="AV41" s="374"/>
      <c r="AW41" s="374"/>
      <c r="AX41" s="374"/>
      <c r="AY41" s="374"/>
      <c r="AZ41" s="374"/>
      <c r="BA41" s="374"/>
      <c r="BB41" s="374"/>
      <c r="BC41" s="374"/>
      <c r="BD41" s="374"/>
      <c r="BE41" s="374"/>
      <c r="BF41" s="374"/>
      <c r="BG41" s="374"/>
      <c r="BH41" s="374"/>
      <c r="BI41" s="374"/>
      <c r="BJ41" s="374"/>
      <c r="BK41" s="374"/>
      <c r="BL41" s="374"/>
      <c r="BM41" s="374"/>
      <c r="BN41" s="374"/>
      <c r="BO41" s="374"/>
      <c r="BP41" s="374"/>
      <c r="BQ41" s="374"/>
      <c r="BR41" s="374"/>
      <c r="BS41" s="374"/>
      <c r="BT41" s="374"/>
      <c r="BU41" s="374"/>
      <c r="BV41" s="371"/>
      <c r="BW41" s="371"/>
      <c r="BX41" s="371"/>
      <c r="BY41" s="371"/>
      <c r="BZ41" s="371"/>
      <c r="CA41" s="371"/>
      <c r="CB41" s="371"/>
      <c r="CC41" s="371"/>
      <c r="CD41" s="371"/>
      <c r="CE41" s="371"/>
      <c r="CF41" s="371"/>
      <c r="CG41" s="371"/>
      <c r="CH41" s="371"/>
      <c r="CI41" s="371"/>
    </row>
    <row r="42" spans="1:87" s="488" customFormat="1" ht="20.25" customHeight="1">
      <c r="A42" s="1092" t="s">
        <v>498</v>
      </c>
      <c r="B42" s="838">
        <f ca="1">SUM(E42:AR42)</f>
        <v>47965417.911765352</v>
      </c>
      <c r="C42" s="1095"/>
      <c r="D42" s="1095"/>
      <c r="E42" s="1095">
        <f ca="1">IF(E41&gt;$B$39,0,IF('4-H Financial'!$D$11="NO",IF(E6&lt;&gt;$L$3,0,'4-H Amortization'!$E$4),IF(E6=$L$3,'4-H Amortization'!$E$4,0)))</f>
        <v>0</v>
      </c>
      <c r="F42" s="1095">
        <f ca="1">IF(F41&gt;$B$39,0,IF('4-H Financial'!$D$11="NO",IF(F6&lt;&gt;$L$3,0,'4-H Amortization'!$E$4),IF(F6=$L$3,'4-H Amortization'!$E$4,0)))</f>
        <v>0</v>
      </c>
      <c r="G42" s="1095">
        <f ca="1">IF(G41&gt;$B$39,0,IF('4-H Financial'!$D$11="NO",IF(G6&lt;&gt;$L$3,0,'4-H Amortization'!$E$4),IF(G6=$L$3,'4-H Amortization'!$E$4,0)))</f>
        <v>0</v>
      </c>
      <c r="H42" s="1095">
        <f ca="1">IF(H41&gt;$B$39,0,IF('4-H Financial'!$D$11="NO",IF(H6&lt;&gt;$L$3,0,'4-H Amortization'!$E$4),IF(H6=$L$3,'4-H Amortization'!$E$4,0)))</f>
        <v>0</v>
      </c>
      <c r="I42" s="1095">
        <f ca="1">IF(I41&gt;$B$39,0,IF('4-H Financial'!$D$11="NO",IF(I6&lt;&gt;$L$3,0,'4-H Amortization'!$E$4),IF(I6=$L$3,'4-H Amortization'!$E$4,0)))</f>
        <v>0</v>
      </c>
      <c r="J42" s="1095">
        <f ca="1">IF(J41&gt;$B$39,0,IF('4-H Financial'!$D$11="NO",IF(J6&lt;&gt;$L$3,0,'4-H Amortization'!$E$4),IF(J6=$L$3,'4-H Amortization'!$E$4,0)))</f>
        <v>0</v>
      </c>
      <c r="K42" s="1095">
        <f ca="1">IF(K41&gt;$B$39,0,IF('4-H Financial'!$D$11="NO",IF(K6&lt;&gt;$L$3,0,'4-H Amortization'!$E$4),IF(K6=$L$3,'4-H Amortization'!$E$4,0)))</f>
        <v>0</v>
      </c>
      <c r="L42" s="1095">
        <f ca="1">IF(L41&gt;$B$39,0,IF('4-H Financial'!$D$11="NO",IF(L6&lt;&gt;$L$3,0,'4-H Amortization'!$E$4),IF(L6=$L$3,'4-H Amortization'!$E$4,0)))</f>
        <v>0</v>
      </c>
      <c r="M42" s="1095">
        <f ca="1">IF(M41&gt;$B$39,0,IF('4-H Financial'!$D$11="NO",IF(M6&lt;&gt;$L$3,0,'4-H Amortization'!$E$4),IF(M6=$L$3,'4-H Amortization'!$E$4,0)))</f>
        <v>0</v>
      </c>
      <c r="N42" s="1095">
        <f ca="1">IF(N41&gt;$B$39,0,IF('4-H Financial'!$D$11="NO",IF(N6&lt;&gt;$L$3,0,'4-H Amortization'!$E$4),IF(N6=$L$3,'4-H Amortization'!$E$4,0)))</f>
        <v>0</v>
      </c>
      <c r="O42" s="1095">
        <f ca="1">IF(O41&gt;$B$39,0,IF('4-H Financial'!$D$11="NO",IF(O6&lt;&gt;$L$3,0,'4-H Amortization'!$E$4),IF(O6=$L$3,'4-H Amortization'!$E$4,0)))</f>
        <v>0</v>
      </c>
      <c r="P42" s="1095">
        <f ca="1">IF(P41&gt;$B$39,0,IF('4-H Financial'!$D$11="NO",IF(P6&lt;&gt;$L$3,0,'4-H Amortization'!$E$4),IF(P6=$L$3,'4-H Amortization'!$E$4,0)))</f>
        <v>0</v>
      </c>
      <c r="Q42" s="1095">
        <f ca="1">IF(Q41&gt;$B$39,0,IF('4-H Financial'!$D$11="NO",IF(Q6&lt;&gt;$L$3,0,'4-H Amortization'!$E$4),IF(Q6=$L$3,'4-H Amortization'!$E$4,0)))</f>
        <v>0</v>
      </c>
      <c r="R42" s="1095">
        <f ca="1">IF(R41&gt;$B$39,0,IF('4-H Financial'!$D$11="NO",IF(R6&lt;&gt;$L$3,0,'4-H Amortization'!$E$4),IF(R6=$L$3,'4-H Amortization'!$E$4,0)))</f>
        <v>0</v>
      </c>
      <c r="S42" s="1095">
        <f ca="1">IF(S41&gt;$B$39,0,IF('4-H Financial'!$D$11="NO",IF(S6&lt;&gt;$L$3,0,'4-H Amortization'!$E$4),IF(S6=$L$3,'4-H Amortization'!$E$4,0)))</f>
        <v>0</v>
      </c>
      <c r="T42" s="1095">
        <f ca="1">IF(T41&gt;$B$39,0,IF('4-H Financial'!$D$11="NO",IF(T6&lt;&gt;$L$3,0,'4-H Amortization'!$E$4),IF(T6=$L$3,'4-H Amortization'!$E$4,0)))</f>
        <v>0</v>
      </c>
      <c r="U42" s="1095">
        <f ca="1">IF(U41&gt;$B$39,0,IF('4-H Financial'!$D$11="NO",IF(U6&lt;&gt;$L$3,0,'4-H Amortization'!$E$4),IF(U6=$L$3,'4-H Amortization'!$E$4,0)))</f>
        <v>0</v>
      </c>
      <c r="V42" s="1095">
        <f ca="1">IF(V41&gt;$B$39,0,IF('4-H Financial'!$D$11="NO",IF(V6&lt;&gt;$L$3,0,'4-H Amortization'!$E$4),IF(V6=$L$3,'4-H Amortization'!$E$4,0)))</f>
        <v>0</v>
      </c>
      <c r="W42" s="1095">
        <f ca="1">IF(W41&gt;$B$39,0,IF('4-H Financial'!$D$11="NO",IF(W6&lt;&gt;$L$3,0,'4-H Amortization'!$E$4),IF(W6=$L$3,'4-H Amortization'!$E$4,0)))</f>
        <v>0</v>
      </c>
      <c r="X42" s="1095">
        <f ca="1">IF(X41&gt;$B$39,0,IF('4-H Financial'!$D$11="NO",IF(X6&lt;&gt;$L$3,0,'4-H Amortization'!$E$4),IF(X6=$L$3,'4-H Amortization'!$E$4,0)))</f>
        <v>47965417.911765352</v>
      </c>
      <c r="Y42" s="1095"/>
      <c r="Z42" s="1095"/>
      <c r="AA42" s="1095"/>
      <c r="AB42" s="1095"/>
      <c r="AC42" s="1095"/>
      <c r="AD42" s="1095"/>
      <c r="AE42" s="1095"/>
      <c r="AF42" s="1095"/>
      <c r="AG42" s="1095"/>
      <c r="AH42" s="1095"/>
      <c r="AI42" s="1095"/>
      <c r="AJ42" s="1095"/>
      <c r="AK42" s="1095"/>
      <c r="AL42" s="1095"/>
      <c r="AM42" s="1095"/>
      <c r="AN42" s="1095"/>
      <c r="AO42" s="1095"/>
      <c r="AP42" s="1095"/>
      <c r="AQ42" s="1095"/>
      <c r="AR42" s="764"/>
      <c r="AS42" s="1095"/>
      <c r="AT42" s="1095"/>
      <c r="AU42" s="1095"/>
      <c r="AV42" s="1093"/>
      <c r="AW42" s="1093"/>
      <c r="AX42" s="1093"/>
      <c r="AY42" s="1093"/>
      <c r="AZ42" s="1093"/>
      <c r="BA42" s="1093"/>
      <c r="BB42" s="1093"/>
      <c r="BC42" s="1093"/>
      <c r="BD42" s="1093"/>
      <c r="BE42" s="1093"/>
      <c r="BF42" s="1093"/>
      <c r="BG42" s="1093"/>
      <c r="BH42" s="1093"/>
      <c r="BI42" s="1093"/>
      <c r="BJ42" s="1093"/>
      <c r="BK42" s="1093"/>
      <c r="BL42" s="1093"/>
      <c r="BM42" s="1093"/>
      <c r="BN42" s="1093"/>
      <c r="BO42" s="1093"/>
      <c r="BP42" s="1093"/>
      <c r="BQ42" s="1093"/>
      <c r="BR42" s="1093"/>
      <c r="BS42" s="1093"/>
      <c r="BT42" s="1093"/>
      <c r="BU42" s="1093"/>
      <c r="BV42" s="1092"/>
      <c r="BW42" s="1092"/>
      <c r="BX42" s="1092"/>
      <c r="BY42" s="1092"/>
      <c r="BZ42" s="1092"/>
      <c r="CA42" s="1092"/>
      <c r="CB42" s="1092"/>
      <c r="CC42" s="1092"/>
      <c r="CD42" s="1092"/>
      <c r="CE42" s="1092"/>
      <c r="CF42" s="1092"/>
      <c r="CG42" s="1092"/>
      <c r="CH42" s="1092"/>
      <c r="CI42" s="1092"/>
    </row>
    <row r="43" spans="1:87" ht="20.25" customHeight="1">
      <c r="A43" s="207" t="s">
        <v>517</v>
      </c>
      <c r="B43" s="224">
        <f ca="1">SUM(E43:AR43)</f>
        <v>-239827.08955882676</v>
      </c>
      <c r="C43" s="223"/>
      <c r="D43" s="223"/>
      <c r="E43" s="223">
        <f ca="1">IF(E42&gt;0,-'4-H Amortization'!$F$11,0)</f>
        <v>0</v>
      </c>
      <c r="F43" s="223">
        <f ca="1">IF(F42&gt;0,-'4-H Amortization'!$F$11,0)</f>
        <v>0</v>
      </c>
      <c r="G43" s="223">
        <f ca="1">IF(G42&gt;0,-'4-H Amortization'!$F$11,0)</f>
        <v>0</v>
      </c>
      <c r="H43" s="223">
        <f ca="1">IF(H42&gt;0,-'4-H Amortization'!$F$11,0)</f>
        <v>0</v>
      </c>
      <c r="I43" s="223">
        <f ca="1">IF(I42&gt;0,-'4-H Amortization'!$F$11,0)</f>
        <v>0</v>
      </c>
      <c r="J43" s="223">
        <f ca="1">IF(J42&gt;0,-'4-H Amortization'!$F$11,0)</f>
        <v>0</v>
      </c>
      <c r="K43" s="223">
        <f ca="1">IF(K42&gt;0,-'4-H Amortization'!$F$11,0)</f>
        <v>0</v>
      </c>
      <c r="L43" s="223">
        <f ca="1">IF(L42&gt;0,-'4-H Amortization'!$F$11,0)</f>
        <v>0</v>
      </c>
      <c r="M43" s="223">
        <f ca="1">IF(M42&gt;0,-'4-H Amortization'!$F$11,0)</f>
        <v>0</v>
      </c>
      <c r="N43" s="223">
        <f ca="1">IF(N42&gt;0,-'4-H Amortization'!$F$11,0)</f>
        <v>0</v>
      </c>
      <c r="O43" s="223">
        <f ca="1">IF(O42&gt;0,-'4-H Amortization'!$F$11,0)</f>
        <v>0</v>
      </c>
      <c r="P43" s="223">
        <f ca="1">IF(P42&gt;0,-'4-H Amortization'!$F$11,0)</f>
        <v>0</v>
      </c>
      <c r="Q43" s="223">
        <f ca="1">IF(Q42&gt;0,-'4-H Amortization'!$F$11,0)</f>
        <v>0</v>
      </c>
      <c r="R43" s="223">
        <f ca="1">IF(R42&gt;0,-'4-H Amortization'!$F$11,0)</f>
        <v>0</v>
      </c>
      <c r="S43" s="223">
        <f ca="1">IF(S42&gt;0,-'4-H Amortization'!$F$11,0)</f>
        <v>0</v>
      </c>
      <c r="T43" s="223">
        <f ca="1">IF(T42&gt;0,-'4-H Amortization'!$F$11,0)</f>
        <v>0</v>
      </c>
      <c r="U43" s="223">
        <f ca="1">IF(U42&gt;0,-'4-H Amortization'!$F$11,0)</f>
        <v>0</v>
      </c>
      <c r="V43" s="223">
        <f ca="1">IF(V42&gt;0,-'4-H Amortization'!$F$11,0)</f>
        <v>0</v>
      </c>
      <c r="W43" s="223">
        <f ca="1">IF(W42&gt;0,-'4-H Amortization'!$F$11,0)</f>
        <v>0</v>
      </c>
      <c r="X43" s="223">
        <f ca="1">IF(X42&gt;0,-'4-H Amortization'!$F$11,0)</f>
        <v>-239827.08955882676</v>
      </c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4"/>
      <c r="AS43" s="223"/>
      <c r="AT43" s="223"/>
      <c r="AU43" s="223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CH43" s="207"/>
      <c r="CI43" s="207"/>
    </row>
    <row r="44" spans="1:87" s="227" customFormat="1" ht="20.25" customHeight="1">
      <c r="A44" s="227" t="s">
        <v>499</v>
      </c>
      <c r="B44" s="369">
        <f ca="1">SUM(E44:AR44)</f>
        <v>5744340.8408990335</v>
      </c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>
        <f ca="1">X40+X41+X42+X43</f>
        <v>5744340.8408990335</v>
      </c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9"/>
      <c r="AS44" s="228"/>
      <c r="AT44" s="228"/>
      <c r="AU44" s="228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</row>
    <row r="45" spans="1:87" s="227" customFormat="1" ht="20.25" customHeight="1">
      <c r="A45" s="227" t="s">
        <v>500</v>
      </c>
      <c r="B45" s="369">
        <f>SUM(E45:AR45)</f>
        <v>22029004.839507315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>
        <f>'4-H Financial'!$D$5*(1+'4-H Financial'!$D$7)^(Y5-1)/4</f>
        <v>1007272.7391999998</v>
      </c>
      <c r="Z45" s="228">
        <f>'4-H Financial'!$D$5*(1+'4-H Financial'!$D$7)^(Z5-1)/4</f>
        <v>1007272.7391999998</v>
      </c>
      <c r="AA45" s="228">
        <f>'4-H Financial'!$D$5*(1+'4-H Financial'!$D$7)^(AA5-1)/4</f>
        <v>1007272.7391999998</v>
      </c>
      <c r="AB45" s="228">
        <f>'4-H Financial'!$D$5*(1+'4-H Financial'!$D$7)^(AB5-1)/4</f>
        <v>1007272.7391999998</v>
      </c>
      <c r="AC45" s="228">
        <f>'4-H Financial'!$D$5*(1+'4-H Financial'!$D$7)^(AC5-1)/4</f>
        <v>1052303.006335302</v>
      </c>
      <c r="AD45" s="228">
        <f>'4-H Financial'!$D$5*(1+'4-H Financial'!$D$7)^(AD5-1)/4</f>
        <v>1052303.006335302</v>
      </c>
      <c r="AE45" s="228">
        <f>'4-H Financial'!$D$5*(1+'4-H Financial'!$D$7)^(AE5-1)/4</f>
        <v>1052303.006335302</v>
      </c>
      <c r="AF45" s="228">
        <f>'4-H Financial'!$D$5*(1+'4-H Financial'!$D$7)^(AF5-1)/4</f>
        <v>1052303.006335302</v>
      </c>
      <c r="AG45" s="228">
        <f>'4-H Financial'!$D$5*(1+'4-H Financial'!$D$7)^(AG5-1)/4</f>
        <v>1099346.3577916266</v>
      </c>
      <c r="AH45" s="228">
        <f>'4-H Financial'!$D$5*(1+'4-H Financial'!$D$7)^(AH5-1)/4</f>
        <v>1099346.3577916266</v>
      </c>
      <c r="AI45" s="228">
        <f>'4-H Financial'!$D$5*(1+'4-H Financial'!$D$7)^(AI5-1)/4</f>
        <v>1099346.3577916266</v>
      </c>
      <c r="AJ45" s="228">
        <f>'4-H Financial'!$D$5*(1+'4-H Financial'!$D$7)^(AJ5-1)/4</f>
        <v>1099346.3577916266</v>
      </c>
      <c r="AK45" s="228">
        <f>'4-H Financial'!$D$5*(1+'4-H Financial'!$D$7)^(AK5-1)/4</f>
        <v>1148492.788782001</v>
      </c>
      <c r="AL45" s="228">
        <f>'4-H Financial'!$D$5*(1+'4-H Financial'!$D$7)^(AL5-1)/4</f>
        <v>1148492.788782001</v>
      </c>
      <c r="AM45" s="228">
        <f>'4-H Financial'!$D$5*(1+'4-H Financial'!$D$7)^(AM5-1)/4</f>
        <v>1148492.788782001</v>
      </c>
      <c r="AN45" s="228">
        <f>'4-H Financial'!$D$5*(1+'4-H Financial'!$D$7)^(AN5-1)/4</f>
        <v>1148492.788782001</v>
      </c>
      <c r="AO45" s="228">
        <f>'4-H Financial'!$D$5*(1+'4-H Financial'!$D$7)^(AO5-1)/4</f>
        <v>1199836.3177679009</v>
      </c>
      <c r="AP45" s="228">
        <f>'4-H Financial'!$D$5*(1+'4-H Financial'!$D$7)^(AP5-1)/4</f>
        <v>1199836.3177679009</v>
      </c>
      <c r="AQ45" s="228">
        <f>'4-H Financial'!$D$5*(1+'4-H Financial'!$D$7)^(AQ5-1)/4</f>
        <v>1199836.3177679009</v>
      </c>
      <c r="AR45" s="229">
        <f>'4-H Financial'!$D$5*(1+'4-H Financial'!$D$7)^(AR5-1)/4</f>
        <v>1199836.3177679009</v>
      </c>
      <c r="AS45" s="228"/>
      <c r="AT45" s="228"/>
      <c r="AU45" s="228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  <c r="BH45" s="230"/>
      <c r="BI45" s="230"/>
      <c r="BJ45" s="230"/>
      <c r="BK45" s="230"/>
      <c r="BL45" s="230"/>
      <c r="BM45" s="230"/>
      <c r="BN45" s="230"/>
      <c r="BO45" s="230"/>
      <c r="BP45" s="230"/>
      <c r="BQ45" s="230"/>
      <c r="BR45" s="230"/>
      <c r="BS45" s="230"/>
      <c r="BT45" s="230"/>
      <c r="BU45" s="230"/>
    </row>
    <row r="46" spans="1:87" ht="20.25" customHeight="1">
      <c r="A46" s="207" t="s">
        <v>501</v>
      </c>
      <c r="B46" s="224">
        <f>SUM(E46:AR46)</f>
        <v>-16193843.181739781</v>
      </c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 cm="1">
        <f t="array" ref="Y46">INDEX('4-H Amortization'!$J$4:$J$23,MATCH(1,('4-H Amortization'!$I$4:$I$23=Y7)*('4-H Amortization'!$H$4:$H$23=Y5),0),0)</f>
        <v>-689502.88248162693</v>
      </c>
      <c r="Z46" s="223" cm="1">
        <f t="array" ref="Z46">INDEX('4-H Amortization'!$J$4:$J$23,MATCH(1,('4-H Amortization'!$I$4:$I$23=Z7)*('4-H Amortization'!$H$4:$H$23=Z5),0),0)</f>
        <v>-689502.88248162693</v>
      </c>
      <c r="AA46" s="223" cm="1">
        <f t="array" ref="AA46">INDEX('4-H Amortization'!$J$4:$J$23,MATCH(1,('4-H Amortization'!$I$4:$I$23=AA7)*('4-H Amortization'!$H$4:$H$23=AA5),0),0)</f>
        <v>-689502.88248162693</v>
      </c>
      <c r="AB46" s="223" cm="1">
        <f t="array" ref="AB46">INDEX('4-H Amortization'!$J$4:$J$23,MATCH(1,('4-H Amortization'!$I$4:$I$23=AB7)*('4-H Amortization'!$H$4:$H$23=AB5),0),0)</f>
        <v>-689502.88248162693</v>
      </c>
      <c r="AC46" s="223" cm="1">
        <f t="array" ref="AC46">INDEX('4-H Amortization'!$J$4:$J$23,MATCH(1,('4-H Amortization'!$I$4:$I$23=AC7)*('4-H Amortization'!$H$4:$H$23=AC5),0),0)</f>
        <v>-839739.47823832976</v>
      </c>
      <c r="AD46" s="223" cm="1">
        <f t="array" ref="AD46">INDEX('4-H Amortization'!$J$4:$J$23,MATCH(1,('4-H Amortization'!$I$4:$I$23=AD7)*('4-H Amortization'!$H$4:$H$23=AD5),0),0)</f>
        <v>-839739.47823832999</v>
      </c>
      <c r="AE46" s="223" cm="1">
        <f t="array" ref="AE46">INDEX('4-H Amortization'!$J$4:$J$23,MATCH(1,('4-H Amortization'!$I$4:$I$23=AE7)*('4-H Amortization'!$H$4:$H$23=AE5),0),0)</f>
        <v>-839739.47823832999</v>
      </c>
      <c r="AF46" s="223" cm="1">
        <f t="array" ref="AF46">INDEX('4-H Amortization'!$J$4:$J$23,MATCH(1,('4-H Amortization'!$I$4:$I$23=AF7)*('4-H Amortization'!$H$4:$H$23=AF5),0),0)</f>
        <v>-839739.47823833011</v>
      </c>
      <c r="AG46" s="223" cm="1">
        <f t="array" ref="AG46">INDEX('4-H Amortization'!$J$4:$J$23,MATCH(1,('4-H Amortization'!$I$4:$I$23=AG7)*('4-H Amortization'!$H$4:$H$23=AG5),0),0)</f>
        <v>-839739.47823833011</v>
      </c>
      <c r="AH46" s="223" cm="1">
        <f t="array" ref="AH46">INDEX('4-H Amortization'!$J$4:$J$23,MATCH(1,('4-H Amortization'!$I$4:$I$23=AH7)*('4-H Amortization'!$H$4:$H$23=AH5),0),0)</f>
        <v>-839739.47823833011</v>
      </c>
      <c r="AI46" s="223" cm="1">
        <f t="array" ref="AI46">INDEX('4-H Amortization'!$J$4:$J$23,MATCH(1,('4-H Amortization'!$I$4:$I$23=AI7)*('4-H Amortization'!$H$4:$H$23=AI5),0),0)</f>
        <v>-839739.47823833011</v>
      </c>
      <c r="AJ46" s="223" cm="1">
        <f t="array" ref="AJ46">INDEX('4-H Amortization'!$J$4:$J$23,MATCH(1,('4-H Amortization'!$I$4:$I$23=AJ7)*('4-H Amortization'!$H$4:$H$23=AJ5),0),0)</f>
        <v>-839739.47823833011</v>
      </c>
      <c r="AK46" s="223" cm="1">
        <f t="array" ref="AK46">INDEX('4-H Amortization'!$J$4:$J$23,MATCH(1,('4-H Amortization'!$I$4:$I$23=AK7)*('4-H Amortization'!$H$4:$H$23=AK5),0),0)</f>
        <v>-839739.47823833011</v>
      </c>
      <c r="AL46" s="223" cm="1">
        <f t="array" ref="AL46">INDEX('4-H Amortization'!$J$4:$J$23,MATCH(1,('4-H Amortization'!$I$4:$I$23=AL7)*('4-H Amortization'!$H$4:$H$23=AL5),0),0)</f>
        <v>-839739.47823833011</v>
      </c>
      <c r="AM46" s="223" cm="1">
        <f t="array" ref="AM46">INDEX('4-H Amortization'!$J$4:$J$23,MATCH(1,('4-H Amortization'!$I$4:$I$23=AM7)*('4-H Amortization'!$H$4:$H$23=AM5),0),0)</f>
        <v>-839739.47823833011</v>
      </c>
      <c r="AN46" s="223" cm="1">
        <f t="array" ref="AN46">INDEX('4-H Amortization'!$J$4:$J$23,MATCH(1,('4-H Amortization'!$I$4:$I$23=AN7)*('4-H Amortization'!$H$4:$H$23=AN5),0),0)</f>
        <v>-839739.47823833011</v>
      </c>
      <c r="AO46" s="223" cm="1">
        <f t="array" ref="AO46">INDEX('4-H Amortization'!$J$4:$J$23,MATCH(1,('4-H Amortization'!$I$4:$I$23=AO7)*('4-H Amortization'!$H$4:$H$23=AO5),0),0)</f>
        <v>-839739.47823833011</v>
      </c>
      <c r="AP46" s="223" cm="1">
        <f t="array" ref="AP46">INDEX('4-H Amortization'!$J$4:$J$23,MATCH(1,('4-H Amortization'!$I$4:$I$23=AP7)*('4-H Amortization'!$H$4:$H$23=AP5),0),0)</f>
        <v>-839739.47823833022</v>
      </c>
      <c r="AQ46" s="223" cm="1">
        <f t="array" ref="AQ46">INDEX('4-H Amortization'!$J$4:$J$23,MATCH(1,('4-H Amortization'!$I$4:$I$23=AQ7)*('4-H Amortization'!$H$4:$H$23=AQ5),0),0)</f>
        <v>-839739.47823833022</v>
      </c>
      <c r="AR46" s="224" cm="1">
        <f t="array" ref="AR46">INDEX('4-H Amortization'!$J$4:$J$23,MATCH(1,('4-H Amortization'!$I$4:$I$23=AR7)*('4-H Amortization'!$H$4:$H$23=AR5),0),0)</f>
        <v>-839739.47823833011</v>
      </c>
      <c r="AS46" s="223"/>
      <c r="AT46" s="223"/>
      <c r="AU46" s="223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CH46" s="207"/>
      <c r="CI46" s="207"/>
    </row>
    <row r="47" spans="1:87" ht="20.25" customHeight="1">
      <c r="A47" s="207" t="s">
        <v>502</v>
      </c>
      <c r="B47" s="224">
        <f ca="1">-B42</f>
        <v>-47965417.911765352</v>
      </c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N47" s="223"/>
      <c r="AO47" s="223"/>
      <c r="AP47" s="223"/>
      <c r="AQ47" s="223"/>
      <c r="AR47" s="224">
        <f>-'4-H Amortization'!$E$13</f>
        <v>-45269950.079896457</v>
      </c>
      <c r="AS47" s="223"/>
      <c r="AT47" s="223"/>
      <c r="AU47" s="223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CH47" s="207"/>
      <c r="CI47" s="207"/>
    </row>
    <row r="48" spans="1:87" ht="20.25" customHeight="1">
      <c r="A48" s="207" t="s">
        <v>503</v>
      </c>
      <c r="B48" s="224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837">
        <f t="shared" ref="Y48:AR48" si="37">Y45/(-Y46)</f>
        <v>1.4608680613120431</v>
      </c>
      <c r="Z48" s="837">
        <f t="shared" si="37"/>
        <v>1.4608680613120431</v>
      </c>
      <c r="AA48" s="837">
        <f t="shared" si="37"/>
        <v>1.4608680613120431</v>
      </c>
      <c r="AB48" s="837">
        <f t="shared" si="37"/>
        <v>1.4608680613120431</v>
      </c>
      <c r="AC48" s="837">
        <f t="shared" si="37"/>
        <v>1.2531303262565485</v>
      </c>
      <c r="AD48" s="837">
        <f t="shared" si="37"/>
        <v>1.2531303262565483</v>
      </c>
      <c r="AE48" s="837">
        <f t="shared" si="37"/>
        <v>1.2531303262565483</v>
      </c>
      <c r="AF48" s="837">
        <f t="shared" si="37"/>
        <v>1.2531303262565481</v>
      </c>
      <c r="AG48" s="837">
        <f t="shared" si="37"/>
        <v>1.3091516908290648</v>
      </c>
      <c r="AH48" s="837">
        <f t="shared" si="37"/>
        <v>1.3091516908290648</v>
      </c>
      <c r="AI48" s="837">
        <f t="shared" si="37"/>
        <v>1.3091516908290648</v>
      </c>
      <c r="AJ48" s="837">
        <f t="shared" si="37"/>
        <v>1.3091516908290648</v>
      </c>
      <c r="AK48" s="837">
        <f t="shared" si="37"/>
        <v>1.36767749825386</v>
      </c>
      <c r="AL48" s="837">
        <f t="shared" si="37"/>
        <v>1.36767749825386</v>
      </c>
      <c r="AM48" s="837">
        <f t="shared" si="37"/>
        <v>1.36767749825386</v>
      </c>
      <c r="AN48" s="837">
        <f t="shared" si="37"/>
        <v>1.36767749825386</v>
      </c>
      <c r="AO48" s="837">
        <f t="shared" si="37"/>
        <v>1.4288197099950684</v>
      </c>
      <c r="AP48" s="837">
        <f t="shared" si="37"/>
        <v>1.4288197099950681</v>
      </c>
      <c r="AQ48" s="837">
        <f t="shared" si="37"/>
        <v>1.4288197099950681</v>
      </c>
      <c r="AR48" s="839">
        <f t="shared" si="37"/>
        <v>1.4288197099950684</v>
      </c>
      <c r="AS48" s="223"/>
      <c r="AT48" s="223"/>
      <c r="AU48" s="223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CH48" s="207"/>
      <c r="CI48" s="207"/>
    </row>
    <row r="49" spans="1:87" s="371" customFormat="1" ht="20.25" customHeight="1">
      <c r="A49" s="371" t="s">
        <v>504</v>
      </c>
      <c r="B49" s="372">
        <f>'4-H Financial'!$D$10</f>
        <v>114203375.98039369</v>
      </c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N49" s="373"/>
      <c r="AO49" s="373"/>
      <c r="AP49" s="373"/>
      <c r="AQ49" s="373"/>
      <c r="AR49" s="372">
        <f>B49</f>
        <v>114203375.98039369</v>
      </c>
      <c r="AS49" s="373"/>
      <c r="AT49" s="373"/>
      <c r="AU49" s="373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</row>
    <row r="50" spans="1:87" s="367" customFormat="1" ht="20.25" customHeight="1">
      <c r="A50" s="1092" t="s">
        <v>505</v>
      </c>
      <c r="B50" s="224">
        <f ca="1">SUM(E50:AR50)</f>
        <v>80512928.399163797</v>
      </c>
      <c r="C50" s="1095"/>
      <c r="D50" s="1095"/>
      <c r="E50" s="1095"/>
      <c r="F50" s="1095"/>
      <c r="G50" s="1095"/>
      <c r="H50" s="1095"/>
      <c r="I50" s="1095"/>
      <c r="J50" s="1095"/>
      <c r="K50" s="1095"/>
      <c r="L50" s="1095"/>
      <c r="M50" s="1095"/>
      <c r="N50" s="1095"/>
      <c r="O50" s="1095"/>
      <c r="P50" s="1095"/>
      <c r="Q50" s="1095"/>
      <c r="R50" s="1095"/>
      <c r="S50" s="1095"/>
      <c r="T50" s="1095"/>
      <c r="U50" s="1095"/>
      <c r="V50" s="1095"/>
      <c r="W50" s="1095"/>
      <c r="X50" s="1095">
        <f ca="1">SUM(X45,X44,X46,X47,X49)</f>
        <v>5744340.8408990335</v>
      </c>
      <c r="Y50" s="1095">
        <f t="shared" ref="Y50:AR50" si="38">SUM(Y45,Y44,Y46,Y47,Y49)</f>
        <v>317769.8567183729</v>
      </c>
      <c r="Z50" s="1095">
        <f t="shared" si="38"/>
        <v>317769.8567183729</v>
      </c>
      <c r="AA50" s="1095">
        <f t="shared" si="38"/>
        <v>317769.8567183729</v>
      </c>
      <c r="AB50" s="1095">
        <f t="shared" si="38"/>
        <v>317769.8567183729</v>
      </c>
      <c r="AC50" s="1095">
        <f t="shared" si="38"/>
        <v>212563.52809697227</v>
      </c>
      <c r="AD50" s="1095">
        <f t="shared" si="38"/>
        <v>212563.52809697203</v>
      </c>
      <c r="AE50" s="1095">
        <f t="shared" si="38"/>
        <v>212563.52809697203</v>
      </c>
      <c r="AF50" s="1095">
        <f t="shared" si="38"/>
        <v>212563.52809697192</v>
      </c>
      <c r="AG50" s="1095">
        <f t="shared" si="38"/>
        <v>259606.87955329649</v>
      </c>
      <c r="AH50" s="1095">
        <f t="shared" si="38"/>
        <v>259606.87955329649</v>
      </c>
      <c r="AI50" s="1095">
        <f t="shared" si="38"/>
        <v>259606.87955329649</v>
      </c>
      <c r="AJ50" s="1095">
        <f t="shared" si="38"/>
        <v>259606.87955329649</v>
      </c>
      <c r="AK50" s="1095">
        <f t="shared" si="38"/>
        <v>308753.3105436709</v>
      </c>
      <c r="AL50" s="1095">
        <f t="shared" si="38"/>
        <v>308753.3105436709</v>
      </c>
      <c r="AM50" s="1095">
        <f t="shared" si="38"/>
        <v>308753.3105436709</v>
      </c>
      <c r="AN50" s="1095">
        <f t="shared" si="38"/>
        <v>308753.3105436709</v>
      </c>
      <c r="AO50" s="1095">
        <f t="shared" si="38"/>
        <v>360096.83952957077</v>
      </c>
      <c r="AP50" s="1095">
        <f t="shared" si="38"/>
        <v>360096.83952957066</v>
      </c>
      <c r="AQ50" s="1095">
        <f t="shared" si="38"/>
        <v>360096.83952957066</v>
      </c>
      <c r="AR50" s="764">
        <f t="shared" si="38"/>
        <v>69293522.740026802</v>
      </c>
      <c r="AS50" s="1095"/>
      <c r="AT50" s="1095"/>
      <c r="AU50" s="1095"/>
      <c r="AV50" s="1093"/>
      <c r="AW50" s="1093"/>
      <c r="AX50" s="1093"/>
      <c r="AY50" s="1093"/>
      <c r="AZ50" s="1093"/>
      <c r="BA50" s="1093"/>
      <c r="BB50" s="1093"/>
      <c r="BC50" s="1093"/>
      <c r="BD50" s="1093"/>
      <c r="BE50" s="1093"/>
      <c r="BF50" s="1093"/>
      <c r="BG50" s="1093"/>
      <c r="BH50" s="1093"/>
      <c r="BI50" s="1093"/>
      <c r="BJ50" s="1093"/>
      <c r="BK50" s="1093"/>
      <c r="BL50" s="1093"/>
      <c r="BM50" s="1093"/>
      <c r="BN50" s="1093"/>
      <c r="BO50" s="1093"/>
      <c r="BP50" s="1093"/>
      <c r="BQ50" s="1093"/>
      <c r="BR50" s="1093"/>
      <c r="BS50" s="1093"/>
      <c r="BT50" s="1093"/>
      <c r="BU50" s="1093"/>
      <c r="BV50" s="1092"/>
      <c r="BW50" s="1092"/>
      <c r="BX50" s="1092"/>
      <c r="BY50" s="1092"/>
      <c r="BZ50" s="1092"/>
      <c r="CA50" s="1092"/>
      <c r="CB50" s="1092"/>
      <c r="CC50" s="1092"/>
      <c r="CD50" s="1092"/>
      <c r="CE50" s="1092"/>
      <c r="CF50" s="1092"/>
      <c r="CG50" s="1092"/>
      <c r="CH50" s="1092"/>
      <c r="CI50" s="1092"/>
    </row>
    <row r="51" spans="1:87" ht="20.25" customHeight="1">
      <c r="B51" s="224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4"/>
      <c r="AS51" s="223"/>
      <c r="AT51" s="223"/>
      <c r="AU51" s="223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CH51" s="207"/>
      <c r="CI51" s="207"/>
    </row>
    <row r="52" spans="1:87" s="238" customFormat="1" ht="20.25" customHeight="1">
      <c r="A52" s="241" t="s">
        <v>506</v>
      </c>
      <c r="B52" s="253"/>
      <c r="C52" s="242"/>
      <c r="D52" s="242"/>
      <c r="E52" s="242"/>
      <c r="F52" s="242"/>
      <c r="G52" s="242"/>
      <c r="H52" s="242"/>
      <c r="I52" s="242"/>
      <c r="J52" s="242"/>
      <c r="K52" s="243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4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T52" s="239"/>
      <c r="BU52" s="239"/>
    </row>
    <row r="53" spans="1:87" ht="20.25" customHeight="1">
      <c r="A53" s="207" t="s">
        <v>507</v>
      </c>
      <c r="B53" s="224">
        <f ca="1">SUM(F53:AR53)</f>
        <v>25553935.27283904</v>
      </c>
      <c r="C53" s="223"/>
      <c r="D53" s="223"/>
      <c r="E53" s="223">
        <f t="shared" ref="E53:AR53" si="39">SUM(-E36,E45,E49)</f>
        <v>0</v>
      </c>
      <c r="F53" s="223">
        <f t="shared" ca="1" si="39"/>
        <v>-383889.93599999987</v>
      </c>
      <c r="G53" s="223">
        <f t="shared" ca="1" si="39"/>
        <v>-383889.93599999987</v>
      </c>
      <c r="H53" s="223">
        <f t="shared" ca="1" si="39"/>
        <v>-383889.93599999987</v>
      </c>
      <c r="I53" s="223">
        <f t="shared" ca="1" si="39"/>
        <v>-383889.93599999987</v>
      </c>
      <c r="J53" s="223">
        <f t="shared" ca="1" si="39"/>
        <v>-1233244.5959999999</v>
      </c>
      <c r="K53" s="223">
        <f t="shared" ca="1" si="39"/>
        <v>-2311783.7660761732</v>
      </c>
      <c r="L53" s="223">
        <f t="shared" ca="1" si="39"/>
        <v>-2007485.6073291018</v>
      </c>
      <c r="M53" s="223">
        <f t="shared" ca="1" si="39"/>
        <v>-4082918.9579567774</v>
      </c>
      <c r="N53" s="223">
        <f t="shared" ca="1" si="39"/>
        <v>-8820250.7731539384</v>
      </c>
      <c r="O53" s="223">
        <f t="shared" ca="1" si="39"/>
        <v>-14464156.204582157</v>
      </c>
      <c r="P53" s="223">
        <f t="shared" ca="1" si="39"/>
        <v>-19147873.68403285</v>
      </c>
      <c r="Q53" s="223">
        <f t="shared" ca="1" si="39"/>
        <v>-18961260.52069952</v>
      </c>
      <c r="R53" s="223">
        <f t="shared" ca="1" si="39"/>
        <v>-14277543.041248815</v>
      </c>
      <c r="S53" s="223">
        <f t="shared" ca="1" si="39"/>
        <v>-8243637.609820609</v>
      </c>
      <c r="T53" s="223">
        <f t="shared" ca="1" si="39"/>
        <v>-3896305.7946234434</v>
      </c>
      <c r="U53" s="223">
        <f t="shared" ca="1" si="39"/>
        <v>-4072476.7439957694</v>
      </c>
      <c r="V53" s="223">
        <f t="shared" ca="1" si="39"/>
        <v>-3417050.0627428391</v>
      </c>
      <c r="W53" s="223">
        <f t="shared" ca="1" si="39"/>
        <v>-3318128.3768000002</v>
      </c>
      <c r="X53" s="223">
        <f t="shared" ca="1" si="39"/>
        <v>-888770.0639999999</v>
      </c>
      <c r="Y53" s="223">
        <f t="shared" si="39"/>
        <v>1007272.7391999998</v>
      </c>
      <c r="Z53" s="223">
        <f t="shared" si="39"/>
        <v>1007272.7391999998</v>
      </c>
      <c r="AA53" s="223">
        <f t="shared" si="39"/>
        <v>1007272.7391999998</v>
      </c>
      <c r="AB53" s="223">
        <f t="shared" si="39"/>
        <v>1007272.7391999998</v>
      </c>
      <c r="AC53" s="223">
        <f t="shared" si="39"/>
        <v>1052303.006335302</v>
      </c>
      <c r="AD53" s="223">
        <f t="shared" si="39"/>
        <v>1052303.006335302</v>
      </c>
      <c r="AE53" s="223">
        <f t="shared" si="39"/>
        <v>1052303.006335302</v>
      </c>
      <c r="AF53" s="223">
        <f t="shared" si="39"/>
        <v>1052303.006335302</v>
      </c>
      <c r="AG53" s="223">
        <f t="shared" si="39"/>
        <v>1099346.3577916266</v>
      </c>
      <c r="AH53" s="223">
        <f t="shared" si="39"/>
        <v>1099346.3577916266</v>
      </c>
      <c r="AI53" s="223">
        <f t="shared" si="39"/>
        <v>1099346.3577916266</v>
      </c>
      <c r="AJ53" s="223">
        <f t="shared" si="39"/>
        <v>1099346.3577916266</v>
      </c>
      <c r="AK53" s="223">
        <f t="shared" si="39"/>
        <v>1148492.788782001</v>
      </c>
      <c r="AL53" s="223">
        <f t="shared" si="39"/>
        <v>1148492.788782001</v>
      </c>
      <c r="AM53" s="223">
        <f t="shared" si="39"/>
        <v>1148492.788782001</v>
      </c>
      <c r="AN53" s="223">
        <f t="shared" si="39"/>
        <v>1148492.788782001</v>
      </c>
      <c r="AO53" s="223">
        <f t="shared" si="39"/>
        <v>1199836.3177679009</v>
      </c>
      <c r="AP53" s="223">
        <f t="shared" si="39"/>
        <v>1199836.3177679009</v>
      </c>
      <c r="AQ53" s="223">
        <f t="shared" si="39"/>
        <v>1199836.3177679009</v>
      </c>
      <c r="AR53" s="224">
        <f t="shared" si="39"/>
        <v>115403212.2981616</v>
      </c>
      <c r="AS53" s="231"/>
      <c r="BT53" s="209"/>
      <c r="BU53" s="209"/>
      <c r="CH53" s="207"/>
      <c r="CI53" s="207"/>
    </row>
    <row r="54" spans="1:87" ht="20.25" customHeight="1">
      <c r="A54" s="207" t="s">
        <v>508</v>
      </c>
      <c r="B54" s="777">
        <f ca="1">IF(B53&lt;0,0,IRR(F53:AR53))</f>
        <v>8.0807789689647525E-3</v>
      </c>
      <c r="G54" s="223"/>
      <c r="BT54" s="209"/>
      <c r="BU54" s="209"/>
      <c r="CH54" s="207"/>
      <c r="CI54" s="207"/>
    </row>
    <row r="55" spans="1:87" ht="20.25" customHeight="1">
      <c r="A55" s="207" t="s">
        <v>509</v>
      </c>
      <c r="B55" s="368">
        <f ca="1">POWER((1+B54),4)-1</f>
        <v>3.2717024739068457E-2</v>
      </c>
      <c r="G55" s="223"/>
      <c r="BT55" s="209"/>
      <c r="BU55" s="209"/>
      <c r="CH55" s="207"/>
      <c r="CI55" s="207"/>
    </row>
    <row r="56" spans="1:87" s="238" customFormat="1" ht="20.25" customHeight="1">
      <c r="A56" s="241" t="s">
        <v>510</v>
      </c>
      <c r="B56" s="253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6"/>
      <c r="AS56" s="240"/>
      <c r="AT56" s="225"/>
      <c r="AU56" s="225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</row>
    <row r="57" spans="1:87" ht="20.25" customHeight="1">
      <c r="A57" s="207" t="s">
        <v>511</v>
      </c>
      <c r="B57" s="224">
        <f ca="1">SUM(F57:AR57)</f>
        <v>49088176.833409294</v>
      </c>
      <c r="C57" s="223"/>
      <c r="D57" s="223"/>
      <c r="E57" s="223">
        <f t="shared" ref="E57:AR57" si="40">SUM(-E37,E50)</f>
        <v>0</v>
      </c>
      <c r="F57" s="223">
        <f t="shared" ca="1" si="40"/>
        <v>-383889.93599999987</v>
      </c>
      <c r="G57" s="223">
        <f t="shared" ca="1" si="40"/>
        <v>-383889.93599999987</v>
      </c>
      <c r="H57" s="223">
        <f t="shared" ca="1" si="40"/>
        <v>-383889.93599999987</v>
      </c>
      <c r="I57" s="223">
        <f t="shared" ca="1" si="40"/>
        <v>-383889.93599999987</v>
      </c>
      <c r="J57" s="223">
        <f t="shared" ca="1" si="40"/>
        <v>-1233244.5959999999</v>
      </c>
      <c r="K57" s="223">
        <f t="shared" ca="1" si="40"/>
        <v>-2311783.7660761732</v>
      </c>
      <c r="L57" s="223">
        <f t="shared" ca="1" si="40"/>
        <v>-2007485.6073291018</v>
      </c>
      <c r="M57" s="223">
        <f t="shared" ca="1" si="40"/>
        <v>-4082918.9579567774</v>
      </c>
      <c r="N57" s="223">
        <f t="shared" ca="1" si="40"/>
        <v>-8820250.7731539384</v>
      </c>
      <c r="O57" s="223">
        <f t="shared" ca="1" si="40"/>
        <v>-11433508.121238515</v>
      </c>
      <c r="P57" s="223">
        <f t="shared" ca="1" si="40"/>
        <v>0</v>
      </c>
      <c r="Q57" s="223">
        <f t="shared" ca="1" si="40"/>
        <v>0</v>
      </c>
      <c r="R57" s="223">
        <f t="shared" ca="1" si="40"/>
        <v>0</v>
      </c>
      <c r="S57" s="223">
        <f t="shared" ca="1" si="40"/>
        <v>0</v>
      </c>
      <c r="T57" s="223">
        <f t="shared" ca="1" si="40"/>
        <v>0</v>
      </c>
      <c r="U57" s="223">
        <f t="shared" ca="1" si="40"/>
        <v>0</v>
      </c>
      <c r="V57" s="223">
        <f t="shared" ca="1" si="40"/>
        <v>0</v>
      </c>
      <c r="W57" s="223">
        <f t="shared" ca="1" si="40"/>
        <v>0</v>
      </c>
      <c r="X57" s="223">
        <f t="shared" ca="1" si="40"/>
        <v>5744340.8408990335</v>
      </c>
      <c r="Y57" s="223">
        <f t="shared" si="40"/>
        <v>317769.8567183729</v>
      </c>
      <c r="Z57" s="223">
        <f t="shared" si="40"/>
        <v>317769.8567183729</v>
      </c>
      <c r="AA57" s="223">
        <f t="shared" si="40"/>
        <v>317769.8567183729</v>
      </c>
      <c r="AB57" s="223">
        <f t="shared" si="40"/>
        <v>317769.8567183729</v>
      </c>
      <c r="AC57" s="223">
        <f t="shared" si="40"/>
        <v>212563.52809697227</v>
      </c>
      <c r="AD57" s="223">
        <f t="shared" si="40"/>
        <v>212563.52809697203</v>
      </c>
      <c r="AE57" s="223">
        <f t="shared" si="40"/>
        <v>212563.52809697203</v>
      </c>
      <c r="AF57" s="223">
        <f t="shared" si="40"/>
        <v>212563.52809697192</v>
      </c>
      <c r="AG57" s="223">
        <f t="shared" si="40"/>
        <v>259606.87955329649</v>
      </c>
      <c r="AH57" s="223">
        <f t="shared" si="40"/>
        <v>259606.87955329649</v>
      </c>
      <c r="AI57" s="223">
        <f t="shared" si="40"/>
        <v>259606.87955329649</v>
      </c>
      <c r="AJ57" s="223">
        <f t="shared" si="40"/>
        <v>259606.87955329649</v>
      </c>
      <c r="AK57" s="223">
        <f t="shared" si="40"/>
        <v>308753.3105436709</v>
      </c>
      <c r="AL57" s="223">
        <f t="shared" si="40"/>
        <v>308753.3105436709</v>
      </c>
      <c r="AM57" s="223">
        <f t="shared" si="40"/>
        <v>308753.3105436709</v>
      </c>
      <c r="AN57" s="223">
        <f t="shared" si="40"/>
        <v>308753.3105436709</v>
      </c>
      <c r="AO57" s="223">
        <f t="shared" si="40"/>
        <v>360096.83952957077</v>
      </c>
      <c r="AP57" s="223">
        <f t="shared" si="40"/>
        <v>360096.83952957066</v>
      </c>
      <c r="AQ57" s="223">
        <f t="shared" si="40"/>
        <v>360096.83952957066</v>
      </c>
      <c r="AR57" s="224">
        <f t="shared" si="40"/>
        <v>69293522.740026802</v>
      </c>
      <c r="AS57" s="233"/>
      <c r="AT57" s="223"/>
      <c r="AU57" s="223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CH57" s="207"/>
      <c r="CI57" s="207"/>
    </row>
    <row r="58" spans="1:87" ht="20.25" customHeight="1">
      <c r="A58" s="207" t="s">
        <v>512</v>
      </c>
      <c r="B58" s="777">
        <f ca="1">IF(B57&lt;0,0,IRR(F57:AR57))</f>
        <v>3.4264770926349275E-2</v>
      </c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2"/>
      <c r="AT58" s="231"/>
      <c r="AU58" s="231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CH58" s="207"/>
      <c r="CI58" s="207"/>
    </row>
    <row r="59" spans="1:87" ht="20.25" customHeight="1">
      <c r="A59" s="207" t="s">
        <v>377</v>
      </c>
      <c r="B59" s="368">
        <f ca="1">POWER((1+B58),4)-1</f>
        <v>0.14426582689502454</v>
      </c>
      <c r="C59" s="234"/>
      <c r="D59" s="234"/>
      <c r="E59" s="234"/>
      <c r="F59" s="234"/>
      <c r="G59" s="234"/>
      <c r="H59" s="234"/>
      <c r="I59" s="234"/>
      <c r="J59" s="234"/>
      <c r="K59" s="235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6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T59" s="209"/>
      <c r="BU59" s="209"/>
      <c r="CH59" s="207"/>
      <c r="CI59" s="207"/>
    </row>
    <row r="160" spans="2:2">
      <c r="B160" s="370">
        <v>0.06</v>
      </c>
    </row>
    <row r="181" spans="1:7">
      <c r="E181" s="207">
        <f>A98</f>
        <v>0</v>
      </c>
    </row>
    <row r="182" spans="1:7">
      <c r="E182" s="207" t="s">
        <v>513</v>
      </c>
      <c r="F182" s="207" t="s">
        <v>514</v>
      </c>
    </row>
    <row r="183" spans="1:7">
      <c r="A183" s="207" t="s">
        <v>515</v>
      </c>
      <c r="B183" s="208">
        <f>IFERROR(G183/$B$100,0)</f>
        <v>0</v>
      </c>
      <c r="E183" s="207">
        <f>IFERROR(G183/$B$99,0)</f>
        <v>0</v>
      </c>
      <c r="G183" s="207">
        <f>G106</f>
        <v>0</v>
      </c>
    </row>
    <row r="184" spans="1:7">
      <c r="A184" s="207" t="s">
        <v>516</v>
      </c>
      <c r="F184" s="237">
        <f>IFERROR(G184/$B$166,0)</f>
        <v>0</v>
      </c>
      <c r="G184" s="207">
        <f>G166</f>
        <v>0</v>
      </c>
    </row>
    <row r="185" spans="1:7">
      <c r="G185" s="207">
        <f>SUM(G183:G184)</f>
        <v>0</v>
      </c>
    </row>
  </sheetData>
  <mergeCells count="6">
    <mergeCell ref="BG4:BI4"/>
    <mergeCell ref="A2:A4"/>
    <mergeCell ref="E2:G2"/>
    <mergeCell ref="H2:J2"/>
    <mergeCell ref="K2:M2"/>
    <mergeCell ref="BA4:BE4"/>
  </mergeCells>
  <conditionalFormatting sqref="C9:D10">
    <cfRule type="cellIs" dxfId="33" priority="1" operator="equal">
      <formula>#REF!</formula>
    </cfRule>
    <cfRule type="cellIs" dxfId="32" priority="2" operator="equal">
      <formula>#REF!</formula>
    </cfRule>
    <cfRule type="cellIs" dxfId="31" priority="3" operator="equal">
      <formula>#REF!</formula>
    </cfRule>
    <cfRule type="cellIs" dxfId="30" priority="4" operator="equal">
      <formula>#REF!</formula>
    </cfRule>
  </conditionalFormatting>
  <pageMargins left="0.7" right="0.7" top="0.75" bottom="0.75" header="0.3" footer="0.3"/>
  <pageSetup paperSize="3" orientation="landscape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C744-7A67-469E-96EC-C57B06D467D8}">
  <dimension ref="A1:T86"/>
  <sheetViews>
    <sheetView workbookViewId="0">
      <selection activeCell="E5" sqref="E5"/>
    </sheetView>
  </sheetViews>
  <sheetFormatPr defaultRowHeight="14.45"/>
  <cols>
    <col min="2" max="2" width="2" customWidth="1"/>
    <col min="4" max="4" width="10.42578125" bestFit="1" customWidth="1"/>
    <col min="5" max="5" width="15" bestFit="1" customWidth="1"/>
    <col min="6" max="6" width="15" customWidth="1"/>
    <col min="7" max="7" width="15.7109375" bestFit="1" customWidth="1"/>
    <col min="8" max="8" width="15" bestFit="1" customWidth="1"/>
    <col min="9" max="9" width="17.140625" bestFit="1" customWidth="1"/>
    <col min="10" max="10" width="13.5703125" bestFit="1" customWidth="1"/>
    <col min="11" max="11" width="13.5703125" customWidth="1"/>
    <col min="12" max="12" width="15" bestFit="1" customWidth="1"/>
    <col min="13" max="15" width="13.5703125" bestFit="1" customWidth="1"/>
    <col min="18" max="18" width="13.5703125" bestFit="1" customWidth="1"/>
    <col min="20" max="20" width="13.5703125" bestFit="1" customWidth="1"/>
  </cols>
  <sheetData>
    <row r="1" spans="1:13">
      <c r="A1" t="s">
        <v>115</v>
      </c>
    </row>
    <row r="3" spans="1:13">
      <c r="B3" s="778" t="s">
        <v>90</v>
      </c>
      <c r="C3" s="842"/>
      <c r="D3" s="842"/>
      <c r="E3" s="914">
        <f>IFERROR(INDEX(Assumptions!$J$27:$L$36,MATCH(A1,Assumptions!$J$27:$J$36,0),3),0)</f>
        <v>0.42</v>
      </c>
      <c r="H3" s="778" t="s">
        <v>518</v>
      </c>
      <c r="I3" s="1098"/>
      <c r="J3" s="827"/>
      <c r="L3" s="804" t="s">
        <v>519</v>
      </c>
      <c r="M3" s="805"/>
    </row>
    <row r="4" spans="1:13">
      <c r="B4" s="778" t="s">
        <v>520</v>
      </c>
      <c r="C4" s="1099"/>
      <c r="D4" s="779"/>
      <c r="E4" s="780">
        <f>'4-H Financial'!$D$10*E3</f>
        <v>47965417.911765352</v>
      </c>
      <c r="F4" s="823"/>
      <c r="H4" s="832">
        <v>1</v>
      </c>
      <c r="I4" s="831">
        <v>1</v>
      </c>
      <c r="J4" s="791">
        <f>SUMIFS('4-H Amortization'!$K$26:$K$86,'4-H Amortization'!$E$26:$E$86,H4,'4-H Amortization'!$F$26:$F$86,I4)</f>
        <v>-689502.88248162693</v>
      </c>
      <c r="L4" s="806">
        <v>1</v>
      </c>
      <c r="M4" s="791">
        <f t="shared" ref="M4:M13" si="0">SUMIF($E$26:$E$386,L4,$K$26:$K$386)</f>
        <v>-2758011.5299265077</v>
      </c>
    </row>
    <row r="5" spans="1:13">
      <c r="B5" s="1026" t="s">
        <v>521</v>
      </c>
      <c r="C5" s="781"/>
      <c r="D5" s="782"/>
      <c r="E5" s="783">
        <f>'4-H DRAW'!X9+1</f>
        <v>49949</v>
      </c>
      <c r="F5" s="824"/>
      <c r="H5" s="832">
        <v>1</v>
      </c>
      <c r="I5" s="831">
        <v>2</v>
      </c>
      <c r="J5" s="791">
        <f>SUMIFS('4-H Amortization'!$K$26:$K$86,'4-H Amortization'!$E$26:$E$86,H5,'4-H Amortization'!$F$26:$F$86,I5)</f>
        <v>-689502.88248162693</v>
      </c>
      <c r="L5" s="806">
        <f>L4+1</f>
        <v>2</v>
      </c>
      <c r="M5" s="791">
        <f t="shared" si="0"/>
        <v>-3358957.912953319</v>
      </c>
    </row>
    <row r="6" spans="1:13">
      <c r="B6" s="1026" t="s">
        <v>522</v>
      </c>
      <c r="C6" s="781"/>
      <c r="D6" s="782"/>
      <c r="E6" s="784">
        <f>Assumptions!$L$41</f>
        <v>5</v>
      </c>
      <c r="F6" s="825"/>
      <c r="G6" s="785"/>
      <c r="H6" s="832">
        <v>1</v>
      </c>
      <c r="I6" s="831">
        <v>3</v>
      </c>
      <c r="J6" s="791">
        <f>SUMIFS('4-H Amortization'!$K$26:$K$86,'4-H Amortization'!$E$26:$E$86,H6,'4-H Amortization'!$F$26:$F$86,I6)</f>
        <v>-689502.88248162693</v>
      </c>
      <c r="L6" s="806">
        <f t="shared" ref="L6:L13" si="1">L5+1</f>
        <v>3</v>
      </c>
      <c r="M6" s="791">
        <f t="shared" si="0"/>
        <v>-3358957.9129533195</v>
      </c>
    </row>
    <row r="7" spans="1:13">
      <c r="B7" s="1026" t="s">
        <v>523</v>
      </c>
      <c r="C7" s="781"/>
      <c r="D7" s="782"/>
      <c r="E7" s="803">
        <v>360</v>
      </c>
      <c r="F7" s="826"/>
      <c r="H7" s="832">
        <v>1</v>
      </c>
      <c r="I7" s="831">
        <v>4</v>
      </c>
      <c r="J7" s="791">
        <f>SUMIFS('4-H Amortization'!$K$26:$K$86,'4-H Amortization'!$E$26:$E$86,H7,'4-H Amortization'!$F$26:$F$86,I7)</f>
        <v>-689502.88248162693</v>
      </c>
      <c r="L7" s="806">
        <f t="shared" si="1"/>
        <v>4</v>
      </c>
      <c r="M7" s="791">
        <f t="shared" si="0"/>
        <v>-3358957.9129533195</v>
      </c>
    </row>
    <row r="8" spans="1:13">
      <c r="B8" s="1026" t="s">
        <v>524</v>
      </c>
      <c r="C8" s="781"/>
      <c r="D8" s="782"/>
      <c r="E8" s="801">
        <v>1</v>
      </c>
      <c r="F8" s="786">
        <f>IF(E8="","",VLOOKUP(E8,$C$26:$D$386,2,FALSE))</f>
        <v>49979</v>
      </c>
      <c r="H8" s="832">
        <v>2</v>
      </c>
      <c r="I8" s="831">
        <v>1</v>
      </c>
      <c r="J8" s="791">
        <f>SUMIFS('4-H Amortization'!$K$26:$K$86,'4-H Amortization'!$E$26:$E$86,H8,'4-H Amortization'!$F$26:$F$86,I8)</f>
        <v>-839739.47823832976</v>
      </c>
      <c r="L8" s="806">
        <f t="shared" si="1"/>
        <v>5</v>
      </c>
      <c r="M8" s="791">
        <f t="shared" si="0"/>
        <v>-3358957.9129533204</v>
      </c>
    </row>
    <row r="9" spans="1:13">
      <c r="B9" s="1026" t="s">
        <v>525</v>
      </c>
      <c r="C9" s="781"/>
      <c r="D9" s="782"/>
      <c r="E9" s="802">
        <v>12</v>
      </c>
      <c r="F9" s="787">
        <f>IF(E9="","",VLOOKUP(E9,$C$26:$D$386,2,FALSE))</f>
        <v>50313</v>
      </c>
      <c r="H9" s="832">
        <v>2</v>
      </c>
      <c r="I9" s="831">
        <v>2</v>
      </c>
      <c r="J9" s="791">
        <f>SUMIFS('4-H Amortization'!$K$26:$K$86,'4-H Amortization'!$E$26:$E$86,H9,'4-H Amortization'!$F$26:$F$86,I9)</f>
        <v>-839739.47823832999</v>
      </c>
      <c r="L9" s="806">
        <f t="shared" si="1"/>
        <v>6</v>
      </c>
      <c r="M9" s="791">
        <f t="shared" si="0"/>
        <v>0</v>
      </c>
    </row>
    <row r="10" spans="1:13">
      <c r="B10" s="1026" t="s">
        <v>526</v>
      </c>
      <c r="C10" s="781"/>
      <c r="D10" s="782"/>
      <c r="E10" s="788">
        <f>Assumptions!$L6</f>
        <v>5.7500000000000002E-2</v>
      </c>
      <c r="H10" s="832">
        <v>2</v>
      </c>
      <c r="I10" s="831">
        <v>3</v>
      </c>
      <c r="J10" s="791">
        <f>SUMIFS('4-H Amortization'!$K$26:$K$86,'4-H Amortization'!$E$26:$E$86,H10,'4-H Amortization'!$F$26:$F$86,I10)</f>
        <v>-839739.47823832999</v>
      </c>
      <c r="L10" s="806">
        <f t="shared" si="1"/>
        <v>7</v>
      </c>
      <c r="M10" s="791">
        <f t="shared" si="0"/>
        <v>0</v>
      </c>
    </row>
    <row r="11" spans="1:13">
      <c r="B11" s="1026" t="s">
        <v>527</v>
      </c>
      <c r="C11" s="781"/>
      <c r="D11" s="782"/>
      <c r="E11" s="788">
        <f>Assumptions!$L7</f>
        <v>5.0000000000000001E-3</v>
      </c>
      <c r="F11" s="789">
        <f>E11*E4</f>
        <v>239827.08955882676</v>
      </c>
      <c r="H11" s="832">
        <v>2</v>
      </c>
      <c r="I11" s="831">
        <v>4</v>
      </c>
      <c r="J11" s="791">
        <f>SUMIFS('4-H Amortization'!$K$26:$K$86,'4-H Amortization'!$E$26:$E$86,H11,'4-H Amortization'!$F$26:$F$86,I11)</f>
        <v>-839739.47823833011</v>
      </c>
      <c r="L11" s="806">
        <f t="shared" si="1"/>
        <v>8</v>
      </c>
      <c r="M11" s="791">
        <f t="shared" si="0"/>
        <v>0</v>
      </c>
    </row>
    <row r="12" spans="1:13">
      <c r="B12" s="1026" t="s">
        <v>528</v>
      </c>
      <c r="C12" s="781"/>
      <c r="D12" s="782"/>
      <c r="E12" s="1027" t="s">
        <v>529</v>
      </c>
      <c r="H12" s="832">
        <v>3</v>
      </c>
      <c r="I12" s="831">
        <v>1</v>
      </c>
      <c r="J12" s="791">
        <f>SUMIFS('4-H Amortization'!$K$26:$K$86,'4-H Amortization'!$E$26:$E$86,H12,'4-H Amortization'!$F$26:$F$86,I12)</f>
        <v>-839739.47823833011</v>
      </c>
      <c r="L12" s="806">
        <f t="shared" si="1"/>
        <v>9</v>
      </c>
      <c r="M12" s="791">
        <f t="shared" si="0"/>
        <v>0</v>
      </c>
    </row>
    <row r="13" spans="1:13">
      <c r="B13" s="1026" t="s">
        <v>530</v>
      </c>
      <c r="C13" s="781"/>
      <c r="D13" s="782"/>
      <c r="E13" s="791">
        <f>VLOOKUP(MIN(E6*12,E14),$C$26:$L$386,10,FALSE)</f>
        <v>45269950.079896457</v>
      </c>
      <c r="H13" s="832">
        <v>3</v>
      </c>
      <c r="I13" s="831">
        <v>2</v>
      </c>
      <c r="J13" s="791">
        <f>SUMIFS('4-H Amortization'!$K$26:$K$86,'4-H Amortization'!$E$26:$E$86,H13,'4-H Amortization'!$F$26:$F$86,I13)</f>
        <v>-839739.47823833011</v>
      </c>
      <c r="L13" s="807">
        <f t="shared" si="1"/>
        <v>10</v>
      </c>
      <c r="M13" s="808">
        <f t="shared" si="0"/>
        <v>0</v>
      </c>
    </row>
    <row r="14" spans="1:13">
      <c r="B14" s="792" t="s">
        <v>531</v>
      </c>
      <c r="C14" s="793"/>
      <c r="D14" s="794"/>
      <c r="E14" s="790">
        <f>E6*12</f>
        <v>60</v>
      </c>
      <c r="F14" s="795"/>
      <c r="H14" s="832">
        <v>3</v>
      </c>
      <c r="I14" s="831">
        <v>3</v>
      </c>
      <c r="J14" s="791">
        <f>SUMIFS('4-H Amortization'!$K$26:$K$86,'4-H Amortization'!$E$26:$E$86,H14,'4-H Amortization'!$F$26:$F$86,I14)</f>
        <v>-839739.47823833011</v>
      </c>
      <c r="K14" s="809"/>
    </row>
    <row r="15" spans="1:13">
      <c r="H15" s="832">
        <v>3</v>
      </c>
      <c r="I15" s="831">
        <v>4</v>
      </c>
      <c r="J15" s="791">
        <f>SUMIFS('4-H Amortization'!$K$26:$K$86,'4-H Amortization'!$E$26:$E$86,H15,'4-H Amortization'!$F$26:$F$86,I15)</f>
        <v>-839739.47823833011</v>
      </c>
      <c r="K15" s="809"/>
    </row>
    <row r="16" spans="1:13">
      <c r="H16" s="832">
        <v>4</v>
      </c>
      <c r="I16" s="831">
        <v>1</v>
      </c>
      <c r="J16" s="791">
        <f>SUMIFS('4-H Amortization'!$K$26:$K$86,'4-H Amortization'!$E$26:$E$86,H16,'4-H Amortization'!$F$26:$F$86,I16)</f>
        <v>-839739.47823833011</v>
      </c>
      <c r="K16" s="809"/>
    </row>
    <row r="17" spans="3:20">
      <c r="H17" s="832">
        <v>4</v>
      </c>
      <c r="I17" s="831">
        <v>2</v>
      </c>
      <c r="J17" s="791">
        <f>SUMIFS('4-H Amortization'!$K$26:$K$86,'4-H Amortization'!$E$26:$E$86,H17,'4-H Amortization'!$F$26:$F$86,I17)</f>
        <v>-839739.47823833011</v>
      </c>
      <c r="K17" s="809"/>
    </row>
    <row r="18" spans="3:20">
      <c r="H18" s="832">
        <v>4</v>
      </c>
      <c r="I18" s="831">
        <v>3</v>
      </c>
      <c r="J18" s="791">
        <f>SUMIFS('4-H Amortization'!$K$26:$K$86,'4-H Amortization'!$E$26:$E$86,H18,'4-H Amortization'!$F$26:$F$86,I18)</f>
        <v>-839739.47823833011</v>
      </c>
      <c r="K18" s="809"/>
    </row>
    <row r="19" spans="3:20">
      <c r="H19" s="832">
        <v>4</v>
      </c>
      <c r="I19" s="831">
        <v>4</v>
      </c>
      <c r="J19" s="791">
        <f>SUMIFS('4-H Amortization'!$K$26:$K$86,'4-H Amortization'!$E$26:$E$86,H19,'4-H Amortization'!$F$26:$F$86,I19)</f>
        <v>-839739.47823833011</v>
      </c>
      <c r="K19" s="809"/>
    </row>
    <row r="20" spans="3:20">
      <c r="H20" s="832">
        <v>5</v>
      </c>
      <c r="I20" s="831">
        <v>1</v>
      </c>
      <c r="J20" s="791">
        <f>SUMIFS('4-H Amortization'!$K$26:$K$86,'4-H Amortization'!$E$26:$E$86,H20,'4-H Amortization'!$F$26:$F$86,I20)</f>
        <v>-839739.47823833011</v>
      </c>
      <c r="K20" s="809"/>
    </row>
    <row r="21" spans="3:20">
      <c r="H21" s="832">
        <v>5</v>
      </c>
      <c r="I21" s="831">
        <v>2</v>
      </c>
      <c r="J21" s="791">
        <f>SUMIFS('4-H Amortization'!$K$26:$K$86,'4-H Amortization'!$E$26:$E$86,H21,'4-H Amortization'!$F$26:$F$86,I21)</f>
        <v>-839739.47823833022</v>
      </c>
      <c r="K21" s="809"/>
    </row>
    <row r="22" spans="3:20">
      <c r="H22" s="832">
        <v>5</v>
      </c>
      <c r="I22" s="831">
        <v>3</v>
      </c>
      <c r="J22" s="791">
        <f>SUMIFS('4-H Amortization'!$K$26:$K$86,'4-H Amortization'!$E$26:$E$86,H22,'4-H Amortization'!$F$26:$F$86,I22)</f>
        <v>-839739.47823833022</v>
      </c>
      <c r="K22" s="809"/>
    </row>
    <row r="23" spans="3:20">
      <c r="H23" s="833">
        <v>5</v>
      </c>
      <c r="I23" s="834">
        <v>4</v>
      </c>
      <c r="J23" s="808">
        <f>SUMIFS('4-H Amortization'!$K$26:$K$86,'4-H Amortization'!$E$26:$E$86,H23,'4-H Amortization'!$F$26:$F$86,I23)</f>
        <v>-839739.47823833011</v>
      </c>
      <c r="K23" s="809"/>
    </row>
    <row r="24" spans="3:20">
      <c r="R24" s="809"/>
      <c r="T24" s="809"/>
    </row>
    <row r="25" spans="3:20" ht="15" thickBot="1">
      <c r="C25" s="811" t="s">
        <v>532</v>
      </c>
      <c r="D25" s="812" t="s">
        <v>533</v>
      </c>
      <c r="E25" s="812" t="s">
        <v>534</v>
      </c>
      <c r="F25" s="1100" t="s">
        <v>535</v>
      </c>
      <c r="G25" s="1100" t="s">
        <v>536</v>
      </c>
      <c r="H25" s="812" t="s">
        <v>537</v>
      </c>
      <c r="I25" s="812" t="s">
        <v>538</v>
      </c>
      <c r="J25" s="812" t="s">
        <v>520</v>
      </c>
      <c r="K25" s="812" t="s">
        <v>539</v>
      </c>
      <c r="L25" s="813" t="s">
        <v>540</v>
      </c>
    </row>
    <row r="26" spans="3:20">
      <c r="C26" s="796">
        <v>0</v>
      </c>
      <c r="D26" s="797">
        <f>E5</f>
        <v>49949</v>
      </c>
      <c r="E26" s="798">
        <f>ROUNDUP(C26/12,0)</f>
        <v>0</v>
      </c>
      <c r="F26" s="798"/>
      <c r="G26" s="799"/>
      <c r="I26" s="809"/>
      <c r="K26" s="809">
        <f t="shared" ref="K26:K86" si="2">SUM(I26:J26)</f>
        <v>0</v>
      </c>
      <c r="L26" s="791">
        <f t="shared" ref="L26:L57" si="3">IF(C26=0,$E$4,H26+J26)</f>
        <v>47965417.911765352</v>
      </c>
    </row>
    <row r="27" spans="3:20" ht="15" customHeight="1">
      <c r="C27" s="814">
        <f>C26+1</f>
        <v>1</v>
      </c>
      <c r="D27" s="815">
        <f t="shared" ref="D27:D58" si="4">EOMONTH($E$5,C27-1)</f>
        <v>49979</v>
      </c>
      <c r="E27" s="800">
        <f t="shared" ref="E27:E86" si="5">ROUNDUP(C27/12,0)</f>
        <v>1</v>
      </c>
      <c r="F27" s="800">
        <f>CHOOSE(MONTH(D27), 2, 2, 2, 3, 3, 3, 4, 4, 4, 1, 1, 1)</f>
        <v>1</v>
      </c>
      <c r="G27" s="816" t="str">
        <f>IF($E$12="NO",G26+1,
IF(OR(D27&lt;$F$8,D27&gt;$F$9),MAX($G$26:G26)+1,""))</f>
        <v/>
      </c>
      <c r="H27" s="809">
        <f t="shared" ref="H27:H58" si="6">IF(OR(E27&gt;$E$6,C27&gt;$E$14),0,L26)</f>
        <v>47965417.911765352</v>
      </c>
      <c r="I27" s="809">
        <f t="shared" ref="I27:I58" si="7">IF(OR(E27&gt;$E$6*12,C27&gt;$E$14),0,-H27*$E$10/12)</f>
        <v>-229834.29416054231</v>
      </c>
      <c r="J27" s="817">
        <f t="shared" ref="J27:J58" si="8">IF(OR(E27&gt;$E$6,C27&gt;$E$14),0,
IF(AND($E$8&lt;&gt;OR(0,""),$E$9&lt;&gt;OR(0,""),C27&gt;=$E$8,C27&lt;=$E$9),0,PPMT($E$10/12,IF($E$12="YES",G27,C27),$E$7,$E$4)))</f>
        <v>0</v>
      </c>
      <c r="K27" s="809">
        <f t="shared" si="2"/>
        <v>-229834.29416054231</v>
      </c>
      <c r="L27" s="791">
        <f t="shared" si="3"/>
        <v>47965417.911765352</v>
      </c>
    </row>
    <row r="28" spans="3:20">
      <c r="C28" s="814">
        <f t="shared" ref="C28:C86" si="9">C27+1</f>
        <v>2</v>
      </c>
      <c r="D28" s="815">
        <f t="shared" si="4"/>
        <v>50009</v>
      </c>
      <c r="E28" s="800">
        <f t="shared" si="5"/>
        <v>1</v>
      </c>
      <c r="F28" s="800">
        <f t="shared" ref="F28:F86" si="10">CHOOSE(MONTH(D28), 2, 2, 2, 3, 3, 3, 4, 4, 4, 1, 1, 1)</f>
        <v>1</v>
      </c>
      <c r="G28" s="816" t="str">
        <f>IF($E$12="NO",G27+1,
IF(OR(D28&lt;$F$8,D28&gt;$F$9),MAX($G$26:G27)+1,""))</f>
        <v/>
      </c>
      <c r="H28" s="809">
        <f t="shared" si="6"/>
        <v>47965417.911765352</v>
      </c>
      <c r="I28" s="809">
        <f t="shared" si="7"/>
        <v>-229834.29416054231</v>
      </c>
      <c r="J28" s="817">
        <f t="shared" si="8"/>
        <v>0</v>
      </c>
      <c r="K28" s="809">
        <f t="shared" si="2"/>
        <v>-229834.29416054231</v>
      </c>
      <c r="L28" s="791">
        <f t="shared" si="3"/>
        <v>47965417.911765352</v>
      </c>
    </row>
    <row r="29" spans="3:20">
      <c r="C29" s="814">
        <f t="shared" si="9"/>
        <v>3</v>
      </c>
      <c r="D29" s="815">
        <f t="shared" si="4"/>
        <v>50040</v>
      </c>
      <c r="E29" s="800">
        <f t="shared" si="5"/>
        <v>1</v>
      </c>
      <c r="F29" s="800">
        <f t="shared" si="10"/>
        <v>1</v>
      </c>
      <c r="G29" s="816" t="str">
        <f>IF($E$12="NO",G28+1,
IF(OR(D29&lt;$F$8,D29&gt;$F$9),MAX($G$26:G28)+1,""))</f>
        <v/>
      </c>
      <c r="H29" s="809">
        <f t="shared" si="6"/>
        <v>47965417.911765352</v>
      </c>
      <c r="I29" s="809">
        <f t="shared" si="7"/>
        <v>-229834.29416054231</v>
      </c>
      <c r="J29" s="817">
        <f t="shared" si="8"/>
        <v>0</v>
      </c>
      <c r="K29" s="809">
        <f t="shared" si="2"/>
        <v>-229834.29416054231</v>
      </c>
      <c r="L29" s="791">
        <f t="shared" si="3"/>
        <v>47965417.911765352</v>
      </c>
    </row>
    <row r="30" spans="3:20">
      <c r="C30" s="814">
        <f t="shared" si="9"/>
        <v>4</v>
      </c>
      <c r="D30" s="815">
        <f t="shared" si="4"/>
        <v>50071</v>
      </c>
      <c r="E30" s="800">
        <f t="shared" si="5"/>
        <v>1</v>
      </c>
      <c r="F30" s="800">
        <f t="shared" si="10"/>
        <v>2</v>
      </c>
      <c r="G30" s="816" t="str">
        <f>IF($E$12="NO",G29+1,
IF(OR(D30&lt;$F$8,D30&gt;$F$9),MAX($G$26:G29)+1,""))</f>
        <v/>
      </c>
      <c r="H30" s="809">
        <f t="shared" si="6"/>
        <v>47965417.911765352</v>
      </c>
      <c r="I30" s="809">
        <f t="shared" si="7"/>
        <v>-229834.29416054231</v>
      </c>
      <c r="J30" s="817">
        <f t="shared" si="8"/>
        <v>0</v>
      </c>
      <c r="K30" s="809">
        <f t="shared" si="2"/>
        <v>-229834.29416054231</v>
      </c>
      <c r="L30" s="791">
        <f t="shared" si="3"/>
        <v>47965417.911765352</v>
      </c>
    </row>
    <row r="31" spans="3:20">
      <c r="C31" s="814">
        <f t="shared" si="9"/>
        <v>5</v>
      </c>
      <c r="D31" s="815">
        <f t="shared" si="4"/>
        <v>50099</v>
      </c>
      <c r="E31" s="800">
        <f t="shared" si="5"/>
        <v>1</v>
      </c>
      <c r="F31" s="800">
        <f t="shared" si="10"/>
        <v>2</v>
      </c>
      <c r="G31" s="816" t="str">
        <f>IF($E$12="NO",G30+1,
IF(OR(D31&lt;$F$8,D31&gt;$F$9),MAX($G$26:G30)+1,""))</f>
        <v/>
      </c>
      <c r="H31" s="809">
        <f t="shared" si="6"/>
        <v>47965417.911765352</v>
      </c>
      <c r="I31" s="809">
        <f t="shared" si="7"/>
        <v>-229834.29416054231</v>
      </c>
      <c r="J31" s="817">
        <f t="shared" si="8"/>
        <v>0</v>
      </c>
      <c r="K31" s="809">
        <f t="shared" si="2"/>
        <v>-229834.29416054231</v>
      </c>
      <c r="L31" s="791">
        <f t="shared" si="3"/>
        <v>47965417.911765352</v>
      </c>
    </row>
    <row r="32" spans="3:20">
      <c r="C32" s="814">
        <f t="shared" si="9"/>
        <v>6</v>
      </c>
      <c r="D32" s="815">
        <f t="shared" si="4"/>
        <v>50130</v>
      </c>
      <c r="E32" s="800">
        <f t="shared" si="5"/>
        <v>1</v>
      </c>
      <c r="F32" s="800">
        <f t="shared" si="10"/>
        <v>2</v>
      </c>
      <c r="G32" s="816" t="str">
        <f>IF($E$12="NO",G31+1,
IF(OR(D32&lt;$F$8,D32&gt;$F$9),MAX($G$26:G31)+1,""))</f>
        <v/>
      </c>
      <c r="H32" s="809">
        <f t="shared" si="6"/>
        <v>47965417.911765352</v>
      </c>
      <c r="I32" s="809">
        <f t="shared" si="7"/>
        <v>-229834.29416054231</v>
      </c>
      <c r="J32" s="817">
        <f t="shared" si="8"/>
        <v>0</v>
      </c>
      <c r="K32" s="809">
        <f t="shared" si="2"/>
        <v>-229834.29416054231</v>
      </c>
      <c r="L32" s="791">
        <f t="shared" si="3"/>
        <v>47965417.911765352</v>
      </c>
    </row>
    <row r="33" spans="3:12">
      <c r="C33" s="814">
        <f t="shared" si="9"/>
        <v>7</v>
      </c>
      <c r="D33" s="815">
        <f t="shared" si="4"/>
        <v>50160</v>
      </c>
      <c r="E33" s="800">
        <f t="shared" si="5"/>
        <v>1</v>
      </c>
      <c r="F33" s="800">
        <f t="shared" si="10"/>
        <v>3</v>
      </c>
      <c r="G33" s="816" t="str">
        <f>IF($E$12="NO",G32+1,
IF(OR(D33&lt;$F$8,D33&gt;$F$9),MAX($G$26:G32)+1,""))</f>
        <v/>
      </c>
      <c r="H33" s="809">
        <f t="shared" si="6"/>
        <v>47965417.911765352</v>
      </c>
      <c r="I33" s="809">
        <f t="shared" si="7"/>
        <v>-229834.29416054231</v>
      </c>
      <c r="J33" s="817">
        <f t="shared" si="8"/>
        <v>0</v>
      </c>
      <c r="K33" s="809">
        <f t="shared" si="2"/>
        <v>-229834.29416054231</v>
      </c>
      <c r="L33" s="791">
        <f t="shared" si="3"/>
        <v>47965417.911765352</v>
      </c>
    </row>
    <row r="34" spans="3:12">
      <c r="C34" s="814">
        <f t="shared" si="9"/>
        <v>8</v>
      </c>
      <c r="D34" s="815">
        <f t="shared" si="4"/>
        <v>50191</v>
      </c>
      <c r="E34" s="800">
        <f t="shared" si="5"/>
        <v>1</v>
      </c>
      <c r="F34" s="800">
        <f t="shared" si="10"/>
        <v>3</v>
      </c>
      <c r="G34" s="816" t="str">
        <f>IF($E$12="NO",G33+1,
IF(OR(D34&lt;$F$8,D34&gt;$F$9),MAX($G$26:G33)+1,""))</f>
        <v/>
      </c>
      <c r="H34" s="809">
        <f t="shared" si="6"/>
        <v>47965417.911765352</v>
      </c>
      <c r="I34" s="809">
        <f t="shared" si="7"/>
        <v>-229834.29416054231</v>
      </c>
      <c r="J34" s="817">
        <f t="shared" si="8"/>
        <v>0</v>
      </c>
      <c r="K34" s="809">
        <f t="shared" si="2"/>
        <v>-229834.29416054231</v>
      </c>
      <c r="L34" s="791">
        <f t="shared" si="3"/>
        <v>47965417.911765352</v>
      </c>
    </row>
    <row r="35" spans="3:12">
      <c r="C35" s="814">
        <f t="shared" si="9"/>
        <v>9</v>
      </c>
      <c r="D35" s="815">
        <f t="shared" si="4"/>
        <v>50221</v>
      </c>
      <c r="E35" s="800">
        <f t="shared" si="5"/>
        <v>1</v>
      </c>
      <c r="F35" s="800">
        <f t="shared" si="10"/>
        <v>3</v>
      </c>
      <c r="G35" s="816" t="str">
        <f>IF($E$12="NO",G34+1,
IF(OR(D35&lt;$F$8,D35&gt;$F$9),MAX($G$26:G34)+1,""))</f>
        <v/>
      </c>
      <c r="H35" s="809">
        <f t="shared" si="6"/>
        <v>47965417.911765352</v>
      </c>
      <c r="I35" s="809">
        <f t="shared" si="7"/>
        <v>-229834.29416054231</v>
      </c>
      <c r="J35" s="817">
        <f t="shared" si="8"/>
        <v>0</v>
      </c>
      <c r="K35" s="809">
        <f t="shared" si="2"/>
        <v>-229834.29416054231</v>
      </c>
      <c r="L35" s="791">
        <f t="shared" si="3"/>
        <v>47965417.911765352</v>
      </c>
    </row>
    <row r="36" spans="3:12">
      <c r="C36" s="814">
        <f t="shared" si="9"/>
        <v>10</v>
      </c>
      <c r="D36" s="815">
        <f t="shared" si="4"/>
        <v>50252</v>
      </c>
      <c r="E36" s="800">
        <f t="shared" si="5"/>
        <v>1</v>
      </c>
      <c r="F36" s="800">
        <f t="shared" si="10"/>
        <v>4</v>
      </c>
      <c r="G36" s="816" t="str">
        <f>IF($E$12="NO",G35+1,
IF(OR(D36&lt;$F$8,D36&gt;$F$9),MAX($G$26:G35)+1,""))</f>
        <v/>
      </c>
      <c r="H36" s="809">
        <f t="shared" si="6"/>
        <v>47965417.911765352</v>
      </c>
      <c r="I36" s="809">
        <f t="shared" si="7"/>
        <v>-229834.29416054231</v>
      </c>
      <c r="J36" s="817">
        <f t="shared" si="8"/>
        <v>0</v>
      </c>
      <c r="K36" s="809">
        <f t="shared" si="2"/>
        <v>-229834.29416054231</v>
      </c>
      <c r="L36" s="791">
        <f t="shared" si="3"/>
        <v>47965417.911765352</v>
      </c>
    </row>
    <row r="37" spans="3:12">
      <c r="C37" s="814">
        <f t="shared" si="9"/>
        <v>11</v>
      </c>
      <c r="D37" s="815">
        <f t="shared" si="4"/>
        <v>50283</v>
      </c>
      <c r="E37" s="800">
        <f t="shared" si="5"/>
        <v>1</v>
      </c>
      <c r="F37" s="800">
        <f t="shared" si="10"/>
        <v>4</v>
      </c>
      <c r="G37" s="816" t="str">
        <f>IF($E$12="NO",G36+1,
IF(OR(D37&lt;$F$8,D37&gt;$F$9),MAX($G$26:G36)+1,""))</f>
        <v/>
      </c>
      <c r="H37" s="809">
        <f t="shared" si="6"/>
        <v>47965417.911765352</v>
      </c>
      <c r="I37" s="809">
        <f t="shared" si="7"/>
        <v>-229834.29416054231</v>
      </c>
      <c r="J37" s="817">
        <f t="shared" si="8"/>
        <v>0</v>
      </c>
      <c r="K37" s="809">
        <f t="shared" si="2"/>
        <v>-229834.29416054231</v>
      </c>
      <c r="L37" s="791">
        <f t="shared" si="3"/>
        <v>47965417.911765352</v>
      </c>
    </row>
    <row r="38" spans="3:12">
      <c r="C38" s="814">
        <f t="shared" si="9"/>
        <v>12</v>
      </c>
      <c r="D38" s="815">
        <f t="shared" si="4"/>
        <v>50313</v>
      </c>
      <c r="E38" s="800">
        <f t="shared" si="5"/>
        <v>1</v>
      </c>
      <c r="F38" s="800">
        <f t="shared" si="10"/>
        <v>4</v>
      </c>
      <c r="G38" s="816" t="str">
        <f>IF($E$12="NO",G37+1,
IF(OR(D38&lt;$F$8,D38&gt;$F$9),MAX($G$26:G37)+1,""))</f>
        <v/>
      </c>
      <c r="H38" s="809">
        <f t="shared" si="6"/>
        <v>47965417.911765352</v>
      </c>
      <c r="I38" s="809">
        <f t="shared" si="7"/>
        <v>-229834.29416054231</v>
      </c>
      <c r="J38" s="817">
        <f t="shared" si="8"/>
        <v>0</v>
      </c>
      <c r="K38" s="809">
        <f t="shared" si="2"/>
        <v>-229834.29416054231</v>
      </c>
      <c r="L38" s="791">
        <f t="shared" si="3"/>
        <v>47965417.911765352</v>
      </c>
    </row>
    <row r="39" spans="3:12">
      <c r="C39" s="814">
        <f t="shared" si="9"/>
        <v>13</v>
      </c>
      <c r="D39" s="815">
        <f t="shared" si="4"/>
        <v>50344</v>
      </c>
      <c r="E39" s="800">
        <f t="shared" si="5"/>
        <v>2</v>
      </c>
      <c r="F39" s="800">
        <f t="shared" si="10"/>
        <v>1</v>
      </c>
      <c r="G39" s="816">
        <f>IF($E$12="NO",G38+1,
IF(OR(D39&lt;$F$8,D39&gt;$F$9),MAX($G$26:G38)+1,""))</f>
        <v>1</v>
      </c>
      <c r="H39" s="809">
        <f t="shared" si="6"/>
        <v>47965417.911765352</v>
      </c>
      <c r="I39" s="809">
        <f t="shared" si="7"/>
        <v>-229834.29416054231</v>
      </c>
      <c r="J39" s="817">
        <f t="shared" si="8"/>
        <v>-50078.865252234311</v>
      </c>
      <c r="K39" s="809">
        <f t="shared" si="2"/>
        <v>-279913.15941277664</v>
      </c>
      <c r="L39" s="791">
        <f t="shared" si="3"/>
        <v>47915339.046513118</v>
      </c>
    </row>
    <row r="40" spans="3:12">
      <c r="C40" s="814">
        <f t="shared" si="9"/>
        <v>14</v>
      </c>
      <c r="D40" s="815">
        <f t="shared" si="4"/>
        <v>50374</v>
      </c>
      <c r="E40" s="800">
        <f t="shared" si="5"/>
        <v>2</v>
      </c>
      <c r="F40" s="800">
        <f t="shared" si="10"/>
        <v>1</v>
      </c>
      <c r="G40" s="816">
        <f>IF($E$12="NO",G39+1,
IF(OR(D40&lt;$F$8,D40&gt;$F$9),MAX($G$26:G39)+1,""))</f>
        <v>2</v>
      </c>
      <c r="H40" s="809">
        <f t="shared" si="6"/>
        <v>47915339.046513118</v>
      </c>
      <c r="I40" s="809">
        <f t="shared" si="7"/>
        <v>-229594.33293120869</v>
      </c>
      <c r="J40" s="817">
        <f t="shared" si="8"/>
        <v>-50318.826481567921</v>
      </c>
      <c r="K40" s="809">
        <f t="shared" si="2"/>
        <v>-279913.15941277659</v>
      </c>
      <c r="L40" s="791">
        <f t="shared" si="3"/>
        <v>47865020.220031552</v>
      </c>
    </row>
    <row r="41" spans="3:12">
      <c r="C41" s="814">
        <f t="shared" si="9"/>
        <v>15</v>
      </c>
      <c r="D41" s="815">
        <f t="shared" si="4"/>
        <v>50405</v>
      </c>
      <c r="E41" s="800">
        <f t="shared" si="5"/>
        <v>2</v>
      </c>
      <c r="F41" s="800">
        <f t="shared" si="10"/>
        <v>1</v>
      </c>
      <c r="G41" s="816">
        <f>IF($E$12="NO",G40+1,
IF(OR(D41&lt;$F$8,D41&gt;$F$9),MAX($G$26:G40)+1,""))</f>
        <v>3</v>
      </c>
      <c r="H41" s="809">
        <f t="shared" si="6"/>
        <v>47865020.220031552</v>
      </c>
      <c r="I41" s="809">
        <f t="shared" si="7"/>
        <v>-229353.22188765122</v>
      </c>
      <c r="J41" s="817">
        <f t="shared" si="8"/>
        <v>-50559.937525125446</v>
      </c>
      <c r="K41" s="809">
        <f t="shared" si="2"/>
        <v>-279913.15941277664</v>
      </c>
      <c r="L41" s="791">
        <f t="shared" si="3"/>
        <v>47814460.282506429</v>
      </c>
    </row>
    <row r="42" spans="3:12">
      <c r="C42" s="814">
        <f t="shared" si="9"/>
        <v>16</v>
      </c>
      <c r="D42" s="815">
        <f t="shared" si="4"/>
        <v>50436</v>
      </c>
      <c r="E42" s="800">
        <f t="shared" si="5"/>
        <v>2</v>
      </c>
      <c r="F42" s="800">
        <f t="shared" si="10"/>
        <v>2</v>
      </c>
      <c r="G42" s="816">
        <f>IF($E$12="NO",G41+1,
IF(OR(D42&lt;$F$8,D42&gt;$F$9),MAX($G$26:G41)+1,""))</f>
        <v>4</v>
      </c>
      <c r="H42" s="809">
        <f t="shared" si="6"/>
        <v>47814460.282506429</v>
      </c>
      <c r="I42" s="809">
        <f t="shared" si="7"/>
        <v>-229110.9555203433</v>
      </c>
      <c r="J42" s="817">
        <f t="shared" si="8"/>
        <v>-50802.203892433346</v>
      </c>
      <c r="K42" s="809">
        <f t="shared" si="2"/>
        <v>-279913.15941277664</v>
      </c>
      <c r="L42" s="791">
        <f t="shared" si="3"/>
        <v>47763658.078613997</v>
      </c>
    </row>
    <row r="43" spans="3:12">
      <c r="C43" s="814">
        <f t="shared" si="9"/>
        <v>17</v>
      </c>
      <c r="D43" s="815">
        <f t="shared" si="4"/>
        <v>50464</v>
      </c>
      <c r="E43" s="800">
        <f t="shared" si="5"/>
        <v>2</v>
      </c>
      <c r="F43" s="800">
        <f t="shared" si="10"/>
        <v>2</v>
      </c>
      <c r="G43" s="816">
        <f>IF($E$12="NO",G42+1,
IF(OR(D43&lt;$F$8,D43&gt;$F$9),MAX($G$26:G42)+1,""))</f>
        <v>5</v>
      </c>
      <c r="H43" s="809">
        <f t="shared" si="6"/>
        <v>47763658.078613997</v>
      </c>
      <c r="I43" s="809">
        <f t="shared" si="7"/>
        <v>-228867.52829335874</v>
      </c>
      <c r="J43" s="817">
        <f t="shared" si="8"/>
        <v>-51045.631119417914</v>
      </c>
      <c r="K43" s="809">
        <f t="shared" si="2"/>
        <v>-279913.15941277664</v>
      </c>
      <c r="L43" s="791">
        <f t="shared" si="3"/>
        <v>47712612.447494581</v>
      </c>
    </row>
    <row r="44" spans="3:12">
      <c r="C44" s="814">
        <f t="shared" si="9"/>
        <v>18</v>
      </c>
      <c r="D44" s="815">
        <f t="shared" si="4"/>
        <v>50495</v>
      </c>
      <c r="E44" s="800">
        <f t="shared" si="5"/>
        <v>2</v>
      </c>
      <c r="F44" s="800">
        <f t="shared" si="10"/>
        <v>2</v>
      </c>
      <c r="G44" s="816">
        <f>IF($E$12="NO",G43+1,
IF(OR(D44&lt;$F$8,D44&gt;$F$9),MAX($G$26:G43)+1,""))</f>
        <v>6</v>
      </c>
      <c r="H44" s="809">
        <f t="shared" si="6"/>
        <v>47712612.447494581</v>
      </c>
      <c r="I44" s="809">
        <f t="shared" si="7"/>
        <v>-228622.93464424487</v>
      </c>
      <c r="J44" s="817">
        <f t="shared" si="8"/>
        <v>-51290.224768531793</v>
      </c>
      <c r="K44" s="809">
        <f t="shared" si="2"/>
        <v>-279913.15941277664</v>
      </c>
      <c r="L44" s="791">
        <f t="shared" si="3"/>
        <v>47661322.222726047</v>
      </c>
    </row>
    <row r="45" spans="3:12">
      <c r="C45" s="814">
        <f t="shared" si="9"/>
        <v>19</v>
      </c>
      <c r="D45" s="815">
        <f t="shared" si="4"/>
        <v>50525</v>
      </c>
      <c r="E45" s="800">
        <f t="shared" si="5"/>
        <v>2</v>
      </c>
      <c r="F45" s="800">
        <f t="shared" si="10"/>
        <v>3</v>
      </c>
      <c r="G45" s="816">
        <f>IF($E$12="NO",G44+1,
IF(OR(D45&lt;$F$8,D45&gt;$F$9),MAX($G$26:G44)+1,""))</f>
        <v>7</v>
      </c>
      <c r="H45" s="809">
        <f t="shared" si="6"/>
        <v>47661322.222726047</v>
      </c>
      <c r="I45" s="809">
        <f t="shared" si="7"/>
        <v>-228377.16898389565</v>
      </c>
      <c r="J45" s="817">
        <f t="shared" si="8"/>
        <v>-51535.990428881007</v>
      </c>
      <c r="K45" s="809">
        <f t="shared" si="2"/>
        <v>-279913.15941277664</v>
      </c>
      <c r="L45" s="791">
        <f t="shared" si="3"/>
        <v>47609786.232297167</v>
      </c>
    </row>
    <row r="46" spans="3:12">
      <c r="C46" s="814">
        <f t="shared" si="9"/>
        <v>20</v>
      </c>
      <c r="D46" s="815">
        <f t="shared" si="4"/>
        <v>50556</v>
      </c>
      <c r="E46" s="800">
        <f t="shared" si="5"/>
        <v>2</v>
      </c>
      <c r="F46" s="800">
        <f t="shared" si="10"/>
        <v>3</v>
      </c>
      <c r="G46" s="816">
        <f>IF($E$12="NO",G45+1,
IF(OR(D46&lt;$F$8,D46&gt;$F$9),MAX($G$26:G45)+1,""))</f>
        <v>8</v>
      </c>
      <c r="H46" s="809">
        <f t="shared" si="6"/>
        <v>47609786.232297167</v>
      </c>
      <c r="I46" s="809">
        <f t="shared" si="7"/>
        <v>-228130.22569642394</v>
      </c>
      <c r="J46" s="817">
        <f t="shared" si="8"/>
        <v>-51782.933716352723</v>
      </c>
      <c r="K46" s="809">
        <f t="shared" si="2"/>
        <v>-279913.15941277664</v>
      </c>
      <c r="L46" s="791">
        <f t="shared" si="3"/>
        <v>47558003.298580818</v>
      </c>
    </row>
    <row r="47" spans="3:12">
      <c r="C47" s="814">
        <f t="shared" si="9"/>
        <v>21</v>
      </c>
      <c r="D47" s="815">
        <f t="shared" si="4"/>
        <v>50586</v>
      </c>
      <c r="E47" s="800">
        <f t="shared" si="5"/>
        <v>2</v>
      </c>
      <c r="F47" s="800">
        <f t="shared" si="10"/>
        <v>3</v>
      </c>
      <c r="G47" s="816">
        <f>IF($E$12="NO",G46+1,
IF(OR(D47&lt;$F$8,D47&gt;$F$9),MAX($G$26:G46)+1,""))</f>
        <v>9</v>
      </c>
      <c r="H47" s="809">
        <f t="shared" si="6"/>
        <v>47558003.298580818</v>
      </c>
      <c r="I47" s="809">
        <f t="shared" si="7"/>
        <v>-227882.09913903309</v>
      </c>
      <c r="J47" s="817">
        <f t="shared" si="8"/>
        <v>-52031.060273743591</v>
      </c>
      <c r="K47" s="809">
        <f t="shared" si="2"/>
        <v>-279913.1594127767</v>
      </c>
      <c r="L47" s="791">
        <f t="shared" si="3"/>
        <v>47505972.238307074</v>
      </c>
    </row>
    <row r="48" spans="3:12">
      <c r="C48" s="814">
        <f t="shared" si="9"/>
        <v>22</v>
      </c>
      <c r="D48" s="815">
        <f t="shared" si="4"/>
        <v>50617</v>
      </c>
      <c r="E48" s="800">
        <f t="shared" si="5"/>
        <v>2</v>
      </c>
      <c r="F48" s="800">
        <f t="shared" si="10"/>
        <v>4</v>
      </c>
      <c r="G48" s="816">
        <f>IF($E$12="NO",G47+1,
IF(OR(D48&lt;$F$8,D48&gt;$F$9),MAX($G$26:G47)+1,""))</f>
        <v>10</v>
      </c>
      <c r="H48" s="809">
        <f t="shared" si="6"/>
        <v>47505972.238307074</v>
      </c>
      <c r="I48" s="809">
        <f t="shared" si="7"/>
        <v>-227632.78364188806</v>
      </c>
      <c r="J48" s="817">
        <f t="shared" si="8"/>
        <v>-52280.375770888619</v>
      </c>
      <c r="K48" s="809">
        <f t="shared" si="2"/>
        <v>-279913.1594127767</v>
      </c>
      <c r="L48" s="791">
        <f t="shared" si="3"/>
        <v>47453691.862536184</v>
      </c>
    </row>
    <row r="49" spans="3:12">
      <c r="C49" s="814">
        <f t="shared" si="9"/>
        <v>23</v>
      </c>
      <c r="D49" s="815">
        <f t="shared" si="4"/>
        <v>50648</v>
      </c>
      <c r="E49" s="800">
        <f t="shared" si="5"/>
        <v>2</v>
      </c>
      <c r="F49" s="800">
        <f t="shared" si="10"/>
        <v>4</v>
      </c>
      <c r="G49" s="816">
        <f>IF($E$12="NO",G48+1,
IF(OR(D49&lt;$F$8,D49&gt;$F$9),MAX($G$26:G48)+1,""))</f>
        <v>11</v>
      </c>
      <c r="H49" s="809">
        <f t="shared" si="6"/>
        <v>47453691.862536184</v>
      </c>
      <c r="I49" s="809">
        <f t="shared" si="7"/>
        <v>-227382.2735079859</v>
      </c>
      <c r="J49" s="817">
        <f t="shared" si="8"/>
        <v>-52530.885904790775</v>
      </c>
      <c r="K49" s="809">
        <f t="shared" si="2"/>
        <v>-279913.1594127767</v>
      </c>
      <c r="L49" s="791">
        <f t="shared" si="3"/>
        <v>47401160.976631396</v>
      </c>
    </row>
    <row r="50" spans="3:12">
      <c r="C50" s="814">
        <f t="shared" si="9"/>
        <v>24</v>
      </c>
      <c r="D50" s="815">
        <f t="shared" si="4"/>
        <v>50678</v>
      </c>
      <c r="E50" s="800">
        <f t="shared" si="5"/>
        <v>2</v>
      </c>
      <c r="F50" s="800">
        <f t="shared" si="10"/>
        <v>4</v>
      </c>
      <c r="G50" s="816">
        <f>IF($E$12="NO",G49+1,
IF(OR(D50&lt;$F$8,D50&gt;$F$9),MAX($G$26:G49)+1,""))</f>
        <v>12</v>
      </c>
      <c r="H50" s="809">
        <f t="shared" si="6"/>
        <v>47401160.976631396</v>
      </c>
      <c r="I50" s="809">
        <f t="shared" si="7"/>
        <v>-227130.56301302544</v>
      </c>
      <c r="J50" s="817">
        <f t="shared" si="8"/>
        <v>-52782.59639975123</v>
      </c>
      <c r="K50" s="809">
        <f t="shared" si="2"/>
        <v>-279913.1594127767</v>
      </c>
      <c r="L50" s="791">
        <f t="shared" si="3"/>
        <v>47348378.380231641</v>
      </c>
    </row>
    <row r="51" spans="3:12">
      <c r="C51" s="814">
        <f t="shared" si="9"/>
        <v>25</v>
      </c>
      <c r="D51" s="815">
        <f t="shared" si="4"/>
        <v>50709</v>
      </c>
      <c r="E51" s="800">
        <f t="shared" si="5"/>
        <v>3</v>
      </c>
      <c r="F51" s="800">
        <f t="shared" si="10"/>
        <v>1</v>
      </c>
      <c r="G51" s="816">
        <f>IF($E$12="NO",G50+1,
IF(OR(D51&lt;$F$8,D51&gt;$F$9),MAX($G$26:G50)+1,""))</f>
        <v>13</v>
      </c>
      <c r="H51" s="809">
        <f t="shared" si="6"/>
        <v>47348378.380231641</v>
      </c>
      <c r="I51" s="809">
        <f t="shared" si="7"/>
        <v>-226877.64640527661</v>
      </c>
      <c r="J51" s="817">
        <f t="shared" si="8"/>
        <v>-53035.513007500049</v>
      </c>
      <c r="K51" s="809">
        <f t="shared" si="2"/>
        <v>-279913.15941277664</v>
      </c>
      <c r="L51" s="791">
        <f t="shared" si="3"/>
        <v>47295342.867224142</v>
      </c>
    </row>
    <row r="52" spans="3:12">
      <c r="C52" s="814">
        <f t="shared" si="9"/>
        <v>26</v>
      </c>
      <c r="D52" s="815">
        <f t="shared" si="4"/>
        <v>50739</v>
      </c>
      <c r="E52" s="800">
        <f t="shared" si="5"/>
        <v>3</v>
      </c>
      <c r="F52" s="800">
        <f t="shared" si="10"/>
        <v>1</v>
      </c>
      <c r="G52" s="816">
        <f>IF($E$12="NO",G51+1,
IF(OR(D52&lt;$F$8,D52&gt;$F$9),MAX($G$26:G51)+1,""))</f>
        <v>14</v>
      </c>
      <c r="H52" s="809">
        <f t="shared" si="6"/>
        <v>47295342.867224142</v>
      </c>
      <c r="I52" s="809">
        <f t="shared" si="7"/>
        <v>-226623.51790544903</v>
      </c>
      <c r="J52" s="817">
        <f t="shared" si="8"/>
        <v>-53289.641507327658</v>
      </c>
      <c r="K52" s="809">
        <f t="shared" si="2"/>
        <v>-279913.1594127767</v>
      </c>
      <c r="L52" s="791">
        <f t="shared" si="3"/>
        <v>47242053.225716814</v>
      </c>
    </row>
    <row r="53" spans="3:12">
      <c r="C53" s="814">
        <f t="shared" si="9"/>
        <v>27</v>
      </c>
      <c r="D53" s="815">
        <f t="shared" si="4"/>
        <v>50770</v>
      </c>
      <c r="E53" s="800">
        <f t="shared" si="5"/>
        <v>3</v>
      </c>
      <c r="F53" s="800">
        <f t="shared" si="10"/>
        <v>1</v>
      </c>
      <c r="G53" s="816">
        <f>IF($E$12="NO",G52+1,
IF(OR(D53&lt;$F$8,D53&gt;$F$9),MAX($G$26:G52)+1,""))</f>
        <v>15</v>
      </c>
      <c r="H53" s="809">
        <f t="shared" si="6"/>
        <v>47242053.225716814</v>
      </c>
      <c r="I53" s="809">
        <f t="shared" si="7"/>
        <v>-226368.17170655975</v>
      </c>
      <c r="J53" s="817">
        <f t="shared" si="8"/>
        <v>-53544.987706216933</v>
      </c>
      <c r="K53" s="809">
        <f t="shared" si="2"/>
        <v>-279913.1594127767</v>
      </c>
      <c r="L53" s="791">
        <f t="shared" si="3"/>
        <v>47188508.2380106</v>
      </c>
    </row>
    <row r="54" spans="3:12">
      <c r="C54" s="814">
        <f t="shared" si="9"/>
        <v>28</v>
      </c>
      <c r="D54" s="815">
        <f t="shared" si="4"/>
        <v>50801</v>
      </c>
      <c r="E54" s="800">
        <f t="shared" si="5"/>
        <v>3</v>
      </c>
      <c r="F54" s="800">
        <f t="shared" si="10"/>
        <v>2</v>
      </c>
      <c r="G54" s="816">
        <f>IF($E$12="NO",G53+1,
IF(OR(D54&lt;$F$8,D54&gt;$F$9),MAX($G$26:G53)+1,""))</f>
        <v>16</v>
      </c>
      <c r="H54" s="809">
        <f t="shared" si="6"/>
        <v>47188508.2380106</v>
      </c>
      <c r="I54" s="809">
        <f t="shared" si="7"/>
        <v>-226111.6019738008</v>
      </c>
      <c r="J54" s="817">
        <f t="shared" si="8"/>
        <v>-53801.557438975884</v>
      </c>
      <c r="K54" s="809">
        <f t="shared" si="2"/>
        <v>-279913.1594127767</v>
      </c>
      <c r="L54" s="791">
        <f t="shared" si="3"/>
        <v>47134706.680571623</v>
      </c>
    </row>
    <row r="55" spans="3:12">
      <c r="C55" s="814">
        <f t="shared" si="9"/>
        <v>29</v>
      </c>
      <c r="D55" s="815">
        <f t="shared" si="4"/>
        <v>50829</v>
      </c>
      <c r="E55" s="800">
        <f t="shared" si="5"/>
        <v>3</v>
      </c>
      <c r="F55" s="800">
        <f t="shared" si="10"/>
        <v>2</v>
      </c>
      <c r="G55" s="816">
        <f>IF($E$12="NO",G54+1,
IF(OR(D55&lt;$F$8,D55&gt;$F$9),MAX($G$26:G54)+1,""))</f>
        <v>17</v>
      </c>
      <c r="H55" s="809">
        <f t="shared" si="6"/>
        <v>47134706.680571623</v>
      </c>
      <c r="I55" s="809">
        <f t="shared" si="7"/>
        <v>-225853.80284440573</v>
      </c>
      <c r="J55" s="817">
        <f t="shared" si="8"/>
        <v>-54059.356568370982</v>
      </c>
      <c r="K55" s="809">
        <f t="shared" si="2"/>
        <v>-279913.1594127767</v>
      </c>
      <c r="L55" s="791">
        <f t="shared" si="3"/>
        <v>47080647.324003249</v>
      </c>
    </row>
    <row r="56" spans="3:12">
      <c r="C56" s="814">
        <f t="shared" si="9"/>
        <v>30</v>
      </c>
      <c r="D56" s="815">
        <f t="shared" si="4"/>
        <v>50860</v>
      </c>
      <c r="E56" s="800">
        <f t="shared" si="5"/>
        <v>3</v>
      </c>
      <c r="F56" s="800">
        <f t="shared" si="10"/>
        <v>2</v>
      </c>
      <c r="G56" s="816">
        <f>IF($E$12="NO",G55+1,
IF(OR(D56&lt;$F$8,D56&gt;$F$9),MAX($G$26:G55)+1,""))</f>
        <v>18</v>
      </c>
      <c r="H56" s="809">
        <f t="shared" si="6"/>
        <v>47080647.324003249</v>
      </c>
      <c r="I56" s="809">
        <f t="shared" si="7"/>
        <v>-225594.76842751561</v>
      </c>
      <c r="J56" s="817">
        <f t="shared" si="8"/>
        <v>-54318.390985261089</v>
      </c>
      <c r="K56" s="809">
        <f t="shared" si="2"/>
        <v>-279913.1594127767</v>
      </c>
      <c r="L56" s="791">
        <f t="shared" si="3"/>
        <v>47026328.933017991</v>
      </c>
    </row>
    <row r="57" spans="3:12">
      <c r="C57" s="814">
        <f t="shared" si="9"/>
        <v>31</v>
      </c>
      <c r="D57" s="815">
        <f t="shared" si="4"/>
        <v>50890</v>
      </c>
      <c r="E57" s="800">
        <f t="shared" si="5"/>
        <v>3</v>
      </c>
      <c r="F57" s="800">
        <f t="shared" si="10"/>
        <v>3</v>
      </c>
      <c r="G57" s="816">
        <f>IF($E$12="NO",G56+1,
IF(OR(D57&lt;$F$8,D57&gt;$F$9),MAX($G$26:G56)+1,""))</f>
        <v>19</v>
      </c>
      <c r="H57" s="809">
        <f t="shared" si="6"/>
        <v>47026328.933017991</v>
      </c>
      <c r="I57" s="809">
        <f t="shared" si="7"/>
        <v>-225334.49280404454</v>
      </c>
      <c r="J57" s="817">
        <f t="shared" si="8"/>
        <v>-54578.666608732136</v>
      </c>
      <c r="K57" s="809">
        <f t="shared" si="2"/>
        <v>-279913.1594127767</v>
      </c>
      <c r="L57" s="791">
        <f t="shared" si="3"/>
        <v>46971750.266409263</v>
      </c>
    </row>
    <row r="58" spans="3:12">
      <c r="C58" s="814">
        <f t="shared" si="9"/>
        <v>32</v>
      </c>
      <c r="D58" s="815">
        <f t="shared" si="4"/>
        <v>50921</v>
      </c>
      <c r="E58" s="800">
        <f t="shared" si="5"/>
        <v>3</v>
      </c>
      <c r="F58" s="800">
        <f t="shared" si="10"/>
        <v>3</v>
      </c>
      <c r="G58" s="816">
        <f>IF($E$12="NO",G57+1,
IF(OR(D58&lt;$F$8,D58&gt;$F$9),MAX($G$26:G57)+1,""))</f>
        <v>20</v>
      </c>
      <c r="H58" s="809">
        <f t="shared" si="6"/>
        <v>46971750.266409263</v>
      </c>
      <c r="I58" s="809">
        <f t="shared" si="7"/>
        <v>-225072.97002654441</v>
      </c>
      <c r="J58" s="817">
        <f t="shared" si="8"/>
        <v>-54840.18938623232</v>
      </c>
      <c r="K58" s="809">
        <f t="shared" si="2"/>
        <v>-279913.1594127767</v>
      </c>
      <c r="L58" s="791">
        <f t="shared" ref="L58:L86" si="11">IF(C58=0,$E$4,H58+J58)</f>
        <v>46916910.077023029</v>
      </c>
    </row>
    <row r="59" spans="3:12">
      <c r="C59" s="814">
        <f t="shared" si="9"/>
        <v>33</v>
      </c>
      <c r="D59" s="815">
        <f t="shared" ref="D59:D86" si="12">EOMONTH($E$5,C59-1)</f>
        <v>50951</v>
      </c>
      <c r="E59" s="800">
        <f t="shared" si="5"/>
        <v>3</v>
      </c>
      <c r="F59" s="800">
        <f t="shared" si="10"/>
        <v>3</v>
      </c>
      <c r="G59" s="816">
        <f>IF($E$12="NO",G58+1,
IF(OR(D59&lt;$F$8,D59&gt;$F$9),MAX($G$26:G58)+1,""))</f>
        <v>21</v>
      </c>
      <c r="H59" s="809">
        <f t="shared" ref="H59:H86" si="13">IF(OR(E59&gt;$E$6,C59&gt;$E$14),0,L58)</f>
        <v>46916910.077023029</v>
      </c>
      <c r="I59" s="809">
        <f t="shared" ref="I59:I86" si="14">IF(OR(E59&gt;$E$6*12,C59&gt;$E$14),0,-H59*$E$10/12)</f>
        <v>-224810.19411906868</v>
      </c>
      <c r="J59" s="817">
        <f t="shared" ref="J59:J86" si="15">IF(OR(E59&gt;$E$6,C59&gt;$E$14),0,
IF(AND($E$8&lt;&gt;OR(0,""),$E$9&lt;&gt;OR(0,""),C59&gt;=$E$8,C59&lt;=$E$9),0,PPMT($E$10/12,IF($E$12="YES",G59,C59),$E$7,$E$4)))</f>
        <v>-55102.965293708003</v>
      </c>
      <c r="K59" s="809">
        <f t="shared" si="2"/>
        <v>-279913.1594127767</v>
      </c>
      <c r="L59" s="791">
        <f t="shared" si="11"/>
        <v>46861807.111729324</v>
      </c>
    </row>
    <row r="60" spans="3:12">
      <c r="C60" s="814">
        <f t="shared" si="9"/>
        <v>34</v>
      </c>
      <c r="D60" s="815">
        <f t="shared" si="12"/>
        <v>50982</v>
      </c>
      <c r="E60" s="800">
        <f t="shared" si="5"/>
        <v>3</v>
      </c>
      <c r="F60" s="800">
        <f t="shared" si="10"/>
        <v>4</v>
      </c>
      <c r="G60" s="816">
        <f>IF($E$12="NO",G59+1,
IF(OR(D60&lt;$F$8,D60&gt;$F$9),MAX($G$26:G59)+1,""))</f>
        <v>22</v>
      </c>
      <c r="H60" s="809">
        <f t="shared" si="13"/>
        <v>46861807.111729324</v>
      </c>
      <c r="I60" s="809">
        <f t="shared" si="14"/>
        <v>-224546.15907703634</v>
      </c>
      <c r="J60" s="817">
        <f t="shared" si="15"/>
        <v>-55367.000335740355</v>
      </c>
      <c r="K60" s="809">
        <f t="shared" si="2"/>
        <v>-279913.1594127767</v>
      </c>
      <c r="L60" s="791">
        <f t="shared" si="11"/>
        <v>46806440.111393586</v>
      </c>
    </row>
    <row r="61" spans="3:12">
      <c r="C61" s="814">
        <f t="shared" si="9"/>
        <v>35</v>
      </c>
      <c r="D61" s="815">
        <f t="shared" si="12"/>
        <v>51013</v>
      </c>
      <c r="E61" s="800">
        <f t="shared" si="5"/>
        <v>3</v>
      </c>
      <c r="F61" s="800">
        <f t="shared" si="10"/>
        <v>4</v>
      </c>
      <c r="G61" s="816">
        <f>IF($E$12="NO",G60+1,
IF(OR(D61&lt;$F$8,D61&gt;$F$9),MAX($G$26:G60)+1,""))</f>
        <v>23</v>
      </c>
      <c r="H61" s="809">
        <f t="shared" si="13"/>
        <v>46806440.111393586</v>
      </c>
      <c r="I61" s="809">
        <f t="shared" si="14"/>
        <v>-224280.85886709427</v>
      </c>
      <c r="J61" s="817">
        <f t="shared" si="15"/>
        <v>-55632.300545682447</v>
      </c>
      <c r="K61" s="809">
        <f t="shared" si="2"/>
        <v>-279913.1594127767</v>
      </c>
      <c r="L61" s="791">
        <f t="shared" si="11"/>
        <v>46750807.810847901</v>
      </c>
    </row>
    <row r="62" spans="3:12">
      <c r="C62" s="814">
        <f t="shared" si="9"/>
        <v>36</v>
      </c>
      <c r="D62" s="815">
        <f t="shared" si="12"/>
        <v>51043</v>
      </c>
      <c r="E62" s="800">
        <f t="shared" si="5"/>
        <v>3</v>
      </c>
      <c r="F62" s="800">
        <f t="shared" si="10"/>
        <v>4</v>
      </c>
      <c r="G62" s="816">
        <f>IF($E$12="NO",G61+1,
IF(OR(D62&lt;$F$8,D62&gt;$F$9),MAX($G$26:G61)+1,""))</f>
        <v>24</v>
      </c>
      <c r="H62" s="809">
        <f t="shared" si="13"/>
        <v>46750807.810847901</v>
      </c>
      <c r="I62" s="809">
        <f t="shared" si="14"/>
        <v>-224014.28742697954</v>
      </c>
      <c r="J62" s="817">
        <f t="shared" si="15"/>
        <v>-55898.871985797174</v>
      </c>
      <c r="K62" s="809">
        <f t="shared" si="2"/>
        <v>-279913.1594127767</v>
      </c>
      <c r="L62" s="791">
        <f t="shared" si="11"/>
        <v>46694908.9388621</v>
      </c>
    </row>
    <row r="63" spans="3:12">
      <c r="C63" s="814">
        <f t="shared" si="9"/>
        <v>37</v>
      </c>
      <c r="D63" s="815">
        <f t="shared" si="12"/>
        <v>51074</v>
      </c>
      <c r="E63" s="800">
        <f t="shared" si="5"/>
        <v>4</v>
      </c>
      <c r="F63" s="800">
        <f t="shared" si="10"/>
        <v>1</v>
      </c>
      <c r="G63" s="816">
        <f>IF($E$12="NO",G62+1,
IF(OR(D63&lt;$F$8,D63&gt;$F$9),MAX($G$26:G62)+1,""))</f>
        <v>25</v>
      </c>
      <c r="H63" s="809">
        <f t="shared" si="13"/>
        <v>46694908.9388621</v>
      </c>
      <c r="I63" s="809">
        <f t="shared" si="14"/>
        <v>-223746.43866538091</v>
      </c>
      <c r="J63" s="817">
        <f t="shared" si="15"/>
        <v>-56166.72074739579</v>
      </c>
      <c r="K63" s="809">
        <f t="shared" si="2"/>
        <v>-279913.1594127767</v>
      </c>
      <c r="L63" s="791">
        <f t="shared" si="11"/>
        <v>46638742.218114704</v>
      </c>
    </row>
    <row r="64" spans="3:12">
      <c r="C64" s="814">
        <f t="shared" si="9"/>
        <v>38</v>
      </c>
      <c r="D64" s="815">
        <f t="shared" si="12"/>
        <v>51104</v>
      </c>
      <c r="E64" s="800">
        <f t="shared" si="5"/>
        <v>4</v>
      </c>
      <c r="F64" s="800">
        <f t="shared" si="10"/>
        <v>1</v>
      </c>
      <c r="G64" s="816">
        <f>IF($E$12="NO",G63+1,
IF(OR(D64&lt;$F$8,D64&gt;$F$9),MAX($G$26:G63)+1,""))</f>
        <v>26</v>
      </c>
      <c r="H64" s="809">
        <f t="shared" si="13"/>
        <v>46638742.218114704</v>
      </c>
      <c r="I64" s="809">
        <f t="shared" si="14"/>
        <v>-223477.30646179963</v>
      </c>
      <c r="J64" s="817">
        <f t="shared" si="15"/>
        <v>-56435.852950977052</v>
      </c>
      <c r="K64" s="809">
        <f t="shared" si="2"/>
        <v>-279913.1594127767</v>
      </c>
      <c r="L64" s="791">
        <f t="shared" si="11"/>
        <v>46582306.365163729</v>
      </c>
    </row>
    <row r="65" spans="3:12">
      <c r="C65" s="814">
        <f t="shared" si="9"/>
        <v>39</v>
      </c>
      <c r="D65" s="815">
        <f t="shared" si="12"/>
        <v>51135</v>
      </c>
      <c r="E65" s="800">
        <f t="shared" si="5"/>
        <v>4</v>
      </c>
      <c r="F65" s="800">
        <f t="shared" si="10"/>
        <v>1</v>
      </c>
      <c r="G65" s="816">
        <f>IF($E$12="NO",G64+1,
IF(OR(D65&lt;$F$8,D65&gt;$F$9),MAX($G$26:G64)+1,""))</f>
        <v>27</v>
      </c>
      <c r="H65" s="809">
        <f t="shared" si="13"/>
        <v>46582306.365163729</v>
      </c>
      <c r="I65" s="809">
        <f t="shared" si="14"/>
        <v>-223206.88466640955</v>
      </c>
      <c r="J65" s="817">
        <f t="shared" si="15"/>
        <v>-56706.274746367148</v>
      </c>
      <c r="K65" s="809">
        <f t="shared" si="2"/>
        <v>-279913.1594127767</v>
      </c>
      <c r="L65" s="791">
        <f t="shared" si="11"/>
        <v>46525600.090417363</v>
      </c>
    </row>
    <row r="66" spans="3:12">
      <c r="C66" s="814">
        <f t="shared" si="9"/>
        <v>40</v>
      </c>
      <c r="D66" s="815">
        <f t="shared" si="12"/>
        <v>51166</v>
      </c>
      <c r="E66" s="800">
        <f t="shared" si="5"/>
        <v>4</v>
      </c>
      <c r="F66" s="800">
        <f t="shared" si="10"/>
        <v>2</v>
      </c>
      <c r="G66" s="816">
        <f>IF($E$12="NO",G65+1,
IF(OR(D66&lt;$F$8,D66&gt;$F$9),MAX($G$26:G65)+1,""))</f>
        <v>28</v>
      </c>
      <c r="H66" s="809">
        <f t="shared" si="13"/>
        <v>46525600.090417363</v>
      </c>
      <c r="I66" s="809">
        <f t="shared" si="14"/>
        <v>-222935.16709991652</v>
      </c>
      <c r="J66" s="817">
        <f t="shared" si="15"/>
        <v>-56977.992312860166</v>
      </c>
      <c r="K66" s="809">
        <f t="shared" si="2"/>
        <v>-279913.1594127767</v>
      </c>
      <c r="L66" s="791">
        <f t="shared" si="11"/>
        <v>46468622.098104499</v>
      </c>
    </row>
    <row r="67" spans="3:12">
      <c r="C67" s="814">
        <f t="shared" si="9"/>
        <v>41</v>
      </c>
      <c r="D67" s="815">
        <f t="shared" si="12"/>
        <v>51195</v>
      </c>
      <c r="E67" s="800">
        <f t="shared" si="5"/>
        <v>4</v>
      </c>
      <c r="F67" s="800">
        <f t="shared" si="10"/>
        <v>2</v>
      </c>
      <c r="G67" s="816">
        <f>IF($E$12="NO",G66+1,
IF(OR(D67&lt;$F$8,D67&gt;$F$9),MAX($G$26:G66)+1,""))</f>
        <v>29</v>
      </c>
      <c r="H67" s="809">
        <f t="shared" si="13"/>
        <v>46468622.098104499</v>
      </c>
      <c r="I67" s="809">
        <f t="shared" si="14"/>
        <v>-222662.1475534174</v>
      </c>
      <c r="J67" s="817">
        <f t="shared" si="15"/>
        <v>-57251.011859359285</v>
      </c>
      <c r="K67" s="809">
        <f t="shared" si="2"/>
        <v>-279913.1594127767</v>
      </c>
      <c r="L67" s="791">
        <f t="shared" si="11"/>
        <v>46411371.086245142</v>
      </c>
    </row>
    <row r="68" spans="3:12">
      <c r="C68" s="814">
        <f t="shared" si="9"/>
        <v>42</v>
      </c>
      <c r="D68" s="815">
        <f t="shared" si="12"/>
        <v>51226</v>
      </c>
      <c r="E68" s="800">
        <f t="shared" si="5"/>
        <v>4</v>
      </c>
      <c r="F68" s="800">
        <f t="shared" si="10"/>
        <v>2</v>
      </c>
      <c r="G68" s="816">
        <f>IF($E$12="NO",G67+1,
IF(OR(D68&lt;$F$8,D68&gt;$F$9),MAX($G$26:G67)+1,""))</f>
        <v>30</v>
      </c>
      <c r="H68" s="809">
        <f t="shared" si="13"/>
        <v>46411371.086245142</v>
      </c>
      <c r="I68" s="809">
        <f t="shared" si="14"/>
        <v>-222387.81978825797</v>
      </c>
      <c r="J68" s="817">
        <f t="shared" si="15"/>
        <v>-57525.339624518718</v>
      </c>
      <c r="K68" s="809">
        <f t="shared" si="2"/>
        <v>-279913.1594127767</v>
      </c>
      <c r="L68" s="791">
        <f t="shared" si="11"/>
        <v>46353845.746620625</v>
      </c>
    </row>
    <row r="69" spans="3:12">
      <c r="C69" s="814">
        <f t="shared" si="9"/>
        <v>43</v>
      </c>
      <c r="D69" s="815">
        <f t="shared" si="12"/>
        <v>51256</v>
      </c>
      <c r="E69" s="800">
        <f t="shared" si="5"/>
        <v>4</v>
      </c>
      <c r="F69" s="800">
        <f t="shared" si="10"/>
        <v>3</v>
      </c>
      <c r="G69" s="816">
        <f>IF($E$12="NO",G68+1,
IF(OR(D69&lt;$F$8,D69&gt;$F$9),MAX($G$26:G68)+1,""))</f>
        <v>31</v>
      </c>
      <c r="H69" s="809">
        <f t="shared" si="13"/>
        <v>46353845.746620625</v>
      </c>
      <c r="I69" s="809">
        <f t="shared" si="14"/>
        <v>-222112.17753589051</v>
      </c>
      <c r="J69" s="817">
        <f t="shared" si="15"/>
        <v>-57800.981876886202</v>
      </c>
      <c r="K69" s="809">
        <f t="shared" si="2"/>
        <v>-279913.1594127767</v>
      </c>
      <c r="L69" s="791">
        <f t="shared" si="11"/>
        <v>46296044.764743738</v>
      </c>
    </row>
    <row r="70" spans="3:12">
      <c r="C70" s="814">
        <f t="shared" si="9"/>
        <v>44</v>
      </c>
      <c r="D70" s="815">
        <f t="shared" si="12"/>
        <v>51287</v>
      </c>
      <c r="E70" s="800">
        <f t="shared" si="5"/>
        <v>4</v>
      </c>
      <c r="F70" s="800">
        <f t="shared" si="10"/>
        <v>3</v>
      </c>
      <c r="G70" s="816">
        <f>IF($E$12="NO",G69+1,
IF(OR(D70&lt;$F$8,D70&gt;$F$9),MAX($G$26:G69)+1,""))</f>
        <v>32</v>
      </c>
      <c r="H70" s="809">
        <f t="shared" si="13"/>
        <v>46296044.764743738</v>
      </c>
      <c r="I70" s="809">
        <f t="shared" si="14"/>
        <v>-221835.2144977304</v>
      </c>
      <c r="J70" s="817">
        <f t="shared" si="15"/>
        <v>-58077.944915046282</v>
      </c>
      <c r="K70" s="809">
        <f t="shared" si="2"/>
        <v>-279913.1594127767</v>
      </c>
      <c r="L70" s="791">
        <f t="shared" si="11"/>
        <v>46237966.819828689</v>
      </c>
    </row>
    <row r="71" spans="3:12">
      <c r="C71" s="814">
        <f t="shared" si="9"/>
        <v>45</v>
      </c>
      <c r="D71" s="815">
        <f t="shared" si="12"/>
        <v>51317</v>
      </c>
      <c r="E71" s="800">
        <f t="shared" si="5"/>
        <v>4</v>
      </c>
      <c r="F71" s="800">
        <f t="shared" si="10"/>
        <v>3</v>
      </c>
      <c r="G71" s="816">
        <f>IF($E$12="NO",G70+1,
IF(OR(D71&lt;$F$8,D71&gt;$F$9),MAX($G$26:G70)+1,""))</f>
        <v>33</v>
      </c>
      <c r="H71" s="809">
        <f t="shared" si="13"/>
        <v>46237966.819828689</v>
      </c>
      <c r="I71" s="809">
        <f t="shared" si="14"/>
        <v>-221556.92434501249</v>
      </c>
      <c r="J71" s="817">
        <f t="shared" si="15"/>
        <v>-58356.235067764203</v>
      </c>
      <c r="K71" s="809">
        <f t="shared" si="2"/>
        <v>-279913.1594127767</v>
      </c>
      <c r="L71" s="791">
        <f t="shared" si="11"/>
        <v>46179610.584760927</v>
      </c>
    </row>
    <row r="72" spans="3:12">
      <c r="C72" s="814">
        <f t="shared" si="9"/>
        <v>46</v>
      </c>
      <c r="D72" s="815">
        <f t="shared" si="12"/>
        <v>51348</v>
      </c>
      <c r="E72" s="800">
        <f t="shared" si="5"/>
        <v>4</v>
      </c>
      <c r="F72" s="800">
        <f t="shared" si="10"/>
        <v>4</v>
      </c>
      <c r="G72" s="816">
        <f>IF($E$12="NO",G71+1,
IF(OR(D72&lt;$F$8,D72&gt;$F$9),MAX($G$26:G71)+1,""))</f>
        <v>34</v>
      </c>
      <c r="H72" s="809">
        <f t="shared" si="13"/>
        <v>46179610.584760927</v>
      </c>
      <c r="I72" s="809">
        <f t="shared" si="14"/>
        <v>-221277.30071864612</v>
      </c>
      <c r="J72" s="817">
        <f t="shared" si="15"/>
        <v>-58635.858694130577</v>
      </c>
      <c r="K72" s="809">
        <f t="shared" si="2"/>
        <v>-279913.1594127767</v>
      </c>
      <c r="L72" s="791">
        <f t="shared" si="11"/>
        <v>46120974.726066798</v>
      </c>
    </row>
    <row r="73" spans="3:12">
      <c r="C73" s="814">
        <f t="shared" si="9"/>
        <v>47</v>
      </c>
      <c r="D73" s="815">
        <f t="shared" si="12"/>
        <v>51379</v>
      </c>
      <c r="E73" s="800">
        <f t="shared" si="5"/>
        <v>4</v>
      </c>
      <c r="F73" s="800">
        <f t="shared" si="10"/>
        <v>4</v>
      </c>
      <c r="G73" s="816">
        <f>IF($E$12="NO",G72+1,
IF(OR(D73&lt;$F$8,D73&gt;$F$9),MAX($G$26:G72)+1,""))</f>
        <v>35</v>
      </c>
      <c r="H73" s="809">
        <f t="shared" si="13"/>
        <v>46120974.726066798</v>
      </c>
      <c r="I73" s="809">
        <f t="shared" si="14"/>
        <v>-220996.33722907011</v>
      </c>
      <c r="J73" s="817">
        <f t="shared" si="15"/>
        <v>-58916.822183706623</v>
      </c>
      <c r="K73" s="809">
        <f t="shared" si="2"/>
        <v>-279913.1594127767</v>
      </c>
      <c r="L73" s="791">
        <f t="shared" si="11"/>
        <v>46062057.903883092</v>
      </c>
    </row>
    <row r="74" spans="3:12">
      <c r="C74" s="814">
        <f t="shared" si="9"/>
        <v>48</v>
      </c>
      <c r="D74" s="815">
        <f t="shared" si="12"/>
        <v>51409</v>
      </c>
      <c r="E74" s="800">
        <f t="shared" si="5"/>
        <v>4</v>
      </c>
      <c r="F74" s="800">
        <f t="shared" si="10"/>
        <v>4</v>
      </c>
      <c r="G74" s="816">
        <f>IF($E$12="NO",G73+1,
IF(OR(D74&lt;$F$8,D74&gt;$F$9),MAX($G$26:G73)+1,""))</f>
        <v>36</v>
      </c>
      <c r="H74" s="809">
        <f t="shared" si="13"/>
        <v>46062057.903883092</v>
      </c>
      <c r="I74" s="809">
        <f t="shared" si="14"/>
        <v>-220714.0274561065</v>
      </c>
      <c r="J74" s="817">
        <f t="shared" si="15"/>
        <v>-59199.131956670215</v>
      </c>
      <c r="K74" s="809">
        <f t="shared" si="2"/>
        <v>-279913.1594127767</v>
      </c>
      <c r="L74" s="791">
        <f t="shared" si="11"/>
        <v>46002858.771926425</v>
      </c>
    </row>
    <row r="75" spans="3:12">
      <c r="C75" s="814">
        <f t="shared" si="9"/>
        <v>49</v>
      </c>
      <c r="D75" s="815">
        <f t="shared" si="12"/>
        <v>51440</v>
      </c>
      <c r="E75" s="800">
        <f t="shared" si="5"/>
        <v>5</v>
      </c>
      <c r="F75" s="800">
        <f t="shared" si="10"/>
        <v>1</v>
      </c>
      <c r="G75" s="816">
        <f>IF($E$12="NO",G74+1,
IF(OR(D75&lt;$F$8,D75&gt;$F$9),MAX($G$26:G74)+1,""))</f>
        <v>37</v>
      </c>
      <c r="H75" s="809">
        <f t="shared" si="13"/>
        <v>46002858.771926425</v>
      </c>
      <c r="I75" s="809">
        <f t="shared" si="14"/>
        <v>-220430.36494881412</v>
      </c>
      <c r="J75" s="817">
        <f t="shared" si="15"/>
        <v>-59482.7944639626</v>
      </c>
      <c r="K75" s="809">
        <f t="shared" si="2"/>
        <v>-279913.1594127767</v>
      </c>
      <c r="L75" s="791">
        <f t="shared" si="11"/>
        <v>45943375.977462463</v>
      </c>
    </row>
    <row r="76" spans="3:12">
      <c r="C76" s="814">
        <f t="shared" si="9"/>
        <v>50</v>
      </c>
      <c r="D76" s="815">
        <f t="shared" si="12"/>
        <v>51470</v>
      </c>
      <c r="E76" s="800">
        <f t="shared" si="5"/>
        <v>5</v>
      </c>
      <c r="F76" s="800">
        <f t="shared" si="10"/>
        <v>1</v>
      </c>
      <c r="G76" s="816">
        <f>IF($E$12="NO",G75+1,
IF(OR(D76&lt;$F$8,D76&gt;$F$9),MAX($G$26:G75)+1,""))</f>
        <v>38</v>
      </c>
      <c r="H76" s="809">
        <f t="shared" si="13"/>
        <v>45943375.977462463</v>
      </c>
      <c r="I76" s="809">
        <f t="shared" si="14"/>
        <v>-220145.34322534097</v>
      </c>
      <c r="J76" s="817">
        <f t="shared" si="15"/>
        <v>-59767.816187435754</v>
      </c>
      <c r="K76" s="809">
        <f t="shared" si="2"/>
        <v>-279913.1594127767</v>
      </c>
      <c r="L76" s="791">
        <f t="shared" si="11"/>
        <v>45883608.161275029</v>
      </c>
    </row>
    <row r="77" spans="3:12">
      <c r="C77" s="814">
        <f t="shared" si="9"/>
        <v>51</v>
      </c>
      <c r="D77" s="815">
        <f t="shared" si="12"/>
        <v>51501</v>
      </c>
      <c r="E77" s="800">
        <f t="shared" si="5"/>
        <v>5</v>
      </c>
      <c r="F77" s="800">
        <f t="shared" si="10"/>
        <v>1</v>
      </c>
      <c r="G77" s="816">
        <f>IF($E$12="NO",G76+1,
IF(OR(D77&lt;$F$8,D77&gt;$F$9),MAX($G$26:G76)+1,""))</f>
        <v>39</v>
      </c>
      <c r="H77" s="809">
        <f t="shared" si="13"/>
        <v>45883608.161275029</v>
      </c>
      <c r="I77" s="809">
        <f t="shared" si="14"/>
        <v>-219858.95577277619</v>
      </c>
      <c r="J77" s="817">
        <f t="shared" si="15"/>
        <v>-60054.203640000538</v>
      </c>
      <c r="K77" s="809">
        <f t="shared" si="2"/>
        <v>-279913.1594127767</v>
      </c>
      <c r="L77" s="791">
        <f t="shared" si="11"/>
        <v>45823553.95763503</v>
      </c>
    </row>
    <row r="78" spans="3:12">
      <c r="C78" s="814">
        <f t="shared" si="9"/>
        <v>52</v>
      </c>
      <c r="D78" s="815">
        <f t="shared" si="12"/>
        <v>51532</v>
      </c>
      <c r="E78" s="800">
        <f t="shared" si="5"/>
        <v>5</v>
      </c>
      <c r="F78" s="800">
        <f t="shared" si="10"/>
        <v>2</v>
      </c>
      <c r="G78" s="816">
        <f>IF($E$12="NO",G77+1,
IF(OR(D78&lt;$F$8,D78&gt;$F$9),MAX($G$26:G77)+1,""))</f>
        <v>40</v>
      </c>
      <c r="H78" s="809">
        <f t="shared" si="13"/>
        <v>45823553.95763503</v>
      </c>
      <c r="I78" s="809">
        <f t="shared" si="14"/>
        <v>-219571.1960470012</v>
      </c>
      <c r="J78" s="817">
        <f t="shared" si="15"/>
        <v>-60341.963365775548</v>
      </c>
      <c r="K78" s="809">
        <f t="shared" si="2"/>
        <v>-279913.15941277676</v>
      </c>
      <c r="L78" s="791">
        <f t="shared" si="11"/>
        <v>45763211.994269252</v>
      </c>
    </row>
    <row r="79" spans="3:12">
      <c r="C79" s="814">
        <f t="shared" si="9"/>
        <v>53</v>
      </c>
      <c r="D79" s="815">
        <f t="shared" si="12"/>
        <v>51560</v>
      </c>
      <c r="E79" s="800">
        <f t="shared" si="5"/>
        <v>5</v>
      </c>
      <c r="F79" s="800">
        <f t="shared" si="10"/>
        <v>2</v>
      </c>
      <c r="G79" s="816">
        <f>IF($E$12="NO",G78+1,
IF(OR(D79&lt;$F$8,D79&gt;$F$9),MAX($G$26:G78)+1,""))</f>
        <v>41</v>
      </c>
      <c r="H79" s="809">
        <f t="shared" si="13"/>
        <v>45763211.994269252</v>
      </c>
      <c r="I79" s="809">
        <f t="shared" si="14"/>
        <v>-219282.05747254018</v>
      </c>
      <c r="J79" s="817">
        <f t="shared" si="15"/>
        <v>-60631.101940236556</v>
      </c>
      <c r="K79" s="809">
        <f t="shared" si="2"/>
        <v>-279913.15941277676</v>
      </c>
      <c r="L79" s="791">
        <f t="shared" si="11"/>
        <v>45702580.892329015</v>
      </c>
    </row>
    <row r="80" spans="3:12">
      <c r="C80" s="814">
        <f t="shared" si="9"/>
        <v>54</v>
      </c>
      <c r="D80" s="815">
        <f t="shared" si="12"/>
        <v>51591</v>
      </c>
      <c r="E80" s="800">
        <f t="shared" si="5"/>
        <v>5</v>
      </c>
      <c r="F80" s="800">
        <f t="shared" si="10"/>
        <v>2</v>
      </c>
      <c r="G80" s="816">
        <f>IF($E$12="NO",G79+1,
IF(OR(D80&lt;$F$8,D80&gt;$F$9),MAX($G$26:G79)+1,""))</f>
        <v>42</v>
      </c>
      <c r="H80" s="809">
        <f t="shared" si="13"/>
        <v>45702580.892329015</v>
      </c>
      <c r="I80" s="809">
        <f t="shared" si="14"/>
        <v>-218991.53344240985</v>
      </c>
      <c r="J80" s="817">
        <f t="shared" si="15"/>
        <v>-60921.625970366847</v>
      </c>
      <c r="K80" s="809">
        <f t="shared" si="2"/>
        <v>-279913.1594127767</v>
      </c>
      <c r="L80" s="791">
        <f t="shared" si="11"/>
        <v>45641659.266358651</v>
      </c>
    </row>
    <row r="81" spans="3:12">
      <c r="C81" s="814">
        <f t="shared" si="9"/>
        <v>55</v>
      </c>
      <c r="D81" s="815">
        <f t="shared" si="12"/>
        <v>51621</v>
      </c>
      <c r="E81" s="800">
        <f t="shared" si="5"/>
        <v>5</v>
      </c>
      <c r="F81" s="800">
        <f t="shared" si="10"/>
        <v>3</v>
      </c>
      <c r="G81" s="816">
        <f>IF($E$12="NO",G80+1,
IF(OR(D81&lt;$F$8,D81&gt;$F$9),MAX($G$26:G80)+1,""))</f>
        <v>43</v>
      </c>
      <c r="H81" s="809">
        <f t="shared" si="13"/>
        <v>45641659.266358651</v>
      </c>
      <c r="I81" s="809">
        <f t="shared" si="14"/>
        <v>-218699.61731796854</v>
      </c>
      <c r="J81" s="817">
        <f t="shared" si="15"/>
        <v>-61213.542094808196</v>
      </c>
      <c r="K81" s="809">
        <f t="shared" si="2"/>
        <v>-279913.15941277676</v>
      </c>
      <c r="L81" s="791">
        <f t="shared" si="11"/>
        <v>45580445.724263839</v>
      </c>
    </row>
    <row r="82" spans="3:12">
      <c r="C82" s="814">
        <f t="shared" si="9"/>
        <v>56</v>
      </c>
      <c r="D82" s="815">
        <f t="shared" si="12"/>
        <v>51652</v>
      </c>
      <c r="E82" s="800">
        <f t="shared" si="5"/>
        <v>5</v>
      </c>
      <c r="F82" s="800">
        <f t="shared" si="10"/>
        <v>3</v>
      </c>
      <c r="G82" s="816">
        <f>IF($E$12="NO",G81+1,
IF(OR(D82&lt;$F$8,D82&gt;$F$9),MAX($G$26:G81)+1,""))</f>
        <v>44</v>
      </c>
      <c r="H82" s="809">
        <f t="shared" si="13"/>
        <v>45580445.724263839</v>
      </c>
      <c r="I82" s="809">
        <f t="shared" si="14"/>
        <v>-218406.30242876426</v>
      </c>
      <c r="J82" s="817">
        <f t="shared" si="15"/>
        <v>-61506.856984012491</v>
      </c>
      <c r="K82" s="809">
        <f t="shared" si="2"/>
        <v>-279913.15941277676</v>
      </c>
      <c r="L82" s="791">
        <f t="shared" si="11"/>
        <v>45518938.867279828</v>
      </c>
    </row>
    <row r="83" spans="3:12">
      <c r="C83" s="814">
        <f t="shared" si="9"/>
        <v>57</v>
      </c>
      <c r="D83" s="815">
        <f t="shared" si="12"/>
        <v>51682</v>
      </c>
      <c r="E83" s="800">
        <f t="shared" si="5"/>
        <v>5</v>
      </c>
      <c r="F83" s="800">
        <f t="shared" si="10"/>
        <v>3</v>
      </c>
      <c r="G83" s="816">
        <f>IF($E$12="NO",G82+1,
IF(OR(D83&lt;$F$8,D83&gt;$F$9),MAX($G$26:G82)+1,""))</f>
        <v>45</v>
      </c>
      <c r="H83" s="809">
        <f t="shared" si="13"/>
        <v>45518938.867279828</v>
      </c>
      <c r="I83" s="809">
        <f t="shared" si="14"/>
        <v>-218111.58207238253</v>
      </c>
      <c r="J83" s="817">
        <f t="shared" si="15"/>
        <v>-61801.577340394208</v>
      </c>
      <c r="K83" s="809">
        <f t="shared" si="2"/>
        <v>-279913.15941277676</v>
      </c>
      <c r="L83" s="791">
        <f t="shared" si="11"/>
        <v>45457137.289939433</v>
      </c>
    </row>
    <row r="84" spans="3:12">
      <c r="C84" s="814">
        <f t="shared" si="9"/>
        <v>58</v>
      </c>
      <c r="D84" s="815">
        <f t="shared" si="12"/>
        <v>51713</v>
      </c>
      <c r="E84" s="800">
        <f t="shared" si="5"/>
        <v>5</v>
      </c>
      <c r="F84" s="800">
        <f t="shared" si="10"/>
        <v>4</v>
      </c>
      <c r="G84" s="816">
        <f>IF($E$12="NO",G83+1,
IF(OR(D84&lt;$F$8,D84&gt;$F$9),MAX($G$26:G83)+1,""))</f>
        <v>46</v>
      </c>
      <c r="H84" s="809">
        <f t="shared" si="13"/>
        <v>45457137.289939433</v>
      </c>
      <c r="I84" s="809">
        <f t="shared" si="14"/>
        <v>-217815.44951429311</v>
      </c>
      <c r="J84" s="817">
        <f t="shared" si="15"/>
        <v>-62097.709898483597</v>
      </c>
      <c r="K84" s="809">
        <f t="shared" si="2"/>
        <v>-279913.1594127767</v>
      </c>
      <c r="L84" s="791">
        <f t="shared" si="11"/>
        <v>45395039.580040947</v>
      </c>
    </row>
    <row r="85" spans="3:12">
      <c r="C85" s="814">
        <f t="shared" si="9"/>
        <v>59</v>
      </c>
      <c r="D85" s="815">
        <f t="shared" si="12"/>
        <v>51744</v>
      </c>
      <c r="E85" s="800">
        <f t="shared" si="5"/>
        <v>5</v>
      </c>
      <c r="F85" s="800">
        <f t="shared" si="10"/>
        <v>4</v>
      </c>
      <c r="G85" s="816">
        <f>IF($E$12="NO",G84+1,
IF(OR(D85&lt;$F$8,D85&gt;$F$9),MAX($G$26:G84)+1,""))</f>
        <v>47</v>
      </c>
      <c r="H85" s="809">
        <f t="shared" si="13"/>
        <v>45395039.580040947</v>
      </c>
      <c r="I85" s="809">
        <f t="shared" si="14"/>
        <v>-217517.89798769623</v>
      </c>
      <c r="J85" s="817">
        <f t="shared" si="15"/>
        <v>-62395.261425080513</v>
      </c>
      <c r="K85" s="809">
        <f t="shared" si="2"/>
        <v>-279913.15941277676</v>
      </c>
      <c r="L85" s="791">
        <f t="shared" si="11"/>
        <v>45332644.318615869</v>
      </c>
    </row>
    <row r="86" spans="3:12">
      <c r="C86" s="818">
        <f t="shared" si="9"/>
        <v>60</v>
      </c>
      <c r="D86" s="819">
        <f t="shared" si="12"/>
        <v>51774</v>
      </c>
      <c r="E86" s="820">
        <f t="shared" si="5"/>
        <v>5</v>
      </c>
      <c r="F86" s="821">
        <f t="shared" si="10"/>
        <v>4</v>
      </c>
      <c r="G86" s="821">
        <f>IF($E$12="NO",G85+1,
IF(OR(D86&lt;$F$8,D86&gt;$F$9),MAX($G$26:G85)+1,""))</f>
        <v>48</v>
      </c>
      <c r="H86" s="810">
        <f t="shared" si="13"/>
        <v>45332644.318615869</v>
      </c>
      <c r="I86" s="810">
        <f t="shared" si="14"/>
        <v>-217218.92069336772</v>
      </c>
      <c r="J86" s="822">
        <f t="shared" si="15"/>
        <v>-62694.238719409012</v>
      </c>
      <c r="K86" s="810">
        <f t="shared" si="2"/>
        <v>-279913.1594127767</v>
      </c>
      <c r="L86" s="808">
        <f t="shared" si="11"/>
        <v>45269950.079896457</v>
      </c>
    </row>
  </sheetData>
  <conditionalFormatting sqref="F10">
    <cfRule type="expression" dxfId="29" priority="2">
      <formula>#REF!=#REF!</formula>
    </cfRule>
  </conditionalFormatting>
  <conditionalFormatting sqref="E10:E11">
    <cfRule type="expression" dxfId="28" priority="1">
      <formula>#REF!=#REF!</formula>
    </cfRule>
  </conditionalFormatting>
  <dataValidations count="1">
    <dataValidation type="list" allowBlank="1" showInputMessage="1" showErrorMessage="1" sqref="E12:F12" xr:uid="{1B4EC033-94D6-4A5C-BECD-4B0AEE3E4B13}">
      <formula1>"YES, NO"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A1:AT89"/>
  <sheetViews>
    <sheetView showGridLines="0" topLeftCell="A16" zoomScale="40" zoomScaleNormal="40" zoomScaleSheetLayoutView="90" workbookViewId="0">
      <selection activeCell="G93" sqref="G93"/>
    </sheetView>
  </sheetViews>
  <sheetFormatPr defaultColWidth="8.85546875" defaultRowHeight="23.25" customHeight="1"/>
  <cols>
    <col min="1" max="1" width="36.42578125" style="1" customWidth="1"/>
    <col min="2" max="2" width="30.5703125" style="1" customWidth="1"/>
    <col min="3" max="6" width="35.5703125" style="1" customWidth="1"/>
    <col min="7" max="7" width="44.85546875" style="1" bestFit="1" customWidth="1"/>
    <col min="8" max="8" width="35.5703125" style="1" customWidth="1"/>
    <col min="9" max="9" width="40.42578125" style="1" bestFit="1" customWidth="1"/>
    <col min="10" max="46" width="35.5703125" style="1" customWidth="1"/>
    <col min="47" max="16384" width="8.85546875" style="1"/>
  </cols>
  <sheetData>
    <row r="1" spans="1:13" ht="23.25" customHeight="1">
      <c r="A1" s="1061" t="s">
        <v>135</v>
      </c>
      <c r="B1" s="1061"/>
      <c r="C1" s="1061"/>
      <c r="D1" s="1061"/>
      <c r="E1" s="1061"/>
      <c r="F1" s="1061"/>
      <c r="G1" s="1061"/>
    </row>
    <row r="2" spans="1:13" ht="39.950000000000003" customHeight="1" thickBot="1">
      <c r="A2" s="436" t="s">
        <v>136</v>
      </c>
      <c r="B2" s="1065" t="s">
        <v>137</v>
      </c>
      <c r="C2" s="1065"/>
      <c r="D2" s="437" t="s">
        <v>138</v>
      </c>
      <c r="E2" s="437" t="s">
        <v>139</v>
      </c>
      <c r="F2" s="437" t="s">
        <v>140</v>
      </c>
      <c r="G2" s="438" t="s">
        <v>141</v>
      </c>
    </row>
    <row r="3" spans="1:13" ht="50.25" customHeight="1" thickTop="1">
      <c r="A3" s="150" t="s">
        <v>142</v>
      </c>
      <c r="B3" s="1062" t="s">
        <v>143</v>
      </c>
      <c r="C3" s="1062"/>
      <c r="D3" s="194" t="s">
        <v>144</v>
      </c>
      <c r="E3" s="151">
        <v>61.9</v>
      </c>
      <c r="F3" s="152">
        <f>E3*43560</f>
        <v>2696364</v>
      </c>
      <c r="G3" s="153" t="s">
        <v>145</v>
      </c>
    </row>
    <row r="4" spans="1:13" ht="50.25" customHeight="1">
      <c r="A4" s="439" t="s">
        <v>146</v>
      </c>
      <c r="B4" s="1063" t="s">
        <v>147</v>
      </c>
      <c r="C4" s="1063"/>
      <c r="D4" s="440" t="s">
        <v>148</v>
      </c>
      <c r="E4" s="441">
        <v>2.67</v>
      </c>
      <c r="F4" s="442">
        <f>E4*43560</f>
        <v>116305.2</v>
      </c>
      <c r="G4" s="443" t="s">
        <v>149</v>
      </c>
      <c r="I4" s="185"/>
      <c r="J4" s="185"/>
    </row>
    <row r="5" spans="1:13" ht="50.25" customHeight="1" thickBot="1">
      <c r="A5" s="626" t="s">
        <v>150</v>
      </c>
      <c r="B5" s="1064" t="s">
        <v>147</v>
      </c>
      <c r="C5" s="1064"/>
      <c r="D5" s="627" t="s">
        <v>151</v>
      </c>
      <c r="E5" s="628">
        <v>1.58</v>
      </c>
      <c r="F5" s="629">
        <f>E5*43560</f>
        <v>68824.800000000003</v>
      </c>
      <c r="G5" s="630" t="s">
        <v>149</v>
      </c>
      <c r="I5" s="186"/>
    </row>
    <row r="6" spans="1:13" ht="39.950000000000003" customHeight="1" thickTop="1" thickBot="1">
      <c r="A6" s="981"/>
      <c r="B6" s="1068"/>
      <c r="C6" s="1068"/>
      <c r="D6" s="146" t="s">
        <v>12</v>
      </c>
      <c r="E6" s="147">
        <f>SUM(E3:E5)</f>
        <v>66.149999999999991</v>
      </c>
      <c r="F6" s="148">
        <f>SUM(F3:F5)</f>
        <v>2881494</v>
      </c>
      <c r="G6" s="149"/>
      <c r="I6" s="497"/>
    </row>
    <row r="7" spans="1:13" ht="20.100000000000001" customHeight="1" thickBot="1">
      <c r="A7" s="653"/>
      <c r="B7" s="654"/>
      <c r="C7" s="654"/>
      <c r="D7" s="655"/>
      <c r="E7" s="656"/>
      <c r="F7" s="657"/>
      <c r="G7" s="192"/>
      <c r="I7" s="602"/>
    </row>
    <row r="8" spans="1:13" ht="39.950000000000003" customHeight="1">
      <c r="A8" s="982" t="s">
        <v>152</v>
      </c>
      <c r="B8" s="603"/>
      <c r="C8" s="603"/>
      <c r="D8" s="603"/>
      <c r="E8" s="603"/>
      <c r="F8" s="603"/>
      <c r="G8" s="983"/>
      <c r="H8" s="983"/>
      <c r="I8" s="983"/>
      <c r="J8" s="983"/>
      <c r="L8" s="702" t="s">
        <v>153</v>
      </c>
      <c r="M8" s="704"/>
    </row>
    <row r="9" spans="1:13" ht="39.950000000000003" customHeight="1">
      <c r="A9" s="604" t="s">
        <v>154</v>
      </c>
      <c r="B9" s="444" t="s">
        <v>89</v>
      </c>
      <c r="C9" s="444" t="s">
        <v>155</v>
      </c>
      <c r="D9" s="444" t="s">
        <v>156</v>
      </c>
      <c r="E9" s="444" t="s">
        <v>157</v>
      </c>
      <c r="F9" s="444" t="s">
        <v>2</v>
      </c>
      <c r="G9" s="444" t="s">
        <v>158</v>
      </c>
      <c r="H9" s="444" t="s">
        <v>159</v>
      </c>
      <c r="I9" s="444" t="s">
        <v>160</v>
      </c>
      <c r="J9" s="658" t="s">
        <v>19</v>
      </c>
      <c r="L9" s="450" t="s">
        <v>94</v>
      </c>
      <c r="M9" s="857">
        <v>1</v>
      </c>
    </row>
    <row r="10" spans="1:13" ht="39.950000000000003" customHeight="1">
      <c r="A10" s="1067" t="s">
        <v>161</v>
      </c>
      <c r="B10" s="445" t="s">
        <v>94</v>
      </c>
      <c r="C10" s="445" t="str">
        <f>'Building Configuration'!D3</f>
        <v>University</v>
      </c>
      <c r="D10" s="446">
        <f>'Building Configuration'!P3</f>
        <v>1095863.8</v>
      </c>
      <c r="E10" s="446">
        <f>SUM('1-A Financial'!D9,'1-A Financial'!D10)</f>
        <v>531493943</v>
      </c>
      <c r="F10" s="446">
        <f>'1-A Financial'!B28</f>
        <v>428081776.53870004</v>
      </c>
      <c r="G10" s="493"/>
      <c r="H10" s="447"/>
      <c r="I10" s="447"/>
      <c r="J10" s="605"/>
      <c r="L10" s="450" t="s">
        <v>98</v>
      </c>
      <c r="M10" s="857">
        <v>3</v>
      </c>
    </row>
    <row r="11" spans="1:13" ht="39.950000000000003" customHeight="1">
      <c r="A11" s="1067"/>
      <c r="B11" s="572" t="s">
        <v>98</v>
      </c>
      <c r="C11" s="445" t="str">
        <f>'Building Configuration'!D6</f>
        <v>Student Housing</v>
      </c>
      <c r="D11" s="446">
        <f>'Building Configuration'!P6</f>
        <v>126477.70000000001</v>
      </c>
      <c r="E11" s="446">
        <f>SUM('1-B Financial'!D9,'1-B Financial'!D10)</f>
        <v>187045994.32690936</v>
      </c>
      <c r="F11" s="446">
        <f>'1-B Financial'!B28</f>
        <v>97401364.237358317</v>
      </c>
      <c r="G11" s="493"/>
      <c r="H11" s="447">
        <f>'1-B Financial'!B83+'1-B Financial'!H83+'1-B Financial'!N83</f>
        <v>124</v>
      </c>
      <c r="I11" s="447"/>
      <c r="J11" s="605"/>
      <c r="L11" s="450" t="s">
        <v>102</v>
      </c>
      <c r="M11" s="857">
        <v>1</v>
      </c>
    </row>
    <row r="12" spans="1:13" ht="39.950000000000003" customHeight="1">
      <c r="A12" s="1067"/>
      <c r="B12" s="572" t="s">
        <v>98</v>
      </c>
      <c r="C12" s="445" t="str">
        <f>'Building Configuration'!D7</f>
        <v>Multifamily 1</v>
      </c>
      <c r="D12" s="446">
        <f>'Building Configuration'!P7</f>
        <v>183024</v>
      </c>
      <c r="E12" s="446"/>
      <c r="F12" s="446">
        <f>'Building Configuration'!R7</f>
        <v>0</v>
      </c>
      <c r="G12" s="493"/>
      <c r="H12" s="447">
        <f>'1-B Financial'!$B$49+'1-B Financial'!$H$49+'1-B Financial'!$N$49</f>
        <v>81</v>
      </c>
      <c r="I12" s="447">
        <f>'1-B Financial'!$B$66+'1-B Financial'!$H$66+'1-B Financial'!$N$66</f>
        <v>20</v>
      </c>
      <c r="J12" s="605"/>
      <c r="L12" s="450" t="s">
        <v>105</v>
      </c>
      <c r="M12" s="857">
        <v>1</v>
      </c>
    </row>
    <row r="13" spans="1:13" ht="39.950000000000003" customHeight="1">
      <c r="A13" s="1067"/>
      <c r="B13" s="572" t="s">
        <v>98</v>
      </c>
      <c r="C13" s="445" t="str">
        <f>'Building Configuration'!D8</f>
        <v>Parking Lot</v>
      </c>
      <c r="D13" s="446">
        <f>'Building Configuration'!P8</f>
        <v>107645.5</v>
      </c>
      <c r="E13" s="446"/>
      <c r="F13" s="446">
        <f>'Building Configuration'!R8</f>
        <v>0</v>
      </c>
      <c r="G13" s="493"/>
      <c r="H13" s="447"/>
      <c r="I13" s="447"/>
      <c r="J13" s="605"/>
      <c r="L13" s="450" t="s">
        <v>108</v>
      </c>
      <c r="M13" s="857">
        <v>1</v>
      </c>
    </row>
    <row r="14" spans="1:13" ht="39.950000000000003" customHeight="1">
      <c r="A14" s="606" t="s">
        <v>161</v>
      </c>
      <c r="B14" s="489"/>
      <c r="C14" s="490"/>
      <c r="D14" s="984">
        <f>SUM(D10:D13)</f>
        <v>1513011</v>
      </c>
      <c r="E14" s="984">
        <f>SUM(E10:E13)</f>
        <v>718539937.3269093</v>
      </c>
      <c r="F14" s="984">
        <f>SUM(F10:F13)</f>
        <v>525483140.77605838</v>
      </c>
      <c r="G14" s="877">
        <f>SUM('1-A Financial'!$D$9,'1-A Financial'!$D$10,'1-B Financial'!$D$9,'1-B Financial'!$D$10)/SUM('1-A Financial'!$B$28,'1-B Financial'!$B$28)</f>
        <v>1.3673891350077103</v>
      </c>
      <c r="H14" s="491">
        <f>SUM(H10:H13)</f>
        <v>205</v>
      </c>
      <c r="I14" s="491">
        <f>SUM(I10:I13)</f>
        <v>20</v>
      </c>
      <c r="J14" s="879">
        <f ca="1">(('1-A Financial'!D15+'1-A Financial'!D20)+('1-B Financial'!D15+'1-B Financial'!D20))/(('1-A Financial'!D15+'1-B Financial'!D15))</f>
        <v>3.2575134313377161</v>
      </c>
      <c r="L14" s="450" t="s">
        <v>111</v>
      </c>
      <c r="M14" s="857">
        <v>1</v>
      </c>
    </row>
    <row r="15" spans="1:13" ht="39.950000000000003" customHeight="1">
      <c r="A15" s="1066" t="s">
        <v>162</v>
      </c>
      <c r="B15" s="572" t="s">
        <v>102</v>
      </c>
      <c r="C15" s="445" t="str">
        <f>'Building Configuration'!D11</f>
        <v>Multifamily + Retail 1</v>
      </c>
      <c r="D15" s="446">
        <f>'Building Configuration'!P11</f>
        <v>619426</v>
      </c>
      <c r="E15" s="446">
        <f>SUM('2-C Financial'!D9,'2-C Financial'!D10)</f>
        <v>243008203.30496958</v>
      </c>
      <c r="F15" s="446">
        <f>'2-C Financial'!B28</f>
        <v>158107384.99859735</v>
      </c>
      <c r="G15" s="493"/>
      <c r="H15" s="447">
        <f>'2-C Financial'!$B$49+'2-C Financial'!$H$49+'2-C Financial'!$N$49</f>
        <v>298</v>
      </c>
      <c r="I15" s="447">
        <f>'2-C Financial'!$B$66+'2-C Financial'!$H$66+'2-C Financial'!$N$66</f>
        <v>76</v>
      </c>
      <c r="J15" s="880"/>
      <c r="L15" s="450" t="s">
        <v>114</v>
      </c>
      <c r="M15" s="857">
        <v>1</v>
      </c>
    </row>
    <row r="16" spans="1:13" ht="39.950000000000003" customHeight="1">
      <c r="A16" s="1066"/>
      <c r="B16" s="572" t="s">
        <v>105</v>
      </c>
      <c r="C16" s="445" t="str">
        <f>'Building Configuration'!D14</f>
        <v>Condo + Retail 1</v>
      </c>
      <c r="D16" s="448">
        <f>'Building Configuration'!P14</f>
        <v>288917.90000000008</v>
      </c>
      <c r="E16" s="985">
        <f>SUM('2-D Financial'!D9,'2-D Financial'!D10)</f>
        <v>70412441.116634965</v>
      </c>
      <c r="F16" s="985">
        <f>'2-D Financial'!B28</f>
        <v>78873307.193853945</v>
      </c>
      <c r="G16" s="493"/>
      <c r="H16" s="447">
        <f>'2-D Financial'!$B$58+'2-D Financial'!$H$58+'2-D Financial'!$N$58</f>
        <v>85</v>
      </c>
      <c r="I16" s="447">
        <f>'2-D Financial'!$B$75+'2-D Financial'!$H$75+'2-D Financial'!$N$75</f>
        <v>24</v>
      </c>
      <c r="J16" s="880"/>
      <c r="L16" s="450" t="s">
        <v>115</v>
      </c>
      <c r="M16" s="857">
        <v>2</v>
      </c>
    </row>
    <row r="17" spans="1:16" ht="39.950000000000003" customHeight="1">
      <c r="A17" s="1066"/>
      <c r="B17" s="572" t="s">
        <v>108</v>
      </c>
      <c r="C17" s="445" t="str">
        <f>'Building Configuration'!D17</f>
        <v>Laboratory 1</v>
      </c>
      <c r="D17" s="448">
        <f>'Building Configuration'!P17</f>
        <v>342084</v>
      </c>
      <c r="E17" s="985">
        <f>SUM('2-E Financial'!D9,'2-E Financial'!D10)</f>
        <v>181724116.42797452</v>
      </c>
      <c r="F17" s="985">
        <f>'2-E Financial'!B28</f>
        <v>143801436.15388125</v>
      </c>
      <c r="G17" s="493"/>
      <c r="H17" s="449"/>
      <c r="I17" s="449"/>
      <c r="J17" s="880"/>
      <c r="L17" s="450" t="s">
        <v>117</v>
      </c>
      <c r="M17" s="857">
        <v>1</v>
      </c>
    </row>
    <row r="18" spans="1:16" ht="39.950000000000003" customHeight="1" thickBot="1">
      <c r="A18" s="607" t="s">
        <v>162</v>
      </c>
      <c r="B18" s="489"/>
      <c r="C18" s="490"/>
      <c r="D18" s="984">
        <f>SUM(D15:D17)</f>
        <v>1250427.9000000001</v>
      </c>
      <c r="E18" s="984">
        <f>SUM(E15:E17)</f>
        <v>495144760.84957904</v>
      </c>
      <c r="F18" s="984">
        <f>SUM(F15:F17)</f>
        <v>380782128.34633255</v>
      </c>
      <c r="G18" s="877">
        <f>SUM('2-C Financial'!$D$9,'2-D Financial'!$D$10,'2-E Financial'!$D$9,'2-C Financial'!$D$10,'2-D Financial'!$D$9,'2-E Financial'!$D$10)/SUM('2-C Financial'!$B$28,'2-D Financial'!$B$28,'2-E Financial'!$B$28)</f>
        <v>1.3003361344711806</v>
      </c>
      <c r="H18" s="491">
        <f>SUM(H15:H17)</f>
        <v>383</v>
      </c>
      <c r="I18" s="491">
        <f>SUM(I15:I17)</f>
        <v>100</v>
      </c>
      <c r="J18" s="879">
        <f ca="1">(('2-C Financial'!D15+'2-C Financial'!D20)+('2-D Financial'!D15+'2-D Financial'!D20)+('2-E Financial'!D15+'2-E Financial'!D20))/(('2-C Financial'!D15+'2-D Financial'!D15+'2-E Financial'!D15))</f>
        <v>3.0398146110141266</v>
      </c>
      <c r="L18" s="858" t="s">
        <v>119</v>
      </c>
      <c r="M18" s="859">
        <v>1</v>
      </c>
    </row>
    <row r="19" spans="1:16" ht="39.950000000000003" customHeight="1">
      <c r="A19" s="1066" t="s">
        <v>163</v>
      </c>
      <c r="B19" s="445" t="s">
        <v>111</v>
      </c>
      <c r="C19" s="445" t="str">
        <f>'Building Configuration'!D20</f>
        <v>Multifamily + Retail 2</v>
      </c>
      <c r="D19" s="448">
        <f>'Building Configuration'!P20</f>
        <v>1015411.5</v>
      </c>
      <c r="E19" s="985">
        <f>SUM('3-F Financial'!D9,'3-F Financial'!D10)</f>
        <v>390818830.85776436</v>
      </c>
      <c r="F19" s="985">
        <f>'3-F Financial'!B28</f>
        <v>259318308.38256979</v>
      </c>
      <c r="G19" s="493"/>
      <c r="H19" s="447">
        <f>'3-F Financial'!$B$49+'3-F Financial'!$H$49+'3-F Financial'!$N$49</f>
        <v>525</v>
      </c>
      <c r="I19" s="447">
        <f>'3-F Financial'!$B$66+'3-F Financial'!$H$66+'3-F Financial'!$N$66</f>
        <v>134</v>
      </c>
      <c r="J19" s="880"/>
    </row>
    <row r="20" spans="1:16" ht="39.950000000000003" customHeight="1">
      <c r="A20" s="1066"/>
      <c r="B20" s="445" t="s">
        <v>114</v>
      </c>
      <c r="C20" s="445" t="str">
        <f>'Building Configuration'!D23</f>
        <v>Laboratory 2</v>
      </c>
      <c r="D20" s="448">
        <f>'Building Configuration'!P23</f>
        <v>443107.60000000003</v>
      </c>
      <c r="E20" s="985">
        <f>SUM('3-G Financial'!D9,'3-G Financial'!D10)</f>
        <v>210132791.0445002</v>
      </c>
      <c r="F20" s="985">
        <f>'3-G Financial'!B28</f>
        <v>182337434.78473121</v>
      </c>
      <c r="G20" s="493"/>
      <c r="H20" s="447"/>
      <c r="I20" s="447"/>
      <c r="J20" s="880"/>
    </row>
    <row r="21" spans="1:16" ht="39.950000000000003" customHeight="1">
      <c r="A21" s="607" t="s">
        <v>163</v>
      </c>
      <c r="B21" s="490"/>
      <c r="C21" s="490"/>
      <c r="D21" s="984">
        <f>SUM(D19:D20)</f>
        <v>1458519.1</v>
      </c>
      <c r="E21" s="984">
        <f>SUM(E19:E20)</f>
        <v>600951621.9022646</v>
      </c>
      <c r="F21" s="984">
        <f>SUM(F19:F20)</f>
        <v>441655743.167301</v>
      </c>
      <c r="G21" s="877">
        <f>SUM('3-F Financial'!$D$9,'3-G Financial'!$D$9,'3-F Financial'!$D$10,'3-G Financial'!$D$10)/SUM('3-F Financial'!$B$28,'3-G Financial'!$B$28)</f>
        <v>1.360678834588644</v>
      </c>
      <c r="H21" s="491">
        <f>SUM(H19:H20)</f>
        <v>525</v>
      </c>
      <c r="I21" s="491">
        <f>SUM(I19:I20)</f>
        <v>134</v>
      </c>
      <c r="J21" s="879">
        <f ca="1">(('3-F Financial'!D15+'3-F Financial'!D20)+('3-G Financial'!D15+'3-G Financial'!D20))/('3-F Financial'!D15+'3-G Financial'!D15)</f>
        <v>3.1223674618764905</v>
      </c>
    </row>
    <row r="22" spans="1:16" ht="39.950000000000003" customHeight="1">
      <c r="A22" s="1066" t="s">
        <v>164</v>
      </c>
      <c r="B22" s="445" t="s">
        <v>115</v>
      </c>
      <c r="C22" s="445" t="str">
        <f>'Building Configuration'!D26</f>
        <v>Retail Buildings</v>
      </c>
      <c r="D22" s="448">
        <f>'Building Configuration'!P26</f>
        <v>116638.8</v>
      </c>
      <c r="E22" s="985">
        <f>SUM('4-H Financial'!D9,'4-H Financial'!D10)</f>
        <v>151475819.98039371</v>
      </c>
      <c r="F22" s="985">
        <f>'4-H Financial'!B28</f>
        <v>110678445.54706201</v>
      </c>
      <c r="G22" s="493"/>
      <c r="H22" s="447"/>
      <c r="I22" s="447"/>
      <c r="J22" s="880"/>
    </row>
    <row r="23" spans="1:16" ht="39.950000000000003" customHeight="1">
      <c r="A23" s="1066"/>
      <c r="B23" s="445" t="s">
        <v>115</v>
      </c>
      <c r="C23" s="445" t="str">
        <f>'Building Configuration'!D27</f>
        <v>Condo +  Retail 2</v>
      </c>
      <c r="D23" s="448">
        <f>'Building Configuration'!P27</f>
        <v>252195.1</v>
      </c>
      <c r="E23" s="985"/>
      <c r="F23" s="985"/>
      <c r="G23" s="493"/>
      <c r="H23" s="447">
        <f>'4-H Financial'!$B$58+'4-H Financial'!$H$58+'4-H Financial'!$N$58</f>
        <v>58</v>
      </c>
      <c r="I23" s="447">
        <f>'4-H Financial'!$B$75+'4-H Financial'!$H$75+'4-H Financial'!$N$75</f>
        <v>16</v>
      </c>
      <c r="J23" s="880"/>
    </row>
    <row r="24" spans="1:16" ht="39.950000000000003" customHeight="1">
      <c r="A24" s="1066"/>
      <c r="B24" s="445" t="s">
        <v>117</v>
      </c>
      <c r="C24" s="445" t="str">
        <f>'Building Configuration'!D30</f>
        <v>Multifamily 2</v>
      </c>
      <c r="D24" s="448">
        <f>'Building Configuration'!P30</f>
        <v>446181.40000000008</v>
      </c>
      <c r="E24" s="985">
        <f>SUM('4-I Financial'!D9,'4-I Financial'!D10)</f>
        <v>186382853.19354561</v>
      </c>
      <c r="F24" s="985">
        <f>'4-I Financial'!B28</f>
        <v>110658630.72145</v>
      </c>
      <c r="G24" s="493"/>
      <c r="H24" s="447">
        <f>'4-I Financial'!$B$49+'4-I Financial'!$H$49+'4-I Financial'!$N$49</f>
        <v>239</v>
      </c>
      <c r="I24" s="447">
        <f>'3-F Financial'!$B$66+'3-F Financial'!$H$66+'3-F Financial'!$N$66</f>
        <v>134</v>
      </c>
      <c r="J24" s="880"/>
    </row>
    <row r="25" spans="1:16" ht="39.950000000000003" customHeight="1">
      <c r="A25" s="1066"/>
      <c r="B25" s="445" t="s">
        <v>119</v>
      </c>
      <c r="C25" s="445" t="str">
        <f>'Building Configuration'!D33</f>
        <v>Civic+Retail</v>
      </c>
      <c r="D25" s="448">
        <f>'Building Configuration'!P33</f>
        <v>680836.3</v>
      </c>
      <c r="E25" s="985">
        <f>SUM('4-J Financial'!D9,'4-J Financial'!D10)</f>
        <v>273049977.72224271</v>
      </c>
      <c r="F25" s="985">
        <f>'4-J Financial'!B28</f>
        <v>193945994.4199782</v>
      </c>
      <c r="G25" s="493"/>
      <c r="H25" s="447"/>
      <c r="I25" s="447"/>
      <c r="J25" s="880"/>
    </row>
    <row r="26" spans="1:16" ht="39.950000000000003" customHeight="1" thickBot="1">
      <c r="A26" s="623" t="s">
        <v>164</v>
      </c>
      <c r="B26" s="624"/>
      <c r="C26" s="624"/>
      <c r="D26" s="986">
        <f>SUM(D22:D25)</f>
        <v>1495851.6</v>
      </c>
      <c r="E26" s="986">
        <f>SUM(E22:E25)</f>
        <v>610908650.89618206</v>
      </c>
      <c r="F26" s="986">
        <f>SUM(F22:F25)</f>
        <v>415283070.68849021</v>
      </c>
      <c r="G26" s="878">
        <f>SUM('4-H Financial'!$D$9,'4-I Financial'!$D$10,'4-J Financial'!$D$9,'4-H Financial'!$D$10,'4-I Financial'!$D$9,'4-J Financial'!$D$10)/SUM('4-H Financial'!$B$28,'4-I Financial'!$B$28,'4-J Financial'!$B$28)</f>
        <v>1.471065627316249</v>
      </c>
      <c r="H26" s="625">
        <f>SUM(H22:H25)</f>
        <v>297</v>
      </c>
      <c r="I26" s="625">
        <f>SUM(I22:I25)</f>
        <v>150</v>
      </c>
      <c r="J26" s="881">
        <f ca="1">(('4-H Financial'!D15+'4-H Financial'!D20)+('4-I Financial'!D15+'4-I Financial'!D20)+('4-J Financial'!D15+'4-J Financial'!D20))/(('4-H Financial'!D15+'4-I Financial'!D15+'4-J Financial'!D15))</f>
        <v>3.5668249541114521</v>
      </c>
    </row>
    <row r="27" spans="1:16" ht="39.950000000000003" customHeight="1" thickTop="1" thickBot="1">
      <c r="A27" s="620" t="s">
        <v>12</v>
      </c>
      <c r="B27" s="621"/>
      <c r="C27" s="621"/>
      <c r="D27" s="987">
        <f>SUM(D14,D18,D21,D26)</f>
        <v>5717809.5999999996</v>
      </c>
      <c r="E27" s="988">
        <f>SUM(E14,E18,E21,E26)</f>
        <v>2425544970.9749351</v>
      </c>
      <c r="F27" s="988">
        <f>SUM(F14,F18,F21,F26)</f>
        <v>1763204082.9781821</v>
      </c>
      <c r="G27" s="621">
        <f>SUM('1-A Financial'!$D$9,'1-A Financial'!$D$10,'1-B Financial'!$D$9,'1-B Financial'!$D$10,'2-C Financial'!$D$9,'2-D Financial'!$D$9,'2-E Financial'!$D$9,'2-C Financial'!$D$10,'2-D Financial'!$D$10,'2-E Financial'!$D$10,'3-F Financial'!$D$9,'3-G Financial'!$D$9,'3-F Financial'!$D$10,'3-G Financial'!$D$10,'4-H Financial'!$D$9,'4-I Financial'!$D$9,'4-J Financial'!$D$9,'4-H Financial'!$D$10,'4-I Financial'!$D$10,'4-J Financial'!$D$10)/SUM('1-A Financial'!$B$28,'1-B Financial'!$B$28,'2-C Financial'!$B$28,'2-D Financial'!$B$28,'2-E Financial'!$B$28,'3-F Financial'!$B$28,'3-G Financial'!$B$28,'4-H Financial'!$B$28,'4-I Financial'!$B$28,'4-J Financial'!$B$28)</f>
        <v>1.375646185481836</v>
      </c>
      <c r="H27" s="989">
        <f>SUM(H14,H18,H21,H26)</f>
        <v>1410</v>
      </c>
      <c r="I27" s="989">
        <f>SUM(I14,I18,I21,I26)</f>
        <v>404</v>
      </c>
      <c r="J27" s="622">
        <f ca="1">(('1-A Financial'!D15+'1-A Financial'!D20)+('1-B Financial'!D15+'1-B Financial'!D20)+('2-C Financial'!D15+'2-C Financial'!D20)+('2-D Financial'!D15+'2-D Financial'!D20)+('2-E Financial'!D15+'2-E Financial'!D20)+('3-F Financial'!D15+'3-F Financial'!D20)+('3-G Financial'!D15+'3-G Financial'!D20)+('4-H Financial'!D15+'4-H Financial'!D20)+('4-I Financial'!D15+'4-I Financial'!D20)+('4-J Financial'!D15+'4-J Financial'!D20))/(('1-A Financial'!D15+'1-B Financial'!D15+'2-C Financial'!D15+'2-D Financial'!D15+'2-E Financial'!D15+'3-F Financial'!D15+'3-G Financial'!D15+'4-H Financial'!D15+'4-I Financial'!D15+'4-J Financial'!D15))</f>
        <v>3.2432764214502252</v>
      </c>
    </row>
    <row r="28" spans="1:16" ht="15.75" customHeight="1" thickBot="1">
      <c r="A28" s="182"/>
      <c r="B28" s="157"/>
      <c r="C28" s="157"/>
      <c r="D28" s="183"/>
      <c r="E28" s="175"/>
      <c r="F28" s="882"/>
      <c r="G28" s="492"/>
      <c r="H28" s="176"/>
      <c r="I28" s="176"/>
      <c r="J28" s="175"/>
      <c r="K28" s="154"/>
      <c r="L28" s="154"/>
      <c r="M28" s="154"/>
      <c r="N28" s="154"/>
      <c r="O28" s="156"/>
      <c r="P28" s="157"/>
    </row>
    <row r="29" spans="1:16" ht="39.950000000000003" customHeight="1">
      <c r="A29" s="702" t="s">
        <v>165</v>
      </c>
      <c r="B29" s="703"/>
      <c r="C29" s="703"/>
      <c r="D29" s="703"/>
      <c r="E29" s="703"/>
      <c r="F29" s="703"/>
      <c r="G29" s="703"/>
      <c r="H29" s="703"/>
      <c r="I29" s="703"/>
      <c r="J29" s="703"/>
      <c r="K29" s="703"/>
      <c r="L29" s="704"/>
      <c r="M29" s="133"/>
      <c r="N29" s="155"/>
    </row>
    <row r="30" spans="1:16" ht="30" customHeight="1">
      <c r="A30" s="450" t="s">
        <v>166</v>
      </c>
      <c r="B30" s="451" t="s">
        <v>167</v>
      </c>
      <c r="C30" s="451" t="s">
        <v>94</v>
      </c>
      <c r="D30" s="451" t="s">
        <v>98</v>
      </c>
      <c r="E30" s="451" t="s">
        <v>102</v>
      </c>
      <c r="F30" s="451" t="s">
        <v>105</v>
      </c>
      <c r="G30" s="451" t="s">
        <v>108</v>
      </c>
      <c r="H30" s="451" t="s">
        <v>111</v>
      </c>
      <c r="I30" s="451" t="s">
        <v>114</v>
      </c>
      <c r="J30" s="452" t="s">
        <v>115</v>
      </c>
      <c r="K30" s="452" t="s">
        <v>117</v>
      </c>
      <c r="L30" s="453" t="s">
        <v>119</v>
      </c>
      <c r="M30" s="174"/>
      <c r="N30" s="28"/>
    </row>
    <row r="31" spans="1:16" ht="30" customHeight="1">
      <c r="A31" s="454" t="s">
        <v>168</v>
      </c>
      <c r="B31" s="455">
        <v>8000000</v>
      </c>
      <c r="C31" s="456"/>
      <c r="D31" s="457" t="s">
        <v>169</v>
      </c>
      <c r="E31" s="457" t="s">
        <v>169</v>
      </c>
      <c r="F31" s="457" t="s">
        <v>169</v>
      </c>
      <c r="G31" s="456"/>
      <c r="H31" s="457" t="s">
        <v>169</v>
      </c>
      <c r="I31" s="456"/>
      <c r="J31" s="457" t="s">
        <v>169</v>
      </c>
      <c r="K31" s="457" t="s">
        <v>169</v>
      </c>
      <c r="L31" s="608"/>
      <c r="M31" s="134"/>
      <c r="N31" s="28"/>
    </row>
    <row r="32" spans="1:16" ht="30" customHeight="1">
      <c r="A32" s="458" t="s">
        <v>170</v>
      </c>
      <c r="B32" s="459">
        <v>20000000</v>
      </c>
      <c r="C32" s="460"/>
      <c r="D32" s="457" t="s">
        <v>169</v>
      </c>
      <c r="E32" s="457" t="s">
        <v>169</v>
      </c>
      <c r="F32" s="457" t="s">
        <v>169</v>
      </c>
      <c r="G32" s="460"/>
      <c r="H32" s="457" t="s">
        <v>169</v>
      </c>
      <c r="I32" s="460"/>
      <c r="J32" s="457" t="s">
        <v>169</v>
      </c>
      <c r="K32" s="457" t="s">
        <v>169</v>
      </c>
      <c r="L32" s="609"/>
      <c r="M32" s="134"/>
      <c r="N32" s="28"/>
    </row>
    <row r="33" spans="1:16" ht="30" customHeight="1">
      <c r="A33" s="458" t="s">
        <v>171</v>
      </c>
      <c r="B33" s="459">
        <v>10000000</v>
      </c>
      <c r="C33" s="457" t="s">
        <v>169</v>
      </c>
      <c r="D33" s="457" t="s">
        <v>169</v>
      </c>
      <c r="E33" s="457" t="s">
        <v>169</v>
      </c>
      <c r="F33" s="457" t="s">
        <v>169</v>
      </c>
      <c r="G33" s="457" t="s">
        <v>169</v>
      </c>
      <c r="H33" s="457" t="s">
        <v>169</v>
      </c>
      <c r="I33" s="457" t="s">
        <v>169</v>
      </c>
      <c r="J33" s="457" t="s">
        <v>169</v>
      </c>
      <c r="K33" s="457" t="s">
        <v>169</v>
      </c>
      <c r="L33" s="610" t="s">
        <v>169</v>
      </c>
      <c r="M33" s="134"/>
      <c r="N33" s="28"/>
    </row>
    <row r="34" spans="1:16" ht="30" customHeight="1">
      <c r="A34" s="458" t="s">
        <v>172</v>
      </c>
      <c r="B34" s="459">
        <v>20000000</v>
      </c>
      <c r="C34" s="457" t="s">
        <v>169</v>
      </c>
      <c r="D34" s="457" t="s">
        <v>169</v>
      </c>
      <c r="E34" s="457" t="s">
        <v>169</v>
      </c>
      <c r="F34" s="457" t="s">
        <v>169</v>
      </c>
      <c r="G34" s="457" t="s">
        <v>169</v>
      </c>
      <c r="H34" s="457" t="s">
        <v>169</v>
      </c>
      <c r="I34" s="457" t="s">
        <v>169</v>
      </c>
      <c r="J34" s="457" t="s">
        <v>169</v>
      </c>
      <c r="K34" s="457" t="s">
        <v>169</v>
      </c>
      <c r="L34" s="610" t="s">
        <v>169</v>
      </c>
      <c r="M34" s="134"/>
      <c r="N34" s="28"/>
    </row>
    <row r="35" spans="1:16" ht="30" customHeight="1">
      <c r="A35" s="458" t="s">
        <v>173</v>
      </c>
      <c r="B35" s="459">
        <v>5000000</v>
      </c>
      <c r="C35" s="457" t="s">
        <v>169</v>
      </c>
      <c r="D35" s="457" t="s">
        <v>169</v>
      </c>
      <c r="E35" s="457" t="s">
        <v>169</v>
      </c>
      <c r="F35" s="457" t="s">
        <v>169</v>
      </c>
      <c r="G35" s="457" t="s">
        <v>169</v>
      </c>
      <c r="H35" s="457" t="s">
        <v>169</v>
      </c>
      <c r="I35" s="457" t="s">
        <v>169</v>
      </c>
      <c r="J35" s="457" t="s">
        <v>169</v>
      </c>
      <c r="K35" s="457" t="s">
        <v>169</v>
      </c>
      <c r="L35" s="610" t="s">
        <v>169</v>
      </c>
      <c r="M35" s="134"/>
      <c r="N35" s="28"/>
    </row>
    <row r="36" spans="1:16" ht="30" customHeight="1" thickBot="1">
      <c r="A36" s="616" t="s">
        <v>174</v>
      </c>
      <c r="B36" s="617"/>
      <c r="C36" s="618"/>
      <c r="D36" s="618"/>
      <c r="E36" s="618"/>
      <c r="F36" s="618"/>
      <c r="G36" s="618"/>
      <c r="H36" s="618"/>
      <c r="I36" s="618"/>
      <c r="J36" s="618"/>
      <c r="K36" s="618"/>
      <c r="L36" s="619"/>
      <c r="M36" s="134"/>
      <c r="N36" s="28"/>
    </row>
    <row r="37" spans="1:16" ht="30" customHeight="1" thickTop="1" thickBot="1">
      <c r="A37" s="611" t="s">
        <v>12</v>
      </c>
      <c r="B37" s="164">
        <f>SUM(B31:B36)</f>
        <v>63000000</v>
      </c>
      <c r="C37" s="164">
        <f t="shared" ref="C37:L37" si="0">SUM(IF(C31="O",$B$31/COUNTIF($C$31:$L$31,"O"),0),IF(C32="O",$B$32/COUNTIF($C$32:$L$32,"O"),0),IF(C33="O",$B$33/COUNTIF($C$33:$L$33,"O"),0),IF(C34="O",$B$34/COUNTIF($C$34:$L$34,"O"),0),IF(C35="O",$B$35/COUNTIF($C$35:$L$35,"O"),0),IF(C36="O",$B$36/COUNTIF($C$36:$L$36,"O"),0))</f>
        <v>3500000</v>
      </c>
      <c r="D37" s="164">
        <f t="shared" si="0"/>
        <v>8166666.666666667</v>
      </c>
      <c r="E37" s="164">
        <f t="shared" si="0"/>
        <v>8166666.666666667</v>
      </c>
      <c r="F37" s="164">
        <f t="shared" si="0"/>
        <v>8166666.666666667</v>
      </c>
      <c r="G37" s="164">
        <f t="shared" si="0"/>
        <v>3500000</v>
      </c>
      <c r="H37" s="164">
        <f t="shared" si="0"/>
        <v>8166666.666666667</v>
      </c>
      <c r="I37" s="164">
        <f t="shared" si="0"/>
        <v>3500000</v>
      </c>
      <c r="J37" s="164">
        <f t="shared" si="0"/>
        <v>8166666.666666667</v>
      </c>
      <c r="K37" s="164">
        <f t="shared" si="0"/>
        <v>8166666.666666667</v>
      </c>
      <c r="L37" s="612">
        <f t="shared" si="0"/>
        <v>3500000</v>
      </c>
      <c r="M37" s="29"/>
      <c r="N37" s="29"/>
    </row>
    <row r="38" spans="1:16" ht="15.75" customHeight="1" thickBot="1">
      <c r="A38" s="182"/>
      <c r="B38" s="157"/>
      <c r="C38" s="157"/>
      <c r="D38" s="183">
        <f>SUM(C37:D37)</f>
        <v>11666666.666666668</v>
      </c>
      <c r="E38" s="175"/>
      <c r="F38" s="184"/>
      <c r="G38" s="183">
        <f>SUM(E37:G37)</f>
        <v>19833333.333333336</v>
      </c>
      <c r="H38" s="176"/>
      <c r="I38" s="183">
        <f>SUM(H37:I37)</f>
        <v>11666666.666666668</v>
      </c>
      <c r="J38" s="183"/>
      <c r="K38" s="154"/>
      <c r="L38" s="183">
        <f>SUM(J37:L37)</f>
        <v>19833333.333333336</v>
      </c>
      <c r="M38" s="154"/>
      <c r="N38" s="154"/>
      <c r="O38" s="156"/>
      <c r="P38" s="157"/>
    </row>
    <row r="39" spans="1:16" ht="39.950000000000003" customHeight="1">
      <c r="A39" s="702" t="s">
        <v>175</v>
      </c>
      <c r="B39" s="703"/>
      <c r="C39" s="703"/>
      <c r="D39" s="703"/>
      <c r="E39" s="703"/>
      <c r="F39" s="703"/>
      <c r="G39" s="703"/>
      <c r="H39" s="703"/>
      <c r="I39" s="703"/>
      <c r="J39" s="703"/>
      <c r="K39" s="703"/>
      <c r="L39" s="703"/>
      <c r="M39" s="704"/>
      <c r="N39" s="155"/>
    </row>
    <row r="40" spans="1:16" ht="30" customHeight="1">
      <c r="A40" s="450" t="s">
        <v>166</v>
      </c>
      <c r="B40" s="461" t="s">
        <v>176</v>
      </c>
      <c r="C40" s="451" t="s">
        <v>177</v>
      </c>
      <c r="D40" s="451" t="s">
        <v>94</v>
      </c>
      <c r="E40" s="451" t="s">
        <v>98</v>
      </c>
      <c r="F40" s="451" t="s">
        <v>102</v>
      </c>
      <c r="G40" s="451" t="s">
        <v>105</v>
      </c>
      <c r="H40" s="451" t="s">
        <v>108</v>
      </c>
      <c r="I40" s="451" t="s">
        <v>111</v>
      </c>
      <c r="J40" s="451" t="s">
        <v>114</v>
      </c>
      <c r="K40" s="452" t="s">
        <v>115</v>
      </c>
      <c r="L40" s="452" t="s">
        <v>117</v>
      </c>
      <c r="M40" s="453" t="s">
        <v>119</v>
      </c>
      <c r="N40" s="134"/>
      <c r="O40" s="28"/>
    </row>
    <row r="41" spans="1:16" ht="30" customHeight="1">
      <c r="A41" s="462" t="s">
        <v>178</v>
      </c>
      <c r="B41" s="463" t="s">
        <v>179</v>
      </c>
      <c r="C41" s="464">
        <v>5000000</v>
      </c>
      <c r="D41" s="465" t="s">
        <v>169</v>
      </c>
      <c r="E41" s="465" t="s">
        <v>169</v>
      </c>
      <c r="F41" s="465" t="s">
        <v>169</v>
      </c>
      <c r="G41" s="465" t="s">
        <v>169</v>
      </c>
      <c r="H41" s="465" t="s">
        <v>169</v>
      </c>
      <c r="I41" s="465" t="s">
        <v>169</v>
      </c>
      <c r="J41" s="465" t="s">
        <v>169</v>
      </c>
      <c r="K41" s="465" t="s">
        <v>169</v>
      </c>
      <c r="L41" s="465" t="s">
        <v>169</v>
      </c>
      <c r="M41" s="613" t="s">
        <v>169</v>
      </c>
      <c r="N41" s="134"/>
      <c r="O41" s="28"/>
    </row>
    <row r="42" spans="1:16" ht="30" customHeight="1">
      <c r="A42" s="462" t="s">
        <v>180</v>
      </c>
      <c r="B42" s="463" t="s">
        <v>181</v>
      </c>
      <c r="C42" s="464">
        <v>5000000</v>
      </c>
      <c r="D42" s="465" t="s">
        <v>169</v>
      </c>
      <c r="E42" s="465" t="s">
        <v>169</v>
      </c>
      <c r="F42" s="465" t="s">
        <v>169</v>
      </c>
      <c r="G42" s="465" t="s">
        <v>169</v>
      </c>
      <c r="H42" s="465" t="s">
        <v>169</v>
      </c>
      <c r="I42" s="465" t="s">
        <v>169</v>
      </c>
      <c r="J42" s="465" t="s">
        <v>169</v>
      </c>
      <c r="K42" s="465" t="s">
        <v>169</v>
      </c>
      <c r="L42" s="465" t="s">
        <v>169</v>
      </c>
      <c r="M42" s="613" t="s">
        <v>169</v>
      </c>
      <c r="N42" s="134"/>
      <c r="O42" s="28"/>
    </row>
    <row r="43" spans="1:16" ht="30" customHeight="1">
      <c r="A43" s="462" t="s">
        <v>182</v>
      </c>
      <c r="B43" s="463" t="s">
        <v>183</v>
      </c>
      <c r="C43" s="464">
        <v>10000000</v>
      </c>
      <c r="D43" s="465" t="s">
        <v>169</v>
      </c>
      <c r="E43" s="465" t="s">
        <v>169</v>
      </c>
      <c r="F43" s="465"/>
      <c r="G43" s="465"/>
      <c r="H43" s="465"/>
      <c r="I43" s="465"/>
      <c r="J43" s="465"/>
      <c r="K43" s="465"/>
      <c r="L43" s="465"/>
      <c r="M43" s="613"/>
      <c r="N43" s="134"/>
      <c r="O43" s="28"/>
    </row>
    <row r="44" spans="1:16" ht="30" customHeight="1">
      <c r="A44" s="462" t="s">
        <v>184</v>
      </c>
      <c r="B44" s="463" t="s">
        <v>183</v>
      </c>
      <c r="C44" s="464">
        <v>12500000</v>
      </c>
      <c r="D44" s="465" t="s">
        <v>169</v>
      </c>
      <c r="E44" s="465" t="s">
        <v>169</v>
      </c>
      <c r="F44" s="465"/>
      <c r="G44" s="465"/>
      <c r="H44" s="465"/>
      <c r="I44" s="465"/>
      <c r="J44" s="465"/>
      <c r="K44" s="466"/>
      <c r="L44" s="466"/>
      <c r="M44" s="614"/>
      <c r="N44" s="134"/>
      <c r="O44" s="28"/>
    </row>
    <row r="45" spans="1:16" ht="30" customHeight="1">
      <c r="A45" s="462" t="s">
        <v>185</v>
      </c>
      <c r="B45" s="463" t="s">
        <v>186</v>
      </c>
      <c r="C45" s="464">
        <v>2000000</v>
      </c>
      <c r="D45" s="465" t="s">
        <v>169</v>
      </c>
      <c r="E45" s="465" t="s">
        <v>169</v>
      </c>
      <c r="F45" s="465" t="s">
        <v>169</v>
      </c>
      <c r="G45" s="465" t="s">
        <v>169</v>
      </c>
      <c r="H45" s="465" t="s">
        <v>169</v>
      </c>
      <c r="I45" s="465" t="s">
        <v>169</v>
      </c>
      <c r="J45" s="465" t="s">
        <v>169</v>
      </c>
      <c r="K45" s="465" t="s">
        <v>169</v>
      </c>
      <c r="L45" s="465" t="s">
        <v>169</v>
      </c>
      <c r="M45" s="613" t="s">
        <v>169</v>
      </c>
      <c r="N45" s="134"/>
      <c r="O45" s="28"/>
    </row>
    <row r="46" spans="1:16" ht="30" customHeight="1">
      <c r="A46" s="462" t="s">
        <v>187</v>
      </c>
      <c r="B46" s="463" t="s">
        <v>186</v>
      </c>
      <c r="C46" s="464">
        <v>4000000</v>
      </c>
      <c r="D46" s="465" t="s">
        <v>169</v>
      </c>
      <c r="E46" s="465" t="s">
        <v>169</v>
      </c>
      <c r="F46" s="465" t="s">
        <v>169</v>
      </c>
      <c r="G46" s="465" t="s">
        <v>169</v>
      </c>
      <c r="H46" s="465" t="s">
        <v>169</v>
      </c>
      <c r="I46" s="465" t="s">
        <v>169</v>
      </c>
      <c r="J46" s="465" t="s">
        <v>169</v>
      </c>
      <c r="K46" s="465" t="s">
        <v>169</v>
      </c>
      <c r="L46" s="465" t="s">
        <v>169</v>
      </c>
      <c r="M46" s="613" t="s">
        <v>169</v>
      </c>
      <c r="N46" s="134"/>
      <c r="O46" s="28"/>
    </row>
    <row r="47" spans="1:16" ht="30" customHeight="1">
      <c r="A47" s="462" t="s">
        <v>188</v>
      </c>
      <c r="B47" s="463" t="s">
        <v>186</v>
      </c>
      <c r="C47" s="464">
        <v>3000000</v>
      </c>
      <c r="D47" s="465" t="s">
        <v>169</v>
      </c>
      <c r="E47" s="465" t="s">
        <v>169</v>
      </c>
      <c r="F47" s="465" t="s">
        <v>169</v>
      </c>
      <c r="G47" s="465" t="s">
        <v>169</v>
      </c>
      <c r="H47" s="465" t="s">
        <v>169</v>
      </c>
      <c r="I47" s="465" t="s">
        <v>169</v>
      </c>
      <c r="J47" s="465" t="s">
        <v>169</v>
      </c>
      <c r="K47" s="465" t="s">
        <v>169</v>
      </c>
      <c r="L47" s="465" t="s">
        <v>169</v>
      </c>
      <c r="M47" s="613" t="s">
        <v>169</v>
      </c>
      <c r="N47" s="134"/>
      <c r="O47" s="28"/>
    </row>
    <row r="48" spans="1:16" ht="30" customHeight="1">
      <c r="A48" s="462" t="s">
        <v>189</v>
      </c>
      <c r="B48" s="463" t="s">
        <v>190</v>
      </c>
      <c r="C48" s="464">
        <v>3000000</v>
      </c>
      <c r="D48" s="465" t="s">
        <v>169</v>
      </c>
      <c r="E48" s="465" t="s">
        <v>169</v>
      </c>
      <c r="F48" s="465" t="s">
        <v>169</v>
      </c>
      <c r="G48" s="465" t="s">
        <v>169</v>
      </c>
      <c r="H48" s="465" t="s">
        <v>169</v>
      </c>
      <c r="I48" s="465" t="s">
        <v>169</v>
      </c>
      <c r="J48" s="465" t="s">
        <v>169</v>
      </c>
      <c r="K48" s="465" t="s">
        <v>169</v>
      </c>
      <c r="L48" s="465" t="s">
        <v>169</v>
      </c>
      <c r="M48" s="613" t="s">
        <v>169</v>
      </c>
      <c r="N48" s="134"/>
      <c r="O48" s="28"/>
    </row>
    <row r="49" spans="1:16" ht="30" customHeight="1">
      <c r="A49" s="462" t="s">
        <v>191</v>
      </c>
      <c r="B49" s="463"/>
      <c r="C49" s="464">
        <v>300000</v>
      </c>
      <c r="D49" s="465" t="s">
        <v>169</v>
      </c>
      <c r="E49" s="465" t="s">
        <v>169</v>
      </c>
      <c r="F49" s="465" t="s">
        <v>169</v>
      </c>
      <c r="G49" s="465" t="s">
        <v>169</v>
      </c>
      <c r="H49" s="465" t="s">
        <v>169</v>
      </c>
      <c r="I49" s="465" t="s">
        <v>169</v>
      </c>
      <c r="J49" s="465" t="s">
        <v>169</v>
      </c>
      <c r="K49" s="465" t="s">
        <v>169</v>
      </c>
      <c r="L49" s="465" t="s">
        <v>169</v>
      </c>
      <c r="M49" s="613" t="s">
        <v>169</v>
      </c>
      <c r="N49" s="134"/>
      <c r="O49" s="28"/>
    </row>
    <row r="50" spans="1:16" ht="30" customHeight="1">
      <c r="A50" s="462" t="s">
        <v>192</v>
      </c>
      <c r="B50" s="463"/>
      <c r="C50" s="464">
        <v>1500000</v>
      </c>
      <c r="D50" s="465" t="s">
        <v>169</v>
      </c>
      <c r="E50" s="465" t="s">
        <v>169</v>
      </c>
      <c r="F50" s="465" t="s">
        <v>169</v>
      </c>
      <c r="G50" s="465" t="s">
        <v>169</v>
      </c>
      <c r="H50" s="465" t="s">
        <v>169</v>
      </c>
      <c r="I50" s="465" t="s">
        <v>169</v>
      </c>
      <c r="J50" s="465" t="s">
        <v>169</v>
      </c>
      <c r="K50" s="465" t="s">
        <v>169</v>
      </c>
      <c r="L50" s="465" t="s">
        <v>169</v>
      </c>
      <c r="M50" s="613" t="s">
        <v>169</v>
      </c>
      <c r="N50" s="134"/>
      <c r="O50" s="28"/>
    </row>
    <row r="51" spans="1:16" ht="30" customHeight="1">
      <c r="A51" s="462" t="s">
        <v>193</v>
      </c>
      <c r="B51" s="463" t="s">
        <v>194</v>
      </c>
      <c r="C51" s="464">
        <v>1000000</v>
      </c>
      <c r="D51" s="465" t="s">
        <v>169</v>
      </c>
      <c r="E51" s="465" t="s">
        <v>169</v>
      </c>
      <c r="F51" s="465" t="s">
        <v>169</v>
      </c>
      <c r="G51" s="465" t="s">
        <v>169</v>
      </c>
      <c r="H51" s="465" t="s">
        <v>169</v>
      </c>
      <c r="I51" s="465" t="s">
        <v>169</v>
      </c>
      <c r="J51" s="465" t="s">
        <v>169</v>
      </c>
      <c r="K51" s="465" t="s">
        <v>169</v>
      </c>
      <c r="L51" s="465" t="s">
        <v>169</v>
      </c>
      <c r="M51" s="613" t="s">
        <v>169</v>
      </c>
      <c r="N51" s="29"/>
      <c r="O51" s="29"/>
    </row>
    <row r="52" spans="1:16" ht="30" customHeight="1">
      <c r="A52" s="462" t="s">
        <v>195</v>
      </c>
      <c r="B52" s="463"/>
      <c r="C52" s="464">
        <v>5000000</v>
      </c>
      <c r="D52" s="467"/>
      <c r="E52" s="467"/>
      <c r="F52" s="465"/>
      <c r="G52" s="467"/>
      <c r="H52" s="467"/>
      <c r="I52" s="467"/>
      <c r="J52" s="467"/>
      <c r="K52" s="465" t="s">
        <v>169</v>
      </c>
      <c r="L52" s="465" t="s">
        <v>169</v>
      </c>
      <c r="M52" s="613" t="s">
        <v>169</v>
      </c>
      <c r="N52" s="29"/>
      <c r="O52" s="29"/>
      <c r="P52" s="30"/>
    </row>
    <row r="53" spans="1:16" ht="30" customHeight="1">
      <c r="A53" s="468" t="s">
        <v>196</v>
      </c>
      <c r="B53" s="469"/>
      <c r="C53" s="464">
        <v>2000000</v>
      </c>
      <c r="D53" s="465" t="s">
        <v>169</v>
      </c>
      <c r="E53" s="465" t="s">
        <v>169</v>
      </c>
      <c r="F53" s="470"/>
      <c r="G53" s="470"/>
      <c r="H53" s="465"/>
      <c r="I53" s="465"/>
      <c r="J53" s="465"/>
      <c r="K53" s="470"/>
      <c r="L53" s="470"/>
      <c r="M53" s="615"/>
      <c r="N53" s="30"/>
      <c r="O53" s="30"/>
    </row>
    <row r="54" spans="1:16" ht="30" customHeight="1" thickBot="1">
      <c r="A54" s="471"/>
      <c r="B54" s="472"/>
      <c r="C54" s="473"/>
      <c r="D54" s="473"/>
      <c r="E54" s="473"/>
      <c r="F54" s="473"/>
      <c r="G54" s="473"/>
      <c r="H54" s="473"/>
      <c r="I54" s="473"/>
      <c r="J54" s="473"/>
      <c r="K54" s="474"/>
      <c r="L54" s="474"/>
      <c r="M54" s="474"/>
      <c r="N54" s="30"/>
    </row>
    <row r="55" spans="1:16" ht="30" customHeight="1" thickTop="1" thickBot="1">
      <c r="A55" s="611" t="s">
        <v>12</v>
      </c>
      <c r="B55" s="164"/>
      <c r="C55" s="164">
        <f>SUM(C41:C54)</f>
        <v>54300000</v>
      </c>
      <c r="D55" s="164">
        <f>SUM(IF(D41="O",$C$41/COUNTIF($D41:$M41,"O"),0),IF(D42="O",$C$42/COUNTIF($D42:$M42,"O"),0),IF(D43="O",$C$43/COUNTIF($D43:$M43,"O"),0),IF(D44="O",$C$44/COUNTIF($D44:$M44,"O"),0),IF(D45="O",$C$45/COUNTIF($D45:$M45,"O"),0),IF(D46="O",$C$46/COUNTIF($C46:$M46,"O"),0),IF(D47="O",$C$47/COUNTIF($D47:$M47,"O"),0),IF(D48="O",$C$48/COUNTIF($D48:$M48,"O"),0),IF(D49="O",$C$49/COUNTIF($D49:$M49,"O"),0),IF(D50="O",$C$50/COUNTIF($D50:$M50,"O"),0),IF(D51="O",$C$51/COUNTIF($D51:$M51,"O"),0),IF(D52="O",$C$52/COUNTIF($D52:$M52,"O"),0),IF(D53="O",$C$53/COUNTIF($D53:$M53,"O"),0))</f>
        <v>14730000</v>
      </c>
      <c r="E55" s="164">
        <f t="shared" ref="E55:M55" si="1">SUM(IF(E41="O",$C$41/COUNTIF($D41:$M41,"O"),0),IF(E42="O",$C$42/COUNTIF($D42:$M42,"O"),0),IF(E43="O",$C$43/COUNTIF($D43:$M43,"O"),0),IF(E44="O",$C$44/COUNTIF($D44:$M44,"O"),0),IF(E45="O",$C$45/COUNTIF($D45:$M45,"O"),0),IF(E46="O",$C$46/COUNTIF($C46:$M46,"O"),0),IF(E47="O",$C$47/COUNTIF($D47:$M47,"O"),0),IF(E48="O",$C$48/COUNTIF($D48:$M48,"O"),0),IF(E49="O",$C$49/COUNTIF($D49:$M49,"O"),0),IF(E50="O",$C$50/COUNTIF($D50:$M50,"O"),0),IF(E51="O",$C$51/COUNTIF($D51:$M51,"O"),0),IF(E52="O",$C$52/COUNTIF($D52:$M52,"O"),0),IF(E53="O",$C$53/COUNTIF($D53:$M53,"O"),0))</f>
        <v>14730000</v>
      </c>
      <c r="F55" s="164">
        <f t="shared" si="1"/>
        <v>2480000</v>
      </c>
      <c r="G55" s="164">
        <f t="shared" si="1"/>
        <v>2480000</v>
      </c>
      <c r="H55" s="164">
        <f t="shared" si="1"/>
        <v>2480000</v>
      </c>
      <c r="I55" s="164">
        <f t="shared" si="1"/>
        <v>2480000</v>
      </c>
      <c r="J55" s="164">
        <f t="shared" si="1"/>
        <v>2480000</v>
      </c>
      <c r="K55" s="164">
        <f t="shared" si="1"/>
        <v>4146666.666666667</v>
      </c>
      <c r="L55" s="164">
        <f t="shared" si="1"/>
        <v>4146666.666666667</v>
      </c>
      <c r="M55" s="612">
        <f t="shared" si="1"/>
        <v>4146666.666666667</v>
      </c>
      <c r="N55" s="29"/>
    </row>
    <row r="56" spans="1:16" ht="23.25" customHeight="1" thickBot="1">
      <c r="A56" s="171"/>
      <c r="B56" s="172"/>
      <c r="C56" s="172"/>
      <c r="D56" s="172"/>
      <c r="E56" s="172"/>
      <c r="F56" s="701"/>
      <c r="G56" s="172"/>
      <c r="H56" s="172"/>
      <c r="I56" s="172"/>
      <c r="J56" s="172"/>
      <c r="K56" s="172"/>
      <c r="L56" s="172"/>
      <c r="M56" s="172"/>
      <c r="N56" s="29"/>
    </row>
    <row r="57" spans="1:16" ht="39.950000000000003" customHeight="1">
      <c r="A57" s="702" t="s">
        <v>197</v>
      </c>
      <c r="B57" s="703"/>
      <c r="C57" s="703"/>
      <c r="D57" s="703"/>
      <c r="E57" s="703"/>
      <c r="F57" s="703"/>
      <c r="G57" s="703"/>
      <c r="H57" s="703"/>
      <c r="I57" s="703"/>
      <c r="J57" s="703"/>
      <c r="K57" s="704"/>
      <c r="L57" s="704"/>
      <c r="M57" s="173"/>
      <c r="N57" s="29"/>
    </row>
    <row r="58" spans="1:16" ht="30" customHeight="1">
      <c r="A58" s="450" t="s">
        <v>166</v>
      </c>
      <c r="B58" s="451" t="s">
        <v>177</v>
      </c>
      <c r="C58" s="451" t="s">
        <v>94</v>
      </c>
      <c r="D58" s="451" t="s">
        <v>98</v>
      </c>
      <c r="E58" s="451" t="s">
        <v>102</v>
      </c>
      <c r="F58" s="451" t="s">
        <v>105</v>
      </c>
      <c r="G58" s="451" t="s">
        <v>108</v>
      </c>
      <c r="H58" s="451" t="s">
        <v>111</v>
      </c>
      <c r="I58" s="451" t="s">
        <v>114</v>
      </c>
      <c r="J58" s="452" t="s">
        <v>115</v>
      </c>
      <c r="K58" s="452" t="s">
        <v>117</v>
      </c>
      <c r="L58" s="453" t="s">
        <v>119</v>
      </c>
      <c r="M58" s="174"/>
      <c r="N58" s="29"/>
    </row>
    <row r="59" spans="1:16" ht="30" customHeight="1">
      <c r="A59" s="634" t="s">
        <v>142</v>
      </c>
      <c r="B59" s="464">
        <f>3*F3</f>
        <v>8089092</v>
      </c>
      <c r="C59" s="465" t="s">
        <v>169</v>
      </c>
      <c r="D59" s="465" t="s">
        <v>169</v>
      </c>
      <c r="E59" s="465" t="s">
        <v>169</v>
      </c>
      <c r="F59" s="465" t="s">
        <v>169</v>
      </c>
      <c r="G59" s="465" t="s">
        <v>169</v>
      </c>
      <c r="H59" s="465" t="s">
        <v>169</v>
      </c>
      <c r="I59" s="465" t="s">
        <v>169</v>
      </c>
      <c r="J59" s="465" t="s">
        <v>169</v>
      </c>
      <c r="K59" s="465"/>
      <c r="L59" s="613"/>
      <c r="M59" s="195"/>
      <c r="N59" s="29"/>
    </row>
    <row r="60" spans="1:16" ht="30" customHeight="1">
      <c r="A60" s="634" t="s">
        <v>146</v>
      </c>
      <c r="B60" s="464">
        <f>3*F4</f>
        <v>348915.6</v>
      </c>
      <c r="C60" s="465"/>
      <c r="D60" s="465"/>
      <c r="E60" s="465"/>
      <c r="F60" s="466"/>
      <c r="G60" s="466"/>
      <c r="H60" s="465"/>
      <c r="I60" s="465"/>
      <c r="J60" s="466"/>
      <c r="K60" s="465" t="s">
        <v>169</v>
      </c>
      <c r="L60" s="613"/>
      <c r="M60" s="195"/>
      <c r="N60" s="29"/>
    </row>
    <row r="61" spans="1:16" ht="30" customHeight="1" thickBot="1">
      <c r="A61" s="635" t="s">
        <v>150</v>
      </c>
      <c r="B61" s="631">
        <f>3*F5</f>
        <v>206474.40000000002</v>
      </c>
      <c r="C61" s="632"/>
      <c r="D61" s="632"/>
      <c r="E61" s="632"/>
      <c r="F61" s="633"/>
      <c r="G61" s="633"/>
      <c r="H61" s="632"/>
      <c r="I61" s="632"/>
      <c r="J61" s="633"/>
      <c r="K61" s="632" t="s">
        <v>169</v>
      </c>
      <c r="L61" s="636"/>
      <c r="M61" s="195"/>
      <c r="N61" s="29"/>
    </row>
    <row r="62" spans="1:16" s="192" customFormat="1" ht="30" customHeight="1" thickTop="1" thickBot="1">
      <c r="A62" s="620" t="s">
        <v>12</v>
      </c>
      <c r="B62" s="637">
        <f>SUM(B59:B61)</f>
        <v>8644482</v>
      </c>
      <c r="C62" s="637" cm="1">
        <f t="array" ref="C62">SUM(IF(C59:C61="O",$B$59/COUNTIF($C59:$L61,"O")))</f>
        <v>808909.2</v>
      </c>
      <c r="D62" s="637" cm="1">
        <f t="array" ref="D62">SUM(IF(D59:D61="O",$B$59/COUNTIF($C59:$L61,"O")))</f>
        <v>808909.2</v>
      </c>
      <c r="E62" s="637" cm="1">
        <f t="array" ref="E62">SUM(IF(E59:E61="O",$B$59/COUNTIF($C59:$L61,"O")))</f>
        <v>808909.2</v>
      </c>
      <c r="F62" s="637" cm="1">
        <f t="array" ref="F62">SUM(IF(F59:F61="O",$B$59/COUNTIF($C59:$L61,"O")))</f>
        <v>808909.2</v>
      </c>
      <c r="G62" s="637" cm="1">
        <f t="array" ref="G62">SUM(IF(G59:G61="O",$B$59/COUNTIF($C59:$L61,"O")))</f>
        <v>808909.2</v>
      </c>
      <c r="H62" s="637" cm="1">
        <f t="array" ref="H62">SUM(IF(H59:H61="O",$B$59/COUNTIF($C59:$L61,"O")))</f>
        <v>808909.2</v>
      </c>
      <c r="I62" s="637" cm="1">
        <f t="array" ref="I62">SUM(IF(I59:I61="O",$B$59/COUNTIF($C59:$L61,"O")))</f>
        <v>808909.2</v>
      </c>
      <c r="J62" s="637" cm="1">
        <f t="array" ref="J62">SUM(IF(J59:J61="O",$B$59/COUNTIF($C59:$L61,"O")))</f>
        <v>808909.2</v>
      </c>
      <c r="K62" s="637" cm="1">
        <f t="array" ref="K62">SUM(IF(K59:K61="O",$B$59/COUNTIF($C59:$L61,"O")))</f>
        <v>1617818.4</v>
      </c>
      <c r="L62" s="638" cm="1">
        <f t="array" ref="L62">SUM(IF(L59:L61="O",$B$59/COUNTIF($C59:$L61,"O")))</f>
        <v>0</v>
      </c>
      <c r="M62" s="189"/>
      <c r="N62" s="193"/>
    </row>
    <row r="63" spans="1:16" ht="23.25" customHeight="1" thickBot="1"/>
    <row r="64" spans="1:16" ht="47.45" customHeight="1" thickBot="1">
      <c r="A64" s="990" t="s">
        <v>198</v>
      </c>
      <c r="B64" s="705"/>
      <c r="C64" s="705"/>
      <c r="D64" s="705"/>
      <c r="E64" s="706"/>
      <c r="F64" s="706"/>
      <c r="G64" s="706"/>
      <c r="H64" s="706"/>
      <c r="I64" s="706"/>
      <c r="J64" s="706"/>
      <c r="K64" s="707"/>
      <c r="L64" s="707"/>
      <c r="M64" s="173"/>
    </row>
    <row r="65" spans="1:46" ht="47.45" customHeight="1" thickBot="1">
      <c r="A65" s="991"/>
      <c r="B65" s="708"/>
      <c r="C65" s="1053" t="s">
        <v>199</v>
      </c>
      <c r="D65" s="1053"/>
      <c r="E65" s="1053"/>
      <c r="F65" s="1053" t="s">
        <v>200</v>
      </c>
      <c r="G65" s="1053"/>
      <c r="H65" s="1053"/>
      <c r="I65" s="1053" t="s">
        <v>201</v>
      </c>
      <c r="J65" s="1053"/>
      <c r="K65" s="1053"/>
      <c r="L65" s="709" t="s">
        <v>202</v>
      </c>
      <c r="M65" s="173"/>
    </row>
    <row r="66" spans="1:46" ht="39.950000000000003" customHeight="1" thickBot="1">
      <c r="A66" s="710" t="s">
        <v>154</v>
      </c>
      <c r="B66" s="711" t="s">
        <v>89</v>
      </c>
      <c r="C66" s="712" t="s">
        <v>203</v>
      </c>
      <c r="D66" s="712" t="s">
        <v>204</v>
      </c>
      <c r="E66" s="712" t="s">
        <v>205</v>
      </c>
      <c r="F66" s="712" t="s">
        <v>206</v>
      </c>
      <c r="G66" s="712" t="s">
        <v>207</v>
      </c>
      <c r="H66" s="712" t="s">
        <v>208</v>
      </c>
      <c r="I66" s="712" t="s">
        <v>209</v>
      </c>
      <c r="J66" s="712" t="s">
        <v>210</v>
      </c>
      <c r="K66" s="712" t="s">
        <v>211</v>
      </c>
      <c r="L66" s="713"/>
    </row>
    <row r="67" spans="1:46" ht="39.950000000000003" customHeight="1">
      <c r="A67" s="1054" t="s">
        <v>161</v>
      </c>
      <c r="B67" s="714" t="s">
        <v>94</v>
      </c>
      <c r="C67" s="992">
        <v>46023</v>
      </c>
      <c r="D67" s="992">
        <f>EOMONTH(C67,E67-1)</f>
        <v>46477</v>
      </c>
      <c r="E67" s="993">
        <v>15</v>
      </c>
      <c r="F67" s="992">
        <f>D67+1</f>
        <v>46478</v>
      </c>
      <c r="G67" s="992">
        <f>EOMONTH(F67,H67-1)</f>
        <v>47573</v>
      </c>
      <c r="H67" s="993">
        <v>36</v>
      </c>
      <c r="I67" s="992">
        <f>G67+1</f>
        <v>47574</v>
      </c>
      <c r="J67" s="992">
        <f>EOMONTH(I67,K67-1)</f>
        <v>47756</v>
      </c>
      <c r="K67" s="993">
        <v>6</v>
      </c>
      <c r="L67" s="994">
        <f>E67+H67+K67</f>
        <v>57</v>
      </c>
      <c r="Q67" s="192"/>
    </row>
    <row r="68" spans="1:46" ht="39.950000000000003" customHeight="1" thickBot="1">
      <c r="A68" s="1055"/>
      <c r="B68" s="715" t="s">
        <v>98</v>
      </c>
      <c r="C68" s="716">
        <v>46023</v>
      </c>
      <c r="D68" s="716">
        <f t="shared" ref="D68:D76" si="2">EOMONTH(C68,E68-1)</f>
        <v>46477</v>
      </c>
      <c r="E68" s="717">
        <v>15</v>
      </c>
      <c r="F68" s="716">
        <f t="shared" ref="F68:F76" si="3">D68+1</f>
        <v>46478</v>
      </c>
      <c r="G68" s="716">
        <f t="shared" ref="G68:G76" si="4">EOMONTH(F68,H68-1)</f>
        <v>47573</v>
      </c>
      <c r="H68" s="717">
        <v>36</v>
      </c>
      <c r="I68" s="716">
        <f t="shared" ref="I68:I76" si="5">G68+1</f>
        <v>47574</v>
      </c>
      <c r="J68" s="716">
        <f t="shared" ref="J68:J76" si="6">EOMONTH(I68,K68-1)</f>
        <v>47756</v>
      </c>
      <c r="K68" s="717">
        <v>6</v>
      </c>
      <c r="L68" s="718">
        <f t="shared" ref="L68:L76" si="7">E68+H68+K68</f>
        <v>57</v>
      </c>
    </row>
    <row r="69" spans="1:46" ht="39.950000000000003" customHeight="1">
      <c r="A69" s="1056" t="s">
        <v>162</v>
      </c>
      <c r="B69" s="714" t="s">
        <v>102</v>
      </c>
      <c r="C69" s="992">
        <v>46753</v>
      </c>
      <c r="D69" s="992">
        <f t="shared" si="2"/>
        <v>47208</v>
      </c>
      <c r="E69" s="993">
        <v>15</v>
      </c>
      <c r="F69" s="992">
        <f t="shared" si="3"/>
        <v>47209</v>
      </c>
      <c r="G69" s="992">
        <f t="shared" si="4"/>
        <v>48029</v>
      </c>
      <c r="H69" s="993">
        <v>27</v>
      </c>
      <c r="I69" s="992">
        <f t="shared" si="5"/>
        <v>48030</v>
      </c>
      <c r="J69" s="992">
        <f t="shared" si="6"/>
        <v>48213</v>
      </c>
      <c r="K69" s="993">
        <v>6</v>
      </c>
      <c r="L69" s="994">
        <f t="shared" si="7"/>
        <v>48</v>
      </c>
    </row>
    <row r="70" spans="1:46" ht="39.950000000000003" customHeight="1">
      <c r="A70" s="1057"/>
      <c r="B70" s="719" t="s">
        <v>105</v>
      </c>
      <c r="C70" s="720">
        <v>46753</v>
      </c>
      <c r="D70" s="720">
        <f t="shared" si="2"/>
        <v>47208</v>
      </c>
      <c r="E70" s="721">
        <v>15</v>
      </c>
      <c r="F70" s="720">
        <f t="shared" si="3"/>
        <v>47209</v>
      </c>
      <c r="G70" s="720">
        <f t="shared" si="4"/>
        <v>48029</v>
      </c>
      <c r="H70" s="721">
        <v>27</v>
      </c>
      <c r="I70" s="720">
        <f t="shared" si="5"/>
        <v>48030</v>
      </c>
      <c r="J70" s="720">
        <f t="shared" si="6"/>
        <v>48213</v>
      </c>
      <c r="K70" s="721">
        <v>6</v>
      </c>
      <c r="L70" s="722">
        <f t="shared" si="7"/>
        <v>48</v>
      </c>
    </row>
    <row r="71" spans="1:46" ht="39.950000000000003" customHeight="1" thickBot="1">
      <c r="A71" s="1058"/>
      <c r="B71" s="723" t="s">
        <v>108</v>
      </c>
      <c r="C71" s="716">
        <v>46753</v>
      </c>
      <c r="D71" s="716">
        <f t="shared" si="2"/>
        <v>47208</v>
      </c>
      <c r="E71" s="717">
        <v>15</v>
      </c>
      <c r="F71" s="716">
        <f t="shared" si="3"/>
        <v>47209</v>
      </c>
      <c r="G71" s="716">
        <f t="shared" si="4"/>
        <v>48029</v>
      </c>
      <c r="H71" s="717">
        <v>27</v>
      </c>
      <c r="I71" s="716">
        <f t="shared" si="5"/>
        <v>48030</v>
      </c>
      <c r="J71" s="716">
        <f t="shared" si="6"/>
        <v>48213</v>
      </c>
      <c r="K71" s="717">
        <v>6</v>
      </c>
      <c r="L71" s="718">
        <f t="shared" si="7"/>
        <v>48</v>
      </c>
    </row>
    <row r="72" spans="1:46" ht="39.950000000000003" customHeight="1">
      <c r="A72" s="1056" t="s">
        <v>163</v>
      </c>
      <c r="B72" s="714" t="s">
        <v>111</v>
      </c>
      <c r="C72" s="992">
        <v>47484</v>
      </c>
      <c r="D72" s="992">
        <f t="shared" si="2"/>
        <v>47938</v>
      </c>
      <c r="E72" s="993">
        <v>15</v>
      </c>
      <c r="F72" s="992">
        <f t="shared" si="3"/>
        <v>47939</v>
      </c>
      <c r="G72" s="992">
        <f t="shared" si="4"/>
        <v>49034</v>
      </c>
      <c r="H72" s="993">
        <v>36</v>
      </c>
      <c r="I72" s="992">
        <f t="shared" si="5"/>
        <v>49035</v>
      </c>
      <c r="J72" s="992">
        <f t="shared" si="6"/>
        <v>49217</v>
      </c>
      <c r="K72" s="993">
        <v>6</v>
      </c>
      <c r="L72" s="994">
        <f t="shared" si="7"/>
        <v>57</v>
      </c>
    </row>
    <row r="73" spans="1:46" ht="39.950000000000003" customHeight="1" thickBot="1">
      <c r="A73" s="1058"/>
      <c r="B73" s="723" t="s">
        <v>114</v>
      </c>
      <c r="C73" s="716">
        <v>47484</v>
      </c>
      <c r="D73" s="716">
        <f t="shared" si="2"/>
        <v>47938</v>
      </c>
      <c r="E73" s="717">
        <v>15</v>
      </c>
      <c r="F73" s="716">
        <f t="shared" si="3"/>
        <v>47939</v>
      </c>
      <c r="G73" s="716">
        <f t="shared" si="4"/>
        <v>48760</v>
      </c>
      <c r="H73" s="717">
        <v>27</v>
      </c>
      <c r="I73" s="716">
        <f t="shared" si="5"/>
        <v>48761</v>
      </c>
      <c r="J73" s="716">
        <f t="shared" si="6"/>
        <v>48944</v>
      </c>
      <c r="K73" s="717">
        <v>6</v>
      </c>
      <c r="L73" s="718">
        <f t="shared" si="7"/>
        <v>48</v>
      </c>
    </row>
    <row r="74" spans="1:46" ht="39.950000000000003" customHeight="1">
      <c r="A74" s="1057" t="s">
        <v>164</v>
      </c>
      <c r="B74" s="724" t="s">
        <v>115</v>
      </c>
      <c r="C74" s="725">
        <v>48214</v>
      </c>
      <c r="D74" s="725">
        <f t="shared" si="2"/>
        <v>48669</v>
      </c>
      <c r="E74" s="726">
        <v>15</v>
      </c>
      <c r="F74" s="725">
        <f t="shared" si="3"/>
        <v>48670</v>
      </c>
      <c r="G74" s="725">
        <f t="shared" si="4"/>
        <v>49765</v>
      </c>
      <c r="H74" s="726">
        <v>36</v>
      </c>
      <c r="I74" s="725">
        <f t="shared" si="5"/>
        <v>49766</v>
      </c>
      <c r="J74" s="725">
        <f t="shared" si="6"/>
        <v>49948</v>
      </c>
      <c r="K74" s="726">
        <v>6</v>
      </c>
      <c r="L74" s="727">
        <f t="shared" si="7"/>
        <v>57</v>
      </c>
      <c r="Q74" s="192"/>
    </row>
    <row r="75" spans="1:46" ht="39.950000000000003" customHeight="1">
      <c r="A75" s="1057"/>
      <c r="B75" s="719" t="s">
        <v>117</v>
      </c>
      <c r="C75" s="720">
        <v>48214</v>
      </c>
      <c r="D75" s="720">
        <f t="shared" si="2"/>
        <v>48669</v>
      </c>
      <c r="E75" s="721">
        <v>15</v>
      </c>
      <c r="F75" s="720">
        <f t="shared" si="3"/>
        <v>48670</v>
      </c>
      <c r="G75" s="720">
        <f t="shared" si="4"/>
        <v>49765</v>
      </c>
      <c r="H75" s="721">
        <v>36</v>
      </c>
      <c r="I75" s="720">
        <f t="shared" si="5"/>
        <v>49766</v>
      </c>
      <c r="J75" s="720">
        <f t="shared" si="6"/>
        <v>49948</v>
      </c>
      <c r="K75" s="721">
        <v>6</v>
      </c>
      <c r="L75" s="722">
        <f t="shared" si="7"/>
        <v>57</v>
      </c>
      <c r="Q75" s="192"/>
    </row>
    <row r="76" spans="1:46" ht="39.950000000000003" customHeight="1" thickBot="1">
      <c r="A76" s="1058"/>
      <c r="B76" s="723" t="s">
        <v>119</v>
      </c>
      <c r="C76" s="716">
        <v>48214</v>
      </c>
      <c r="D76" s="716">
        <f t="shared" si="2"/>
        <v>48669</v>
      </c>
      <c r="E76" s="717">
        <v>15</v>
      </c>
      <c r="F76" s="716">
        <f t="shared" si="3"/>
        <v>48670</v>
      </c>
      <c r="G76" s="716">
        <f t="shared" si="4"/>
        <v>49765</v>
      </c>
      <c r="H76" s="717">
        <v>36</v>
      </c>
      <c r="I76" s="716">
        <f t="shared" si="5"/>
        <v>49766</v>
      </c>
      <c r="J76" s="716">
        <f t="shared" si="6"/>
        <v>49948</v>
      </c>
      <c r="K76" s="717">
        <v>6</v>
      </c>
      <c r="L76" s="718">
        <f t="shared" si="7"/>
        <v>57</v>
      </c>
    </row>
    <row r="77" spans="1:46" ht="23.25" customHeight="1" thickBot="1">
      <c r="D77" s="260"/>
    </row>
    <row r="78" spans="1:46" ht="47.45" customHeight="1">
      <c r="A78" s="995" t="s">
        <v>198</v>
      </c>
      <c r="B78" s="996"/>
      <c r="C78" s="639"/>
      <c r="D78" s="639"/>
      <c r="E78" s="639"/>
      <c r="F78" s="639"/>
      <c r="G78" s="639"/>
      <c r="H78" s="639"/>
      <c r="I78" s="639"/>
      <c r="J78" s="639"/>
      <c r="K78" s="639"/>
      <c r="L78" s="639"/>
      <c r="M78" s="639"/>
      <c r="N78" s="639"/>
      <c r="O78" s="639"/>
      <c r="P78" s="639"/>
      <c r="Q78" s="640"/>
      <c r="R78" s="640"/>
      <c r="S78" s="640"/>
      <c r="T78" s="640"/>
      <c r="U78" s="640"/>
      <c r="V78" s="640"/>
      <c r="W78" s="640"/>
      <c r="X78" s="640"/>
      <c r="Y78" s="640"/>
      <c r="Z78" s="640"/>
      <c r="AA78" s="640"/>
      <c r="AB78" s="640"/>
      <c r="AC78" s="640"/>
      <c r="AD78" s="640"/>
      <c r="AE78" s="640"/>
      <c r="AF78" s="640"/>
      <c r="AG78" s="640"/>
      <c r="AH78" s="640"/>
      <c r="AI78" s="640"/>
      <c r="AJ78" s="640"/>
      <c r="AK78" s="640"/>
      <c r="AL78" s="640"/>
      <c r="AM78" s="640"/>
      <c r="AN78" s="640"/>
      <c r="AO78" s="640"/>
      <c r="AP78" s="640"/>
      <c r="AQ78" s="640"/>
      <c r="AR78" s="640"/>
      <c r="AS78" s="640"/>
      <c r="AT78" s="997"/>
    </row>
    <row r="79" spans="1:46" ht="30" customHeight="1">
      <c r="A79" s="604" t="s">
        <v>154</v>
      </c>
      <c r="B79" s="444" t="s">
        <v>89</v>
      </c>
      <c r="C79" s="651">
        <v>46023</v>
      </c>
      <c r="D79" s="651">
        <f>EOMONTH(C79,3)</f>
        <v>46142</v>
      </c>
      <c r="E79" s="651">
        <f>EOMONTH(D79,3)</f>
        <v>46234</v>
      </c>
      <c r="F79" s="651">
        <f>EOMONTH(E79,3)</f>
        <v>46326</v>
      </c>
      <c r="G79" s="651">
        <f t="shared" ref="G79:AM79" si="8">EOMONTH(F79,3)</f>
        <v>46418</v>
      </c>
      <c r="H79" s="651">
        <f t="shared" si="8"/>
        <v>46507</v>
      </c>
      <c r="I79" s="651">
        <f t="shared" si="8"/>
        <v>46599</v>
      </c>
      <c r="J79" s="651">
        <f t="shared" si="8"/>
        <v>46691</v>
      </c>
      <c r="K79" s="651">
        <f t="shared" si="8"/>
        <v>46783</v>
      </c>
      <c r="L79" s="651">
        <f t="shared" si="8"/>
        <v>46873</v>
      </c>
      <c r="M79" s="651">
        <f t="shared" si="8"/>
        <v>46965</v>
      </c>
      <c r="N79" s="651">
        <f t="shared" si="8"/>
        <v>47057</v>
      </c>
      <c r="O79" s="651">
        <f t="shared" si="8"/>
        <v>47149</v>
      </c>
      <c r="P79" s="651">
        <f t="shared" si="8"/>
        <v>47238</v>
      </c>
      <c r="Q79" s="651">
        <f t="shared" si="8"/>
        <v>47330</v>
      </c>
      <c r="R79" s="651">
        <f t="shared" si="8"/>
        <v>47422</v>
      </c>
      <c r="S79" s="651">
        <f t="shared" si="8"/>
        <v>47514</v>
      </c>
      <c r="T79" s="651">
        <f t="shared" si="8"/>
        <v>47603</v>
      </c>
      <c r="U79" s="651">
        <f t="shared" si="8"/>
        <v>47695</v>
      </c>
      <c r="V79" s="651">
        <f t="shared" si="8"/>
        <v>47787</v>
      </c>
      <c r="W79" s="651">
        <f t="shared" si="8"/>
        <v>47879</v>
      </c>
      <c r="X79" s="651">
        <f t="shared" si="8"/>
        <v>47968</v>
      </c>
      <c r="Y79" s="651">
        <f t="shared" si="8"/>
        <v>48060</v>
      </c>
      <c r="Z79" s="651">
        <f t="shared" si="8"/>
        <v>48152</v>
      </c>
      <c r="AA79" s="651">
        <f t="shared" si="8"/>
        <v>48244</v>
      </c>
      <c r="AB79" s="651">
        <f t="shared" si="8"/>
        <v>48334</v>
      </c>
      <c r="AC79" s="651">
        <f t="shared" si="8"/>
        <v>48426</v>
      </c>
      <c r="AD79" s="651">
        <f t="shared" si="8"/>
        <v>48518</v>
      </c>
      <c r="AE79" s="651">
        <f t="shared" si="8"/>
        <v>48610</v>
      </c>
      <c r="AF79" s="651">
        <f t="shared" si="8"/>
        <v>48699</v>
      </c>
      <c r="AG79" s="651">
        <f t="shared" si="8"/>
        <v>48791</v>
      </c>
      <c r="AH79" s="651">
        <f t="shared" si="8"/>
        <v>48883</v>
      </c>
      <c r="AI79" s="651">
        <f t="shared" si="8"/>
        <v>48975</v>
      </c>
      <c r="AJ79" s="651">
        <f t="shared" si="8"/>
        <v>49064</v>
      </c>
      <c r="AK79" s="651">
        <f t="shared" si="8"/>
        <v>49156</v>
      </c>
      <c r="AL79" s="651">
        <f t="shared" si="8"/>
        <v>49248</v>
      </c>
      <c r="AM79" s="651">
        <f t="shared" si="8"/>
        <v>49340</v>
      </c>
      <c r="AN79" s="651">
        <f>EOMONTH(AM79,3)</f>
        <v>49429</v>
      </c>
      <c r="AO79" s="651">
        <f t="shared" ref="AO79:AT79" si="9">EOMONTH(AN79,3)</f>
        <v>49521</v>
      </c>
      <c r="AP79" s="651">
        <f t="shared" si="9"/>
        <v>49613</v>
      </c>
      <c r="AQ79" s="651">
        <f t="shared" si="9"/>
        <v>49705</v>
      </c>
      <c r="AR79" s="651">
        <f t="shared" si="9"/>
        <v>49795</v>
      </c>
      <c r="AS79" s="651">
        <f t="shared" si="9"/>
        <v>49887</v>
      </c>
      <c r="AT79" s="652">
        <f t="shared" si="9"/>
        <v>49979</v>
      </c>
    </row>
    <row r="80" spans="1:46" ht="30" customHeight="1">
      <c r="A80" s="1059" t="s">
        <v>161</v>
      </c>
      <c r="B80" s="477" t="s">
        <v>94</v>
      </c>
      <c r="C80" s="1039" t="s">
        <v>212</v>
      </c>
      <c r="D80" s="1039"/>
      <c r="E80" s="1039"/>
      <c r="F80" s="1039"/>
      <c r="G80" s="1039"/>
      <c r="H80" s="1037" t="s">
        <v>213</v>
      </c>
      <c r="I80" s="1089"/>
      <c r="J80" s="1089"/>
      <c r="K80" s="1089"/>
      <c r="L80" s="1089"/>
      <c r="M80" s="1089"/>
      <c r="N80" s="1089"/>
      <c r="O80" s="1089"/>
      <c r="P80" s="1089"/>
      <c r="Q80" s="1089"/>
      <c r="R80" s="1089"/>
      <c r="S80" s="1038"/>
      <c r="T80" s="1033" t="s">
        <v>201</v>
      </c>
      <c r="U80" s="1034"/>
      <c r="V80" s="1090"/>
      <c r="W80" s="1090"/>
      <c r="X80" s="1090"/>
      <c r="Y80" s="1090"/>
      <c r="Z80" s="1090"/>
      <c r="AA80" s="1090"/>
      <c r="AB80" s="1090"/>
      <c r="AC80" s="1090"/>
      <c r="AD80" s="1090"/>
      <c r="AE80" s="1090"/>
      <c r="AF80" s="1090"/>
      <c r="AG80" s="1090"/>
      <c r="AH80" s="1090"/>
      <c r="AI80" s="1090"/>
      <c r="AJ80" s="1090"/>
      <c r="AK80" s="1090"/>
      <c r="AL80" s="1090"/>
      <c r="AM80" s="1090"/>
      <c r="AN80" s="1090"/>
      <c r="AO80" s="1090"/>
      <c r="AP80" s="1090"/>
      <c r="AQ80" s="1090"/>
      <c r="AR80" s="1090"/>
      <c r="AS80" s="1090"/>
      <c r="AT80" s="641"/>
    </row>
    <row r="81" spans="1:46" ht="30" customHeight="1">
      <c r="A81" s="1060"/>
      <c r="B81" s="478" t="s">
        <v>98</v>
      </c>
      <c r="C81" s="1039" t="s">
        <v>212</v>
      </c>
      <c r="D81" s="1039"/>
      <c r="E81" s="1039"/>
      <c r="F81" s="1039"/>
      <c r="G81" s="1039"/>
      <c r="H81" s="1037" t="s">
        <v>213</v>
      </c>
      <c r="I81" s="1089"/>
      <c r="J81" s="1089"/>
      <c r="K81" s="1089"/>
      <c r="L81" s="1089"/>
      <c r="M81" s="1089"/>
      <c r="N81" s="1089"/>
      <c r="O81" s="1089"/>
      <c r="P81" s="1089"/>
      <c r="Q81" s="1089"/>
      <c r="R81" s="1089"/>
      <c r="S81" s="1038"/>
      <c r="T81" s="1040" t="s">
        <v>201</v>
      </c>
      <c r="U81" s="1041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42"/>
    </row>
    <row r="82" spans="1:46" ht="30" customHeight="1">
      <c r="A82" s="1048" t="s">
        <v>162</v>
      </c>
      <c r="B82" s="475" t="s">
        <v>102</v>
      </c>
      <c r="C82" s="643"/>
      <c r="D82" s="1091"/>
      <c r="E82" s="1091"/>
      <c r="F82" s="1091"/>
      <c r="G82" s="1091"/>
      <c r="H82" s="1091"/>
      <c r="I82" s="1091"/>
      <c r="J82" s="1091"/>
      <c r="K82" s="1039" t="s">
        <v>212</v>
      </c>
      <c r="L82" s="1039"/>
      <c r="M82" s="1039"/>
      <c r="N82" s="1039"/>
      <c r="O82" s="1039"/>
      <c r="P82" s="1045" t="s">
        <v>214</v>
      </c>
      <c r="Q82" s="1046"/>
      <c r="R82" s="1046"/>
      <c r="S82" s="1046"/>
      <c r="T82" s="1046"/>
      <c r="U82" s="1046"/>
      <c r="V82" s="1046"/>
      <c r="W82" s="1046"/>
      <c r="X82" s="1047"/>
      <c r="Y82" s="1033" t="s">
        <v>201</v>
      </c>
      <c r="Z82" s="1034"/>
      <c r="AA82" s="68"/>
      <c r="AB82" s="68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42"/>
    </row>
    <row r="83" spans="1:46" ht="30" customHeight="1">
      <c r="A83" s="1049"/>
      <c r="B83" s="475" t="s">
        <v>105</v>
      </c>
      <c r="C83" s="998"/>
      <c r="D83" s="68"/>
      <c r="E83" s="68"/>
      <c r="F83" s="68"/>
      <c r="G83" s="68"/>
      <c r="H83" s="68"/>
      <c r="I83" s="68"/>
      <c r="J83" s="68"/>
      <c r="K83" s="1039" t="s">
        <v>212</v>
      </c>
      <c r="L83" s="1039"/>
      <c r="M83" s="1039"/>
      <c r="N83" s="1039"/>
      <c r="O83" s="1039"/>
      <c r="P83" s="1045" t="s">
        <v>214</v>
      </c>
      <c r="Q83" s="1046"/>
      <c r="R83" s="1046"/>
      <c r="S83" s="1046"/>
      <c r="T83" s="1046"/>
      <c r="U83" s="1046"/>
      <c r="V83" s="1046"/>
      <c r="W83" s="1046"/>
      <c r="X83" s="1047"/>
      <c r="Y83" s="1033" t="s">
        <v>201</v>
      </c>
      <c r="Z83" s="1034"/>
      <c r="AA83" s="66"/>
      <c r="AB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42"/>
    </row>
    <row r="84" spans="1:46" ht="30" customHeight="1">
      <c r="A84" s="1051"/>
      <c r="B84" s="475" t="s">
        <v>108</v>
      </c>
      <c r="C84" s="999"/>
      <c r="D84" s="66"/>
      <c r="E84" s="66"/>
      <c r="F84" s="66"/>
      <c r="G84" s="68"/>
      <c r="H84" s="68"/>
      <c r="I84" s="68"/>
      <c r="J84" s="68"/>
      <c r="K84" s="1039" t="s">
        <v>212</v>
      </c>
      <c r="L84" s="1039"/>
      <c r="M84" s="1039"/>
      <c r="N84" s="1039"/>
      <c r="O84" s="1039"/>
      <c r="P84" s="1045" t="s">
        <v>214</v>
      </c>
      <c r="Q84" s="1046"/>
      <c r="R84" s="1046"/>
      <c r="S84" s="1046"/>
      <c r="T84" s="1046"/>
      <c r="U84" s="1046"/>
      <c r="V84" s="1046"/>
      <c r="W84" s="1046"/>
      <c r="X84" s="1047"/>
      <c r="Y84" s="1033" t="s">
        <v>201</v>
      </c>
      <c r="Z84" s="1034"/>
      <c r="AA84" s="66"/>
      <c r="AB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42"/>
    </row>
    <row r="85" spans="1:46" ht="30" customHeight="1">
      <c r="A85" s="1048" t="s">
        <v>163</v>
      </c>
      <c r="B85" s="475" t="s">
        <v>111</v>
      </c>
      <c r="C85" s="999"/>
      <c r="D85" s="66"/>
      <c r="E85" s="66"/>
      <c r="F85" s="66"/>
      <c r="G85" s="66"/>
      <c r="H85" s="66"/>
      <c r="I85" s="66"/>
      <c r="J85" s="66"/>
      <c r="K85" s="68"/>
      <c r="L85" s="68"/>
      <c r="M85" s="68"/>
      <c r="N85" s="68"/>
      <c r="O85" s="68"/>
      <c r="P85" s="68"/>
      <c r="Q85" s="68"/>
      <c r="R85" s="68"/>
      <c r="S85" s="1039" t="s">
        <v>212</v>
      </c>
      <c r="T85" s="1039"/>
      <c r="U85" s="1039"/>
      <c r="V85" s="1039"/>
      <c r="W85" s="1039"/>
      <c r="X85" s="1045" t="s">
        <v>213</v>
      </c>
      <c r="Y85" s="1046"/>
      <c r="Z85" s="1046"/>
      <c r="AA85" s="1046"/>
      <c r="AB85" s="1046"/>
      <c r="AC85" s="1046"/>
      <c r="AD85" s="1046"/>
      <c r="AE85" s="1046"/>
      <c r="AF85" s="1046"/>
      <c r="AG85" s="1046"/>
      <c r="AH85" s="1046"/>
      <c r="AI85" s="1047"/>
      <c r="AJ85" s="1033" t="s">
        <v>201</v>
      </c>
      <c r="AK85" s="1034"/>
      <c r="AL85" s="66"/>
      <c r="AM85" s="66"/>
      <c r="AN85" s="66"/>
      <c r="AO85" s="66"/>
      <c r="AP85" s="66"/>
      <c r="AQ85" s="66"/>
      <c r="AR85" s="66"/>
      <c r="AS85" s="66"/>
      <c r="AT85" s="642"/>
    </row>
    <row r="86" spans="1:46" ht="30" customHeight="1">
      <c r="A86" s="1051"/>
      <c r="B86" s="475" t="s">
        <v>114</v>
      </c>
      <c r="C86" s="999"/>
      <c r="D86" s="66"/>
      <c r="E86" s="66"/>
      <c r="F86" s="66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1039" t="s">
        <v>212</v>
      </c>
      <c r="T86" s="1039"/>
      <c r="U86" s="1039"/>
      <c r="V86" s="1039"/>
      <c r="W86" s="1039"/>
      <c r="X86" s="1042" t="s">
        <v>214</v>
      </c>
      <c r="Y86" s="1043"/>
      <c r="Z86" s="1043"/>
      <c r="AA86" s="1043"/>
      <c r="AB86" s="1043"/>
      <c r="AC86" s="1043"/>
      <c r="AD86" s="1043"/>
      <c r="AE86" s="1043"/>
      <c r="AF86" s="1044"/>
      <c r="AG86" s="1035" t="s">
        <v>201</v>
      </c>
      <c r="AH86" s="103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42"/>
    </row>
    <row r="87" spans="1:46" ht="30" customHeight="1">
      <c r="A87" s="1048" t="s">
        <v>164</v>
      </c>
      <c r="B87" s="475" t="s">
        <v>215</v>
      </c>
      <c r="C87" s="999"/>
      <c r="D87" s="66"/>
      <c r="E87" s="66"/>
      <c r="F87" s="66"/>
      <c r="G87" s="66"/>
      <c r="H87" s="66"/>
      <c r="I87" s="66"/>
      <c r="J87" s="66"/>
      <c r="K87" s="66"/>
      <c r="L87" s="66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1039" t="s">
        <v>212</v>
      </c>
      <c r="AB87" s="1039"/>
      <c r="AC87" s="1039"/>
      <c r="AD87" s="1039"/>
      <c r="AE87" s="1039"/>
      <c r="AF87" s="1037" t="s">
        <v>213</v>
      </c>
      <c r="AG87" s="1089"/>
      <c r="AH87" s="1089"/>
      <c r="AI87" s="1089"/>
      <c r="AJ87" s="1089"/>
      <c r="AK87" s="1089"/>
      <c r="AL87" s="1089"/>
      <c r="AM87" s="1089"/>
      <c r="AN87" s="1089"/>
      <c r="AO87" s="1089"/>
      <c r="AP87" s="1089"/>
      <c r="AQ87" s="1038"/>
      <c r="AR87" s="1033" t="s">
        <v>201</v>
      </c>
      <c r="AS87" s="1034"/>
      <c r="AT87" s="642"/>
    </row>
    <row r="88" spans="1:46" ht="30" customHeight="1">
      <c r="A88" s="1049"/>
      <c r="B88" s="475" t="s">
        <v>216</v>
      </c>
      <c r="C88" s="999"/>
      <c r="D88" s="66"/>
      <c r="E88" s="66"/>
      <c r="F88" s="66"/>
      <c r="G88" s="66"/>
      <c r="H88" s="66"/>
      <c r="I88" s="66"/>
      <c r="J88" s="644"/>
      <c r="K88" s="645"/>
      <c r="L88" s="646"/>
      <c r="M88" s="646"/>
      <c r="N88" s="66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1039" t="s">
        <v>212</v>
      </c>
      <c r="AB88" s="1039"/>
      <c r="AC88" s="1039"/>
      <c r="AD88" s="1039"/>
      <c r="AE88" s="1039"/>
      <c r="AF88" s="1037" t="s">
        <v>213</v>
      </c>
      <c r="AG88" s="1089"/>
      <c r="AH88" s="1089"/>
      <c r="AI88" s="1089"/>
      <c r="AJ88" s="1089"/>
      <c r="AK88" s="1089"/>
      <c r="AL88" s="1089"/>
      <c r="AM88" s="1089"/>
      <c r="AN88" s="1089"/>
      <c r="AO88" s="1089"/>
      <c r="AP88" s="1089"/>
      <c r="AQ88" s="1038"/>
      <c r="AR88" s="1033" t="s">
        <v>201</v>
      </c>
      <c r="AS88" s="1034"/>
      <c r="AT88" s="642"/>
    </row>
    <row r="89" spans="1:46" ht="30" customHeight="1" thickBot="1">
      <c r="A89" s="1050"/>
      <c r="B89" s="476" t="s">
        <v>217</v>
      </c>
      <c r="C89" s="647"/>
      <c r="D89" s="648"/>
      <c r="E89" s="648"/>
      <c r="F89" s="648"/>
      <c r="G89" s="648"/>
      <c r="H89" s="648"/>
      <c r="I89" s="648"/>
      <c r="J89" s="648"/>
      <c r="K89" s="648"/>
      <c r="L89" s="648"/>
      <c r="M89" s="648"/>
      <c r="N89" s="648"/>
      <c r="O89" s="648"/>
      <c r="P89" s="648"/>
      <c r="Q89" s="648"/>
      <c r="R89" s="649"/>
      <c r="S89" s="649"/>
      <c r="T89" s="649"/>
      <c r="U89" s="649"/>
      <c r="V89" s="649"/>
      <c r="W89" s="649"/>
      <c r="X89" s="649"/>
      <c r="Y89" s="649"/>
      <c r="Z89" s="649"/>
      <c r="AA89" s="1052" t="s">
        <v>212</v>
      </c>
      <c r="AB89" s="1052"/>
      <c r="AC89" s="1052"/>
      <c r="AD89" s="1052"/>
      <c r="AE89" s="1052"/>
      <c r="AF89" s="1028" t="s">
        <v>213</v>
      </c>
      <c r="AG89" s="1029"/>
      <c r="AH89" s="1029"/>
      <c r="AI89" s="1029"/>
      <c r="AJ89" s="1029"/>
      <c r="AK89" s="1029"/>
      <c r="AL89" s="1029"/>
      <c r="AM89" s="1029"/>
      <c r="AN89" s="1029"/>
      <c r="AO89" s="1029"/>
      <c r="AP89" s="1029"/>
      <c r="AQ89" s="1030"/>
      <c r="AR89" s="1031" t="s">
        <v>201</v>
      </c>
      <c r="AS89" s="1032"/>
      <c r="AT89" s="650"/>
    </row>
  </sheetData>
  <mergeCells count="51">
    <mergeCell ref="A22:A25"/>
    <mergeCell ref="A15:A17"/>
    <mergeCell ref="A19:A20"/>
    <mergeCell ref="A10:A13"/>
    <mergeCell ref="B6:C6"/>
    <mergeCell ref="A1:G1"/>
    <mergeCell ref="B3:C3"/>
    <mergeCell ref="B4:C4"/>
    <mergeCell ref="B5:C5"/>
    <mergeCell ref="B2:C2"/>
    <mergeCell ref="I65:K65"/>
    <mergeCell ref="C65:E65"/>
    <mergeCell ref="F65:H65"/>
    <mergeCell ref="C81:G81"/>
    <mergeCell ref="A67:A68"/>
    <mergeCell ref="A69:A71"/>
    <mergeCell ref="A72:A73"/>
    <mergeCell ref="A74:A76"/>
    <mergeCell ref="A80:A81"/>
    <mergeCell ref="C80:G80"/>
    <mergeCell ref="A87:A89"/>
    <mergeCell ref="AA87:AE87"/>
    <mergeCell ref="AA88:AE88"/>
    <mergeCell ref="K82:O82"/>
    <mergeCell ref="K83:O83"/>
    <mergeCell ref="Y83:Z83"/>
    <mergeCell ref="K84:O84"/>
    <mergeCell ref="Y84:Z84"/>
    <mergeCell ref="P82:X82"/>
    <mergeCell ref="P83:X83"/>
    <mergeCell ref="P84:X84"/>
    <mergeCell ref="A85:A86"/>
    <mergeCell ref="S85:W85"/>
    <mergeCell ref="A82:A84"/>
    <mergeCell ref="AA89:AE89"/>
    <mergeCell ref="T80:U80"/>
    <mergeCell ref="S86:W86"/>
    <mergeCell ref="Y82:Z82"/>
    <mergeCell ref="H80:S80"/>
    <mergeCell ref="H81:S81"/>
    <mergeCell ref="T81:U81"/>
    <mergeCell ref="X86:AF86"/>
    <mergeCell ref="X85:AI85"/>
    <mergeCell ref="AF89:AQ89"/>
    <mergeCell ref="AR89:AS89"/>
    <mergeCell ref="AJ85:AK85"/>
    <mergeCell ref="AG86:AH86"/>
    <mergeCell ref="AF87:AQ87"/>
    <mergeCell ref="AR87:AS87"/>
    <mergeCell ref="AF88:AQ88"/>
    <mergeCell ref="AR88:AS88"/>
  </mergeCells>
  <phoneticPr fontId="165" type="noConversion"/>
  <conditionalFormatting sqref="D79:AT79">
    <cfRule type="cellIs" dxfId="141" priority="1" operator="equal">
      <formula>#REF!</formula>
    </cfRule>
    <cfRule type="cellIs" dxfId="140" priority="2" operator="equal">
      <formula>#REF!</formula>
    </cfRule>
    <cfRule type="cellIs" dxfId="139" priority="3" operator="equal">
      <formula>#REF!</formula>
    </cfRule>
    <cfRule type="cellIs" dxfId="138" priority="4" operator="equal">
      <formula>#REF!</formula>
    </cfRule>
  </conditionalFormatting>
  <printOptions horizontalCentered="1" verticalCentered="1"/>
  <pageMargins left="0.7" right="0.7" top="0.75" bottom="0.75" header="0.3" footer="0.3"/>
  <pageSetup scale="21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6B4F6-20FA-4B35-91B1-17A6A54D219E}">
  <sheetPr>
    <tabColor rgb="FF92D050"/>
    <pageSetUpPr fitToPage="1"/>
  </sheetPr>
  <dimension ref="A1:AC183"/>
  <sheetViews>
    <sheetView showGridLines="0" topLeftCell="D1" zoomScale="108" zoomScaleNormal="108" zoomScaleSheetLayoutView="90" workbookViewId="0">
      <selection activeCell="D8" sqref="D8"/>
    </sheetView>
  </sheetViews>
  <sheetFormatPr defaultColWidth="8.85546875" defaultRowHeight="23.25" customHeight="1"/>
  <cols>
    <col min="1" max="1" width="46.140625" style="5" bestFit="1" customWidth="1"/>
    <col min="2" max="2" width="28.85546875" style="5" bestFit="1" customWidth="1"/>
    <col min="3" max="3" width="35.5703125" style="5" customWidth="1"/>
    <col min="4" max="4" width="19.42578125" style="5" bestFit="1" customWidth="1"/>
    <col min="5" max="5" width="19.85546875" style="5" bestFit="1" customWidth="1"/>
    <col min="6" max="6" width="12.42578125" style="5" bestFit="1" customWidth="1"/>
    <col min="7" max="7" width="32.85546875" style="5" bestFit="1" customWidth="1"/>
    <col min="8" max="8" width="28.85546875" style="5" bestFit="1" customWidth="1"/>
    <col min="9" max="9" width="35.5703125" style="5" customWidth="1"/>
    <col min="10" max="11" width="26.85546875" style="5" customWidth="1"/>
    <col min="12" max="12" width="1.5703125" style="5" customWidth="1"/>
    <col min="13" max="13" width="32.85546875" style="5" bestFit="1" customWidth="1"/>
    <col min="14" max="14" width="28.85546875" style="5" bestFit="1" customWidth="1"/>
    <col min="15" max="15" width="35.5703125" style="5" customWidth="1"/>
    <col min="16" max="17" width="26.85546875" style="5" customWidth="1"/>
    <col min="18" max="18" width="1.5703125" style="5" customWidth="1"/>
    <col min="19" max="19" width="32.85546875" style="5" bestFit="1" customWidth="1"/>
    <col min="20" max="20" width="28.85546875" style="5" bestFit="1" customWidth="1"/>
    <col min="21" max="21" width="35.5703125" style="5" customWidth="1"/>
    <col min="22" max="23" width="26.85546875" style="5" customWidth="1"/>
    <col min="24" max="24" width="21.42578125" style="5" bestFit="1" customWidth="1"/>
    <col min="25" max="26" width="24.42578125" style="5" customWidth="1"/>
    <col min="27" max="27" width="32.42578125" style="5" customWidth="1"/>
    <col min="28" max="28" width="20.140625" style="5" customWidth="1"/>
    <col min="29" max="29" width="13.42578125" style="5" bestFit="1" customWidth="1"/>
    <col min="30" max="16384" width="8.85546875" style="5"/>
  </cols>
  <sheetData>
    <row r="1" spans="1:29" ht="23.25" customHeight="1" thickBot="1">
      <c r="A1" s="2"/>
      <c r="B1" s="75"/>
      <c r="C1" s="3"/>
      <c r="D1" s="4"/>
      <c r="Y1" s="124"/>
    </row>
    <row r="2" spans="1:29" ht="30" customHeight="1" thickBot="1">
      <c r="A2" s="1000" t="s">
        <v>381</v>
      </c>
      <c r="B2" s="142"/>
      <c r="C2" s="142" t="s">
        <v>89</v>
      </c>
      <c r="D2" s="1075" t="s">
        <v>117</v>
      </c>
      <c r="E2" s="1076"/>
      <c r="Y2" s="99"/>
    </row>
    <row r="3" spans="1:29" ht="20.25" customHeight="1">
      <c r="B3" s="55"/>
      <c r="C3" s="55"/>
      <c r="D3" s="55"/>
      <c r="E3" s="55"/>
      <c r="Y3" s="137"/>
    </row>
    <row r="4" spans="1:29" ht="24.95" customHeight="1" thickBot="1">
      <c r="A4" s="181" t="s">
        <v>382</v>
      </c>
      <c r="B4" s="117"/>
      <c r="Y4" s="123"/>
      <c r="Z4" s="135"/>
      <c r="AA4" s="55"/>
      <c r="AB4" s="55"/>
      <c r="AC4" s="55"/>
    </row>
    <row r="5" spans="1:29" ht="15" customHeight="1" thickBot="1">
      <c r="A5" s="750" t="s">
        <v>383</v>
      </c>
      <c r="B5" s="751"/>
      <c r="C5" s="180" t="s">
        <v>384</v>
      </c>
      <c r="D5" s="170">
        <f>SUM(E129,K129,Q129)</f>
        <v>6371778.5519999992</v>
      </c>
      <c r="E5" s="568">
        <f>B28-B10-B11+B25</f>
        <v>96727478.988116652</v>
      </c>
      <c r="J5" s="168"/>
      <c r="Y5" s="123"/>
      <c r="Z5" s="135"/>
      <c r="AA5" s="55"/>
      <c r="AB5" s="135"/>
      <c r="AC5" s="55"/>
    </row>
    <row r="6" spans="1:29" ht="15" customHeight="1" thickBot="1">
      <c r="A6" s="752" t="s">
        <v>33</v>
      </c>
      <c r="B6" s="753" t="s">
        <v>385</v>
      </c>
      <c r="C6" s="180" t="s">
        <v>386</v>
      </c>
      <c r="D6" s="170">
        <f>SUM(B171,H171,N171)</f>
        <v>7608236.8129898245</v>
      </c>
      <c r="E6" s="274"/>
      <c r="J6" s="168"/>
      <c r="Y6" s="123"/>
      <c r="Z6" s="135"/>
      <c r="AA6" s="55"/>
      <c r="AB6" s="135"/>
      <c r="AC6" s="55"/>
    </row>
    <row r="7" spans="1:29" ht="15" customHeight="1">
      <c r="A7" s="754" t="s">
        <v>387</v>
      </c>
      <c r="B7" s="755">
        <f>SUM(C133,I133,O133)</f>
        <v>84774466.000000015</v>
      </c>
      <c r="C7" s="180" t="s">
        <v>388</v>
      </c>
      <c r="D7" s="364">
        <f>IFERROR((D6/D5)^(1/(D8+1))-1,0)</f>
        <v>3.0000000000000027E-2</v>
      </c>
      <c r="G7" s="278"/>
      <c r="J7" s="168"/>
      <c r="Y7" s="123"/>
      <c r="Z7" s="135"/>
      <c r="AA7" s="55"/>
      <c r="AB7" s="135"/>
      <c r="AC7" s="55"/>
    </row>
    <row r="8" spans="1:29" ht="15" customHeight="1">
      <c r="A8" s="17" t="s">
        <v>77</v>
      </c>
      <c r="B8" s="143">
        <f>SUM(C134,I134,O134)</f>
        <v>4238723.3000000007</v>
      </c>
      <c r="C8" s="180" t="s">
        <v>125</v>
      </c>
      <c r="D8" s="362">
        <f>Assumptions!$L$41</f>
        <v>5</v>
      </c>
      <c r="E8" s="274"/>
      <c r="F8" s="361"/>
      <c r="J8" s="168"/>
      <c r="Y8" s="123"/>
      <c r="Z8" s="135"/>
      <c r="AA8" s="55"/>
      <c r="AB8" s="135"/>
      <c r="AC8" s="55"/>
    </row>
    <row r="9" spans="1:29" ht="15" customHeight="1">
      <c r="A9" s="17" t="s">
        <v>389</v>
      </c>
      <c r="B9" s="143">
        <f>SUM(C135,I135,O135)</f>
        <v>0</v>
      </c>
      <c r="C9" s="272" t="s">
        <v>390</v>
      </c>
      <c r="D9" s="170">
        <f>SUM(B$164,H$164,N$164)</f>
        <v>0</v>
      </c>
      <c r="J9" s="168"/>
      <c r="Y9" s="123"/>
      <c r="Z9" s="135"/>
      <c r="AA9" s="55"/>
      <c r="AB9" s="135"/>
      <c r="AC9" s="55"/>
    </row>
    <row r="10" spans="1:29" ht="15" customHeight="1">
      <c r="A10" s="17" t="s">
        <v>391</v>
      </c>
      <c r="B10" s="143">
        <f t="shared" ref="B10:B23" si="0">SUM(C136,I136,O136)</f>
        <v>1617818.4</v>
      </c>
      <c r="C10" s="180" t="s">
        <v>392</v>
      </c>
      <c r="D10" s="170">
        <f>SUM(B$175,H$175,N$175)</f>
        <v>186382853.19354561</v>
      </c>
      <c r="J10" s="168"/>
      <c r="Y10" s="123"/>
      <c r="Z10" s="135"/>
      <c r="AA10" s="55"/>
      <c r="AB10" s="135"/>
      <c r="AC10" s="55"/>
    </row>
    <row r="11" spans="1:29" ht="15" customHeight="1" thickBot="1">
      <c r="A11" s="17" t="s">
        <v>393</v>
      </c>
      <c r="B11" s="143">
        <f t="shared" si="0"/>
        <v>4146666.666666667</v>
      </c>
      <c r="C11" s="180" t="s">
        <v>394</v>
      </c>
      <c r="D11" s="543" t="str">
        <f>IF(OR(B35="YES",H35="YES",N35="YES"),"YES","NO")</f>
        <v>NO</v>
      </c>
      <c r="J11" s="168"/>
      <c r="Y11" s="123"/>
      <c r="Z11" s="135"/>
      <c r="AA11" s="55"/>
      <c r="AB11" s="135"/>
      <c r="AC11" s="55"/>
    </row>
    <row r="12" spans="1:29" ht="15" customHeight="1">
      <c r="A12" s="17" t="s">
        <v>79</v>
      </c>
      <c r="B12" s="143">
        <f t="shared" si="0"/>
        <v>1695489.3200000003</v>
      </c>
      <c r="C12" s="749" t="s">
        <v>395</v>
      </c>
      <c r="D12" s="757"/>
      <c r="E12" s="758"/>
      <c r="G12" s="124"/>
      <c r="H12" s="124"/>
      <c r="J12" s="117"/>
      <c r="Y12" s="123"/>
      <c r="Z12" s="135"/>
      <c r="AA12" s="55"/>
      <c r="AB12" s="135"/>
      <c r="AC12" s="55"/>
    </row>
    <row r="13" spans="1:29" ht="15" customHeight="1">
      <c r="A13" s="377" t="s">
        <v>83</v>
      </c>
      <c r="B13" s="143">
        <f t="shared" si="0"/>
        <v>1271616.9900000002</v>
      </c>
      <c r="C13" s="844"/>
      <c r="D13" s="541" t="s">
        <v>12</v>
      </c>
      <c r="E13" s="542" t="s">
        <v>396</v>
      </c>
      <c r="G13" s="289"/>
      <c r="H13" s="554"/>
      <c r="Y13" s="123"/>
      <c r="Z13" s="135"/>
      <c r="AA13" s="55"/>
      <c r="AB13" s="135"/>
      <c r="AC13" s="55"/>
    </row>
    <row r="14" spans="1:29" ht="15" customHeight="1">
      <c r="A14" s="377" t="s">
        <v>84</v>
      </c>
      <c r="B14" s="143">
        <f t="shared" si="0"/>
        <v>40445.46</v>
      </c>
      <c r="C14" s="845" t="s">
        <v>9</v>
      </c>
      <c r="D14" s="546">
        <f>SUM(B157,H157,N157)</f>
        <v>68608351.047298998</v>
      </c>
      <c r="E14" s="759">
        <f>D14/$D$17</f>
        <v>0.57738842279691438</v>
      </c>
      <c r="G14" s="283"/>
      <c r="H14" s="130"/>
      <c r="Y14" s="123"/>
      <c r="Z14" s="135"/>
      <c r="AA14" s="55"/>
      <c r="AB14" s="135"/>
      <c r="AC14" s="55"/>
    </row>
    <row r="15" spans="1:29" ht="15" customHeight="1">
      <c r="A15" s="377" t="s">
        <v>85</v>
      </c>
      <c r="B15" s="143">
        <f t="shared" si="0"/>
        <v>1695489.3200000003</v>
      </c>
      <c r="C15" s="846" t="s">
        <v>11</v>
      </c>
      <c r="D15" s="546">
        <f>SUM(B158,H158,N158)</f>
        <v>42050279.674151003</v>
      </c>
      <c r="E15" s="759">
        <f>D15/$D$17</f>
        <v>0.3538832268755282</v>
      </c>
      <c r="G15" s="283"/>
      <c r="H15" s="130"/>
      <c r="Y15" s="123"/>
      <c r="Z15" s="135"/>
      <c r="AA15" s="55"/>
      <c r="AB15" s="135"/>
      <c r="AC15" s="55"/>
    </row>
    <row r="16" spans="1:29" ht="15" customHeight="1">
      <c r="A16" s="377" t="s">
        <v>86</v>
      </c>
      <c r="B16" s="143">
        <f t="shared" si="0"/>
        <v>2967106.310000001</v>
      </c>
      <c r="C16" s="847" t="s">
        <v>10</v>
      </c>
      <c r="D16" s="547">
        <f>-B25</f>
        <v>8166666.666666667</v>
      </c>
      <c r="E16" s="759">
        <f>D16/$D$17</f>
        <v>6.8728350327557336E-2</v>
      </c>
      <c r="Y16" s="123"/>
      <c r="Z16" s="135"/>
      <c r="AA16" s="55"/>
      <c r="AB16" s="135"/>
      <c r="AC16" s="55"/>
    </row>
    <row r="17" spans="1:29" ht="15" customHeight="1" thickBot="1">
      <c r="A17" s="377" t="s">
        <v>88</v>
      </c>
      <c r="B17" s="143">
        <f t="shared" si="0"/>
        <v>1695489.3200000003</v>
      </c>
      <c r="C17" s="848" t="s">
        <v>397</v>
      </c>
      <c r="D17" s="552">
        <f>SUM(D14:D16)</f>
        <v>118825297.38811667</v>
      </c>
      <c r="E17" s="561">
        <f>SUM(E14:E16)</f>
        <v>0.99999999999999989</v>
      </c>
      <c r="Y17" s="123"/>
      <c r="Z17" s="135"/>
      <c r="AA17" s="55"/>
      <c r="AB17" s="135"/>
      <c r="AC17" s="55"/>
    </row>
    <row r="18" spans="1:29" ht="15" customHeight="1" thickTop="1" thickBot="1">
      <c r="A18" s="377" t="s">
        <v>93</v>
      </c>
      <c r="B18" s="143">
        <f t="shared" si="0"/>
        <v>4238723.3000000007</v>
      </c>
      <c r="C18" s="849" t="s">
        <v>398</v>
      </c>
      <c r="D18" s="550" t="str">
        <f>IF(B29=D17,"YES","NO")</f>
        <v>YES</v>
      </c>
      <c r="E18" s="551"/>
      <c r="G18" s="356"/>
      <c r="H18" s="555"/>
      <c r="Y18" s="123"/>
      <c r="Z18" s="135"/>
      <c r="AA18" s="55"/>
      <c r="AB18" s="135"/>
      <c r="AC18" s="55"/>
    </row>
    <row r="19" spans="1:29" ht="15" customHeight="1">
      <c r="A19" s="377" t="s">
        <v>97</v>
      </c>
      <c r="B19" s="143">
        <f t="shared" si="0"/>
        <v>1271616.9900000002</v>
      </c>
      <c r="C19" s="854" t="s">
        <v>399</v>
      </c>
      <c r="D19" s="853"/>
      <c r="G19" s="124"/>
      <c r="H19" s="124"/>
      <c r="Y19" s="123"/>
      <c r="Z19" s="135"/>
      <c r="AA19" s="55"/>
      <c r="AB19" s="135"/>
      <c r="AC19" s="55"/>
    </row>
    <row r="20" spans="1:29" ht="15" customHeight="1">
      <c r="A20" s="377" t="s">
        <v>100</v>
      </c>
      <c r="B20" s="143">
        <f t="shared" si="0"/>
        <v>500000</v>
      </c>
      <c r="C20" s="377" t="s">
        <v>400</v>
      </c>
      <c r="D20" s="413">
        <f ca="1">'4-I DRAW'!B50</f>
        <v>130249710.79815418</v>
      </c>
      <c r="F20" s="363"/>
      <c r="G20" s="12"/>
      <c r="H20" s="556"/>
      <c r="Y20" s="123"/>
      <c r="Z20" s="135"/>
      <c r="AA20" s="55"/>
      <c r="AB20" s="135"/>
      <c r="AC20" s="55"/>
    </row>
    <row r="21" spans="1:29" ht="15" customHeight="1">
      <c r="A21" s="377" t="s">
        <v>103</v>
      </c>
      <c r="B21" s="143">
        <f t="shared" si="0"/>
        <v>2486262.42</v>
      </c>
      <c r="C21" s="377" t="s">
        <v>401</v>
      </c>
      <c r="D21" s="549">
        <f ca="1">(D20+D15)/D15</f>
        <v>4.0974754938008369</v>
      </c>
      <c r="G21" s="12"/>
      <c r="H21" s="556"/>
      <c r="Y21" s="123"/>
      <c r="Z21" s="135"/>
      <c r="AA21" s="55"/>
      <c r="AB21" s="135"/>
      <c r="AC21" s="55"/>
    </row>
    <row r="22" spans="1:29" ht="15" customHeight="1">
      <c r="A22" s="377" t="s">
        <v>106</v>
      </c>
      <c r="B22" s="143">
        <f t="shared" si="0"/>
        <v>0</v>
      </c>
      <c r="C22" s="860" t="s">
        <v>402</v>
      </c>
      <c r="D22" s="861">
        <f ca="1">'4-I DRAW'!B59</f>
        <v>0.1738526525217754</v>
      </c>
      <c r="G22" s="12"/>
      <c r="H22" s="556"/>
      <c r="Y22" s="123"/>
      <c r="Z22" s="135"/>
      <c r="AA22" s="55"/>
      <c r="AB22" s="135"/>
      <c r="AC22" s="55"/>
    </row>
    <row r="23" spans="1:29" ht="15" customHeight="1">
      <c r="A23" s="377" t="s">
        <v>403</v>
      </c>
      <c r="B23" s="143">
        <f t="shared" si="0"/>
        <v>0</v>
      </c>
      <c r="C23" s="860" t="s">
        <v>404</v>
      </c>
      <c r="D23" s="861">
        <f ca="1">'4-I DRAW'!B55</f>
        <v>0.11123725460366973</v>
      </c>
      <c r="G23" s="12"/>
      <c r="H23" s="556"/>
      <c r="Y23" s="123"/>
      <c r="Z23" s="135"/>
      <c r="AA23" s="55"/>
      <c r="AB23" s="135"/>
      <c r="AC23" s="55"/>
    </row>
    <row r="24" spans="1:29" ht="15" customHeight="1">
      <c r="A24" s="377" t="s">
        <v>112</v>
      </c>
      <c r="B24" s="143">
        <f>SUM(C150,I150,O150)</f>
        <v>355383.59145000007</v>
      </c>
      <c r="C24" s="860" t="s">
        <v>405</v>
      </c>
      <c r="D24" s="865">
        <f>IF(OR(B$35="YES",H35="YES",N35="YES"),"-",D5/B28)</f>
        <v>5.7580493364670721E-2</v>
      </c>
      <c r="E24" s="18"/>
      <c r="G24" s="328"/>
      <c r="H24" s="130"/>
      <c r="Y24" s="123"/>
      <c r="Z24" s="135"/>
      <c r="AA24" s="55"/>
      <c r="AB24" s="135"/>
      <c r="AC24" s="55"/>
    </row>
    <row r="25" spans="1:29" ht="15" customHeight="1">
      <c r="A25" s="17" t="s">
        <v>165</v>
      </c>
      <c r="B25" s="143">
        <f>SUM(C151,I151,O151)</f>
        <v>-8166666.666666667</v>
      </c>
      <c r="C25" s="860" t="s">
        <v>158</v>
      </c>
      <c r="D25" s="865">
        <f>SUM(D9,D10)/B28</f>
        <v>1.6843047124151453</v>
      </c>
      <c r="F25" s="348"/>
      <c r="G25" s="124"/>
      <c r="H25" s="124"/>
      <c r="Y25" s="123"/>
      <c r="Z25" s="135"/>
      <c r="AA25" s="55"/>
      <c r="AB25" s="135"/>
      <c r="AC25" s="55"/>
    </row>
    <row r="26" spans="1:29" ht="15" customHeight="1" thickBot="1">
      <c r="A26" s="408" t="s">
        <v>38</v>
      </c>
      <c r="B26" s="756">
        <f>SUM(C152,I152,O152)</f>
        <v>340000</v>
      </c>
      <c r="C26" s="863" t="s">
        <v>406</v>
      </c>
      <c r="D26" s="864">
        <f>IF((D5/D14)=0,"-",D5/D14)</f>
        <v>9.2871763491404385E-2</v>
      </c>
      <c r="G26" s="12"/>
      <c r="H26" s="557"/>
      <c r="Y26" s="123"/>
      <c r="Z26" s="135"/>
      <c r="AA26" s="55"/>
      <c r="AB26" s="135"/>
      <c r="AC26" s="55"/>
    </row>
    <row r="27" spans="1:29" ht="15" customHeight="1" thickBot="1">
      <c r="A27" s="762" t="s">
        <v>407</v>
      </c>
      <c r="B27" s="763">
        <f>SUM(C153,I153,O153)</f>
        <v>5490000</v>
      </c>
      <c r="G27" s="328"/>
      <c r="H27" s="558"/>
      <c r="Y27" s="123"/>
      <c r="Z27" s="135"/>
      <c r="AA27" s="55"/>
      <c r="AB27" s="135"/>
      <c r="AC27" s="55"/>
    </row>
    <row r="28" spans="1:29" ht="15" customHeight="1" thickTop="1">
      <c r="A28" s="760" t="s">
        <v>408</v>
      </c>
      <c r="B28" s="761">
        <f>SUM(B7:B27)</f>
        <v>110658630.72145</v>
      </c>
      <c r="C28" s="328"/>
      <c r="D28" s="851"/>
      <c r="G28" s="328"/>
      <c r="H28" s="558"/>
      <c r="Y28" s="123"/>
      <c r="Z28" s="135"/>
      <c r="AA28" s="55"/>
      <c r="AB28" s="135"/>
      <c r="AC28" s="55"/>
    </row>
    <row r="29" spans="1:29" ht="15" customHeight="1" thickBot="1">
      <c r="A29" s="850" t="s">
        <v>409</v>
      </c>
      <c r="B29" s="862">
        <f>B28-B25</f>
        <v>118825297.38811667</v>
      </c>
      <c r="C29" s="12"/>
      <c r="D29" s="852"/>
      <c r="E29" s="12"/>
      <c r="G29" s="12"/>
      <c r="H29" s="132"/>
      <c r="Y29" s="123"/>
      <c r="Z29" s="135"/>
      <c r="AA29" s="55"/>
      <c r="AB29" s="135"/>
      <c r="AC29" s="55"/>
    </row>
    <row r="30" spans="1:29" ht="15" customHeight="1">
      <c r="A30" s="328"/>
      <c r="B30" s="843"/>
      <c r="G30" s="12"/>
      <c r="H30" s="548"/>
      <c r="Y30" s="123"/>
      <c r="Z30" s="135"/>
      <c r="AA30" s="55"/>
      <c r="AB30" s="135"/>
      <c r="AC30" s="55"/>
    </row>
    <row r="31" spans="1:29" ht="15" customHeight="1">
      <c r="A31" s="328"/>
      <c r="B31" s="843"/>
      <c r="E31" s="131"/>
      <c r="Y31" s="123"/>
      <c r="Z31" s="135"/>
      <c r="AA31" s="55"/>
      <c r="AB31" s="135"/>
      <c r="AC31" s="55"/>
    </row>
    <row r="32" spans="1:29" ht="15" customHeight="1">
      <c r="E32" s="132"/>
      <c r="Y32" s="123"/>
      <c r="Z32" s="135"/>
      <c r="AA32" s="55"/>
      <c r="AB32" s="135"/>
      <c r="AC32" s="55"/>
    </row>
    <row r="33" spans="1:29" ht="24.95" customHeight="1" thickBot="1">
      <c r="A33" s="169" t="s">
        <v>410</v>
      </c>
      <c r="M33" s="293"/>
      <c r="AB33" s="55"/>
      <c r="AC33" s="136"/>
    </row>
    <row r="34" spans="1:29" ht="20.25" customHeight="1">
      <c r="A34" s="1001" t="s">
        <v>219</v>
      </c>
      <c r="B34" s="1002" t="s">
        <v>37</v>
      </c>
      <c r="C34" s="1003" t="s">
        <v>411</v>
      </c>
      <c r="D34" s="1004">
        <f>IFERROR(INDEX('Building Configuration'!$B$2:$AA$34,MATCH(B$34,'Building Configuration'!$D$2:$D$34,0),MATCH("Total",'Building Configuration'!$B$2:$AA$2,0)),0)</f>
        <v>446181.40000000008</v>
      </c>
      <c r="E34" s="1005"/>
      <c r="G34" s="1001" t="s">
        <v>219</v>
      </c>
      <c r="H34" s="1002"/>
      <c r="I34" s="1003" t="s">
        <v>411</v>
      </c>
      <c r="J34" s="1004">
        <f>IFERROR(INDEX('Building Configuration'!$B$2:$AA$34,MATCH(H$34,'Building Configuration'!$D$2:$D$34,0),MATCH("Total",'Building Configuration'!$B$2:$AA$2,0)),0)</f>
        <v>0</v>
      </c>
      <c r="K34" s="1005"/>
      <c r="L34" s="123"/>
      <c r="M34" s="1001" t="s">
        <v>219</v>
      </c>
      <c r="N34" s="1002"/>
      <c r="O34" s="1003" t="s">
        <v>411</v>
      </c>
      <c r="P34" s="1004">
        <f>IFERROR(INDEX('Building Configuration'!$B$2:$AA$34,MATCH(N$34,'Building Configuration'!$D$2:$D$34,0),MATCH("Total",'Building Configuration'!$B$2:$AA$2,0)),0)</f>
        <v>0</v>
      </c>
      <c r="Q34" s="1005"/>
      <c r="R34" s="123"/>
      <c r="S34" s="304"/>
      <c r="T34" s="285"/>
      <c r="V34" s="168"/>
      <c r="W34" s="123"/>
      <c r="X34" s="124"/>
    </row>
    <row r="35" spans="1:29" ht="15" customHeight="1">
      <c r="A35" s="6" t="s">
        <v>412</v>
      </c>
      <c r="B35" s="137" t="str">
        <f>IF(OR(D$37&gt;0,D$39&gt;0,D$43&gt;0),"YES","NO")</f>
        <v>NO</v>
      </c>
      <c r="D35" s="119"/>
      <c r="E35" s="103"/>
      <c r="G35" s="6" t="s">
        <v>412</v>
      </c>
      <c r="H35" s="137" t="str">
        <f>IF(OR(J$37&gt;0,J$39&gt;0,J$43&gt;0),"YES","NO")</f>
        <v>NO</v>
      </c>
      <c r="J35" s="119"/>
      <c r="K35" s="103"/>
      <c r="L35" s="123"/>
      <c r="M35" s="6" t="s">
        <v>412</v>
      </c>
      <c r="N35" s="137" t="str">
        <f>IF(OR(P$37&gt;0,P$39&gt;0,P$43&gt;0),"YES","NO")</f>
        <v>NO</v>
      </c>
      <c r="P35" s="119"/>
      <c r="Q35" s="103"/>
      <c r="R35" s="123"/>
      <c r="S35" s="123"/>
      <c r="T35" s="137"/>
      <c r="V35" s="168"/>
      <c r="W35" s="123"/>
      <c r="X35" s="124"/>
    </row>
    <row r="36" spans="1:29" ht="15" customHeight="1">
      <c r="A36" s="6" t="s">
        <v>222</v>
      </c>
      <c r="B36" s="118" t="str">
        <f>IFERROR(INDEX('Building Configuration'!$B$2:$AA$34,MATCH(B$34,'Building Configuration'!$D$2:$D$34,0),MATCH(A36,'Building Configuration'!$B$2:$AA$2,0)),"-")</f>
        <v>Multifamily-Market</v>
      </c>
      <c r="C36" s="5" t="s">
        <v>231</v>
      </c>
      <c r="D36" s="119">
        <f>IFERROR(INDEX('Building Configuration'!$B$2:$AA$34,MATCH(B$34,'Building Configuration'!$D$2:$D$34,0),MATCH(B36,'Building Configuration'!$B$2:$AA$2,0)),0)</f>
        <v>307621.76000000007</v>
      </c>
      <c r="E36" s="103"/>
      <c r="G36" s="6" t="s">
        <v>222</v>
      </c>
      <c r="H36" s="118" t="str">
        <f>IFERROR(INDEX('Building Configuration'!$B$2:$AA$34,MATCH(H$34,'Building Configuration'!$D$2:$D$34,0),MATCH(G36,'Building Configuration'!$B$2:$AA$2,0)),"-")</f>
        <v>-</v>
      </c>
      <c r="I36" s="5" t="s">
        <v>231</v>
      </c>
      <c r="J36" s="119">
        <f>IFERROR(INDEX('Building Configuration'!$B$2:$AA$34,MATCH(H$34,'Building Configuration'!$D$2:$D$34,0),MATCH(H36,'Building Configuration'!$B$2:$AA$2,0)),0)</f>
        <v>0</v>
      </c>
      <c r="K36" s="103"/>
      <c r="L36" s="123"/>
      <c r="M36" s="6" t="s">
        <v>222</v>
      </c>
      <c r="N36" s="118" t="str">
        <f>IFERROR(INDEX('Building Configuration'!$B$2:$AA$34,MATCH(N$34,'Building Configuration'!$D$2:$D$34,0),MATCH(M36,'Building Configuration'!$B$2:$AA$2,0)),"-")</f>
        <v>-</v>
      </c>
      <c r="O36" s="5" t="s">
        <v>231</v>
      </c>
      <c r="P36" s="119">
        <f>IFERROR(INDEX('Building Configuration'!$B$2:$AA$34,MATCH(N$34,'Building Configuration'!$D$2:$D$34,0),MATCH(N36,'Building Configuration'!$B$2:$AA$2,0)),0)</f>
        <v>0</v>
      </c>
      <c r="Q36" s="103"/>
      <c r="R36" s="123"/>
      <c r="S36" s="123"/>
      <c r="T36" s="118"/>
      <c r="V36" s="168"/>
      <c r="W36" s="123"/>
      <c r="X36" s="124"/>
    </row>
    <row r="37" spans="1:29" ht="15" customHeight="1">
      <c r="A37" s="6" t="s">
        <v>223</v>
      </c>
      <c r="B37" s="118" t="str">
        <f>IFERROR(INDEX('Building Configuration'!$B$2:$AA$34,MATCH(B$34,'Building Configuration'!$D$2:$D$34,0),MATCH(A37,'Building Configuration'!$B$2:$AA$2,0)),"-")</f>
        <v>-</v>
      </c>
      <c r="C37" s="5" t="s">
        <v>413</v>
      </c>
      <c r="D37" s="119">
        <f>IFERROR(INDEX('Building Configuration'!$B$2:$AA$34,MATCH(B$34,'Building Configuration'!$D$2:$D$34,0),MATCH(B37,'Building Configuration'!$B$2:$AA$2,0)),0)</f>
        <v>0</v>
      </c>
      <c r="E37" s="103"/>
      <c r="G37" s="6" t="s">
        <v>223</v>
      </c>
      <c r="H37" s="118" t="str">
        <f>IFERROR(INDEX('Building Configuration'!$B$2:$AA$34,MATCH(H$34,'Building Configuration'!$D$2:$D$34,0),MATCH(G37,'Building Configuration'!$B$2:$AA$2,0)),"-")</f>
        <v>-</v>
      </c>
      <c r="I37" s="5" t="s">
        <v>413</v>
      </c>
      <c r="J37" s="119">
        <f>IFERROR(INDEX('Building Configuration'!$B$2:$AA$34,MATCH(H$34,'Building Configuration'!$D$2:$D$34,0),MATCH(H37,'Building Configuration'!$B$2:$AA$2,0)),0)</f>
        <v>0</v>
      </c>
      <c r="K37" s="103"/>
      <c r="L37" s="123"/>
      <c r="M37" s="6" t="s">
        <v>223</v>
      </c>
      <c r="N37" s="118" t="str">
        <f>IFERROR(INDEX('Building Configuration'!$B$2:$AA$34,MATCH(N$34,'Building Configuration'!$D$2:$D$34,0),MATCH(M37,'Building Configuration'!$B$2:$AA$2,0)),"-")</f>
        <v>-</v>
      </c>
      <c r="O37" s="5" t="s">
        <v>413</v>
      </c>
      <c r="P37" s="119">
        <f>IFERROR(INDEX('Building Configuration'!$B$2:$AA$34,MATCH(N$34,'Building Configuration'!$D$2:$D$34,0),MATCH(N37,'Building Configuration'!$B$2:$AA$2,0)),0)</f>
        <v>0</v>
      </c>
      <c r="Q37" s="103"/>
      <c r="R37" s="123"/>
      <c r="S37" s="123"/>
      <c r="T37" s="118"/>
      <c r="V37" s="168"/>
      <c r="W37" s="123"/>
      <c r="X37" s="124"/>
    </row>
    <row r="38" spans="1:29" ht="15" customHeight="1">
      <c r="A38" s="6" t="s">
        <v>224</v>
      </c>
      <c r="B38" s="118" t="str">
        <f>IFERROR(INDEX('Building Configuration'!$B$2:$AA$34,MATCH(B$34,'Building Configuration'!$D$2:$D$34,0),MATCH(A38,'Building Configuration'!$B$2:$AA$2,0)),"-")</f>
        <v>Multifamily-Affordable</v>
      </c>
      <c r="C38" s="5" t="s">
        <v>233</v>
      </c>
      <c r="D38" s="119">
        <f>IFERROR(INDEX('Building Configuration'!$B$2:$AA$34,MATCH(B$34,'Building Configuration'!$D$2:$D$34,0),MATCH(B38,'Building Configuration'!$B$2:$AA$2,0)),0)</f>
        <v>76905.440000000017</v>
      </c>
      <c r="E38" s="103"/>
      <c r="G38" s="6" t="s">
        <v>224</v>
      </c>
      <c r="H38" s="118" t="str">
        <f>IFERROR(INDEX('Building Configuration'!$B$2:$AA$34,MATCH(H$34,'Building Configuration'!$D$2:$D$34,0),MATCH(G38,'Building Configuration'!$B$2:$AA$2,0)),"-")</f>
        <v>-</v>
      </c>
      <c r="I38" s="5" t="s">
        <v>233</v>
      </c>
      <c r="J38" s="119">
        <f>IFERROR(INDEX('Building Configuration'!$B$2:$AA$34,MATCH(H$34,'Building Configuration'!$D$2:$D$34,0),MATCH(H38,'Building Configuration'!$B$2:$AA$2,0)),0)</f>
        <v>0</v>
      </c>
      <c r="K38" s="103"/>
      <c r="L38" s="123"/>
      <c r="M38" s="6" t="s">
        <v>224</v>
      </c>
      <c r="N38" s="118" t="str">
        <f>IFERROR(INDEX('Building Configuration'!$B$2:$AA$34,MATCH(N$34,'Building Configuration'!$D$2:$D$34,0),MATCH(M38,'Building Configuration'!$B$2:$AA$2,0)),"-")</f>
        <v>-</v>
      </c>
      <c r="O38" s="5" t="s">
        <v>233</v>
      </c>
      <c r="P38" s="119">
        <f>IFERROR(INDEX('Building Configuration'!$B$2:$AA$34,MATCH(N$34,'Building Configuration'!$D$2:$D$34,0),MATCH(N38,'Building Configuration'!$B$2:$AA$2,0)),0)</f>
        <v>0</v>
      </c>
      <c r="Q38" s="103"/>
      <c r="R38" s="123"/>
      <c r="S38" s="123"/>
      <c r="T38" s="118"/>
      <c r="V38" s="168"/>
      <c r="W38" s="123"/>
      <c r="X38" s="124"/>
      <c r="Z38" s="168"/>
    </row>
    <row r="39" spans="1:29" ht="15" customHeight="1">
      <c r="A39" s="6" t="s">
        <v>225</v>
      </c>
      <c r="B39" s="118" t="str">
        <f>IFERROR(INDEX('Building Configuration'!$B$2:$AA$34,MATCH(B$34,'Building Configuration'!$D$2:$D$34,0),MATCH(A39,'Building Configuration'!$B$2:$AA$2,0)),"-")</f>
        <v>-</v>
      </c>
      <c r="C39" s="5" t="s">
        <v>414</v>
      </c>
      <c r="D39" s="119">
        <f>IFERROR(INDEX('Building Configuration'!$B$2:$AA$34,MATCH(B$34,'Building Configuration'!$D$2:$D$34,0),MATCH(B39,'Building Configuration'!$B$2:$AA$2,0)),0)</f>
        <v>0</v>
      </c>
      <c r="E39" s="103"/>
      <c r="G39" s="6" t="s">
        <v>225</v>
      </c>
      <c r="H39" s="118" t="str">
        <f>IFERROR(INDEX('Building Configuration'!$B$2:$AA$34,MATCH(H$34,'Building Configuration'!$D$2:$D$34,0),MATCH(G39,'Building Configuration'!$B$2:$AA$2,0)),"-")</f>
        <v>-</v>
      </c>
      <c r="I39" s="5" t="s">
        <v>414</v>
      </c>
      <c r="J39" s="119">
        <f>IFERROR(INDEX('Building Configuration'!$B$2:$AA$34,MATCH(H$34,'Building Configuration'!$D$2:$D$34,0),MATCH(H39,'Building Configuration'!$B$2:$AA$2,0)),0)</f>
        <v>0</v>
      </c>
      <c r="K39" s="103"/>
      <c r="L39" s="123"/>
      <c r="M39" s="6" t="s">
        <v>225</v>
      </c>
      <c r="N39" s="118" t="str">
        <f>IFERROR(INDEX('Building Configuration'!$B$2:$AA$34,MATCH(N$34,'Building Configuration'!$D$2:$D$34,0),MATCH(M39,'Building Configuration'!$B$2:$AA$2,0)),"-")</f>
        <v>-</v>
      </c>
      <c r="O39" s="5" t="s">
        <v>414</v>
      </c>
      <c r="P39" s="119">
        <f>IFERROR(INDEX('Building Configuration'!$B$2:$AA$34,MATCH(N$34,'Building Configuration'!$D$2:$D$34,0),MATCH(N39,'Building Configuration'!$B$2:$AA$2,0)),0)</f>
        <v>0</v>
      </c>
      <c r="Q39" s="103"/>
      <c r="R39" s="123"/>
      <c r="S39" s="123"/>
      <c r="T39" s="118"/>
      <c r="V39" s="168"/>
      <c r="W39" s="123"/>
      <c r="X39" s="124"/>
      <c r="Z39" s="168"/>
    </row>
    <row r="40" spans="1:29" ht="15" customHeight="1">
      <c r="A40" s="6" t="s">
        <v>226</v>
      </c>
      <c r="B40" s="118" t="str">
        <f>IFERROR(INDEX('Building Configuration'!$B$2:$AA$34,MATCH(B$34,'Building Configuration'!$D$2:$D$34,0),MATCH(A40,'Building Configuration'!$B$2:$AA$2,0)),"-")</f>
        <v>-</v>
      </c>
      <c r="C40" s="5" t="s">
        <v>59</v>
      </c>
      <c r="D40" s="119">
        <f>IFERROR(INDEX('Building Configuration'!$B$2:$AA$34,MATCH(B$34,'Building Configuration'!$D$2:$D$34,0),MATCH(B40,'Building Configuration'!$B$2:$AA$2,0)),0)</f>
        <v>0</v>
      </c>
      <c r="E40" s="103"/>
      <c r="G40" s="6" t="s">
        <v>226</v>
      </c>
      <c r="H40" s="118" t="str">
        <f>IFERROR(INDEX('Building Configuration'!$B$2:$AA$34,MATCH(H$34,'Building Configuration'!$D$2:$D$34,0),MATCH(G40,'Building Configuration'!$B$2:$AA$2,0)),"-")</f>
        <v>-</v>
      </c>
      <c r="I40" s="5" t="s">
        <v>59</v>
      </c>
      <c r="J40" s="119">
        <f>IFERROR(INDEX('Building Configuration'!$B$2:$AA$34,MATCH(H$34,'Building Configuration'!$D$2:$D$34,0),MATCH(H40,'Building Configuration'!$B$2:$AA$2,0)),0)</f>
        <v>0</v>
      </c>
      <c r="K40" s="103"/>
      <c r="L40" s="123"/>
      <c r="M40" s="6" t="s">
        <v>226</v>
      </c>
      <c r="N40" s="118" t="str">
        <f>IFERROR(INDEX('Building Configuration'!$B$2:$AA$34,MATCH(N$34,'Building Configuration'!$D$2:$D$34,0),MATCH(M40,'Building Configuration'!$B$2:$AA$2,0)),"-")</f>
        <v>-</v>
      </c>
      <c r="O40" s="5" t="s">
        <v>59</v>
      </c>
      <c r="P40" s="119">
        <f>IFERROR(INDEX('Building Configuration'!$B$2:$AA$34,MATCH(N$34,'Building Configuration'!$D$2:$D$34,0),MATCH(N40,'Building Configuration'!$B$2:$AA$2,0)),0)</f>
        <v>0</v>
      </c>
      <c r="Q40" s="103"/>
      <c r="R40" s="123"/>
      <c r="S40" s="123"/>
      <c r="T40" s="118"/>
      <c r="V40" s="168"/>
      <c r="W40" s="123"/>
      <c r="X40" s="124"/>
      <c r="Z40" s="168"/>
    </row>
    <row r="41" spans="1:29" ht="15" customHeight="1">
      <c r="A41" s="6" t="s">
        <v>227</v>
      </c>
      <c r="B41" s="118" t="str">
        <f>IFERROR(INDEX('Building Configuration'!$B$2:$AA$34,MATCH(B$34,'Building Configuration'!$D$2:$D$34,0),MATCH(A41,'Building Configuration'!$B$2:$AA$2,0)),"-")</f>
        <v>-</v>
      </c>
      <c r="C41" s="5" t="s">
        <v>415</v>
      </c>
      <c r="D41" s="119">
        <f>IFERROR(INDEX('Building Configuration'!$B$2:$AA$34,MATCH(B$34,'Building Configuration'!$D$2:$D$34,0),MATCH(B41,'Building Configuration'!$B$2:$AA$2,0)),0)</f>
        <v>0</v>
      </c>
      <c r="E41" s="103"/>
      <c r="G41" s="6" t="s">
        <v>227</v>
      </c>
      <c r="H41" s="118" t="str">
        <f>IFERROR(INDEX('Building Configuration'!$B$2:$AA$34,MATCH(H$34,'Building Configuration'!$D$2:$D$34,0),MATCH(G41,'Building Configuration'!$B$2:$AA$2,0)),"-")</f>
        <v>-</v>
      </c>
      <c r="I41" s="5" t="s">
        <v>415</v>
      </c>
      <c r="J41" s="119">
        <f>IFERROR(INDEX('Building Configuration'!$B$2:$AA$34,MATCH(H$34,'Building Configuration'!$D$2:$D$34,0),MATCH(H41,'Building Configuration'!$B$2:$AA$2,0)),0)</f>
        <v>0</v>
      </c>
      <c r="K41" s="103"/>
      <c r="L41" s="123"/>
      <c r="M41" s="6" t="s">
        <v>227</v>
      </c>
      <c r="N41" s="118" t="str">
        <f>IFERROR(INDEX('Building Configuration'!$B$2:$AA$34,MATCH(N$34,'Building Configuration'!$D$2:$D$34,0),MATCH(M41,'Building Configuration'!$B$2:$AA$2,0)),"-")</f>
        <v>-</v>
      </c>
      <c r="O41" s="5" t="s">
        <v>415</v>
      </c>
      <c r="P41" s="119">
        <f>IFERROR(INDEX('Building Configuration'!$B$2:$AA$34,MATCH(N$34,'Building Configuration'!$D$2:$D$34,0),MATCH(N41,'Building Configuration'!$B$2:$AA$2,0)),0)</f>
        <v>0</v>
      </c>
      <c r="Q41" s="103"/>
      <c r="R41" s="123"/>
      <c r="S41" s="123"/>
      <c r="T41" s="118"/>
      <c r="V41" s="168"/>
      <c r="W41" s="123"/>
      <c r="X41" s="124"/>
      <c r="Z41" s="168"/>
    </row>
    <row r="42" spans="1:29" ht="15" customHeight="1">
      <c r="A42" s="6" t="s">
        <v>228</v>
      </c>
      <c r="B42" s="118" t="str">
        <f>IFERROR(INDEX('Building Configuration'!$B$2:$AA$34,MATCH(B$34,'Building Configuration'!$D$2:$D$34,0),MATCH(A42,'Building Configuration'!$B$2:$AA$2,0)),"-")</f>
        <v>-</v>
      </c>
      <c r="C42" s="5" t="s">
        <v>416</v>
      </c>
      <c r="D42" s="119">
        <f>IFERROR(INDEX('Building Configuration'!$B$2:$AA$34,MATCH(B$34,'Building Configuration'!$D$2:$D$34,0),MATCH(B42,'Building Configuration'!$B$2:$AA$2,0)),0)</f>
        <v>0</v>
      </c>
      <c r="E42" s="103"/>
      <c r="G42" s="6" t="s">
        <v>228</v>
      </c>
      <c r="H42" s="118" t="str">
        <f>IFERROR(INDEX('Building Configuration'!$B$2:$AA$34,MATCH(H$34,'Building Configuration'!$D$2:$D$34,0),MATCH(G42,'Building Configuration'!$B$2:$AA$2,0)),"-")</f>
        <v>-</v>
      </c>
      <c r="I42" s="5" t="s">
        <v>416</v>
      </c>
      <c r="J42" s="119">
        <f>IFERROR(INDEX('Building Configuration'!$B$2:$AA$34,MATCH(H$34,'Building Configuration'!$D$2:$D$34,0),MATCH(H42,'Building Configuration'!$B$2:$AA$2,0)),0)</f>
        <v>0</v>
      </c>
      <c r="K42" s="103"/>
      <c r="L42" s="123"/>
      <c r="M42" s="6" t="s">
        <v>228</v>
      </c>
      <c r="N42" s="118" t="str">
        <f>IFERROR(INDEX('Building Configuration'!$B$2:$AA$34,MATCH(N$34,'Building Configuration'!$D$2:$D$34,0),MATCH(M42,'Building Configuration'!$B$2:$AA$2,0)),"-")</f>
        <v>-</v>
      </c>
      <c r="O42" s="5" t="s">
        <v>416</v>
      </c>
      <c r="P42" s="119">
        <f>IFERROR(INDEX('Building Configuration'!$B$2:$AA$34,MATCH(N$34,'Building Configuration'!$D$2:$D$34,0),MATCH(N42,'Building Configuration'!$B$2:$AA$2,0)),0)</f>
        <v>0</v>
      </c>
      <c r="Q42" s="103"/>
      <c r="R42" s="123"/>
      <c r="S42" s="123"/>
      <c r="T42" s="118"/>
      <c r="V42" s="168"/>
      <c r="W42" s="123"/>
      <c r="X42" s="124"/>
      <c r="Z42" s="168"/>
    </row>
    <row r="43" spans="1:29" ht="15" customHeight="1">
      <c r="A43" s="6" t="s">
        <v>229</v>
      </c>
      <c r="B43" s="118" t="str">
        <f>IFERROR(INDEX('Building Configuration'!$B$2:$AA$34,MATCH(B$34,'Building Configuration'!$D$2:$D$34,0),MATCH(A43,'Building Configuration'!$B$2:$AA$2,0)),"-")</f>
        <v>-</v>
      </c>
      <c r="C43" s="5" t="s">
        <v>229</v>
      </c>
      <c r="D43" s="119">
        <f>IFERROR(INDEX('Building Configuration'!$B$2:$AA$34,MATCH(B$34,'Building Configuration'!$D$2:$D$34,0),MATCH(B43,'Building Configuration'!$B$2:$AA$2,0)),0)</f>
        <v>0</v>
      </c>
      <c r="E43" s="103"/>
      <c r="G43" s="6" t="s">
        <v>229</v>
      </c>
      <c r="H43" s="118" t="str">
        <f>IFERROR(INDEX('Building Configuration'!$B$2:$AA$34,MATCH(H$34,'Building Configuration'!$D$2:$D$34,0),MATCH(G43,'Building Configuration'!$B$2:$AA$2,0)),"-")</f>
        <v>-</v>
      </c>
      <c r="I43" s="5" t="s">
        <v>229</v>
      </c>
      <c r="J43" s="119">
        <f>IFERROR(INDEX('Building Configuration'!$B$2:$AA$34,MATCH(H$34,'Building Configuration'!$D$2:$D$34,0),MATCH(H43,'Building Configuration'!$B$2:$AA$2,0)),0)</f>
        <v>0</v>
      </c>
      <c r="K43" s="103"/>
      <c r="L43" s="123"/>
      <c r="M43" s="6" t="s">
        <v>229</v>
      </c>
      <c r="N43" s="118" t="str">
        <f>IFERROR(INDEX('Building Configuration'!$B$2:$AA$34,MATCH(N$34,'Building Configuration'!$D$2:$D$34,0),MATCH(M43,'Building Configuration'!$B$2:$AA$2,0)),"-")</f>
        <v>-</v>
      </c>
      <c r="O43" s="5" t="s">
        <v>229</v>
      </c>
      <c r="P43" s="119">
        <f>IFERROR(INDEX('Building Configuration'!$B$2:$AA$34,MATCH(N$34,'Building Configuration'!$D$2:$D$34,0),MATCH(N43,'Building Configuration'!$B$2:$AA$2,0)),0)</f>
        <v>0</v>
      </c>
      <c r="Q43" s="103"/>
      <c r="R43" s="123"/>
      <c r="S43" s="123"/>
      <c r="T43" s="118"/>
      <c r="V43" s="168"/>
      <c r="W43" s="123"/>
      <c r="X43" s="124"/>
      <c r="Z43" s="168"/>
    </row>
    <row r="44" spans="1:29" ht="15" customHeight="1">
      <c r="A44" s="6" t="s">
        <v>230</v>
      </c>
      <c r="B44" s="118" t="str">
        <f>IFERROR(INDEX('Building Configuration'!$B$2:$AA$34,MATCH(B$34,'Building Configuration'!$D$2:$D$34,0),MATCH(A44,'Building Configuration'!$B$2:$AA$2,0)),"-")</f>
        <v>-</v>
      </c>
      <c r="C44" s="5" t="s">
        <v>230</v>
      </c>
      <c r="D44" s="119">
        <f>IFERROR(INDEX('Building Configuration'!$B$2:$AA$34,MATCH(B$34,'Building Configuration'!$D$2:$D$34,0),MATCH(B44,'Building Configuration'!$B$2:$AA$2,0)),0)</f>
        <v>0</v>
      </c>
      <c r="E44" s="103"/>
      <c r="G44" s="6" t="s">
        <v>230</v>
      </c>
      <c r="H44" s="118" t="str">
        <f>IFERROR(INDEX('Building Configuration'!$B$2:$AA$34,MATCH(H$34,'Building Configuration'!$D$2:$D$34,0),MATCH(G44,'Building Configuration'!$B$2:$AA$2,0)),"-")</f>
        <v>-</v>
      </c>
      <c r="I44" s="5" t="s">
        <v>230</v>
      </c>
      <c r="J44" s="119">
        <f>IFERROR(INDEX('Building Configuration'!$B$2:$AA$34,MATCH(H$34,'Building Configuration'!$D$2:$D$34,0),MATCH(H44,'Building Configuration'!$B$2:$AA$2,0)),0)</f>
        <v>0</v>
      </c>
      <c r="K44" s="103"/>
      <c r="L44" s="123"/>
      <c r="M44" s="6" t="s">
        <v>230</v>
      </c>
      <c r="N44" s="118" t="str">
        <f>IFERROR(INDEX('Building Configuration'!$B$2:$AA$34,MATCH(N$34,'Building Configuration'!$D$2:$D$34,0),MATCH(M44,'Building Configuration'!$B$2:$AA$2,0)),"-")</f>
        <v>-</v>
      </c>
      <c r="O44" s="5" t="s">
        <v>230</v>
      </c>
      <c r="P44" s="119">
        <f>IFERROR(INDEX('Building Configuration'!$B$2:$AA$34,MATCH(N$34,'Building Configuration'!$D$2:$D$34,0),MATCH(N44,'Building Configuration'!$B$2:$AA$2,0)),0)</f>
        <v>0</v>
      </c>
      <c r="Q44" s="103"/>
      <c r="R44" s="123"/>
      <c r="S44" s="123"/>
      <c r="T44" s="118"/>
      <c r="V44" s="168"/>
      <c r="W44" s="123"/>
      <c r="X44" s="124"/>
      <c r="Z44" s="168"/>
    </row>
    <row r="45" spans="1:29" ht="15" customHeight="1">
      <c r="A45" s="6" t="s">
        <v>417</v>
      </c>
      <c r="B45" s="118" t="str">
        <f>IFERROR(IF(INDEX('Building Configuration'!$B$2:$AA$34,MATCH(B$34,'Building Configuration'!$D$2:$D$34,0),MATCH(C45,'Building Configuration'!$B$2:$AA$2,0))&gt;0,"YES","NO"),"-")</f>
        <v>YES</v>
      </c>
      <c r="C45" s="5" t="s">
        <v>116</v>
      </c>
      <c r="D45" s="119">
        <f>IFERROR(INDEX('Building Configuration'!$B$2:$AA$34,MATCH(B$34,'Building Configuration'!$D$2:$D$34,0),MATCH(C45,'Building Configuration'!$B$2:$AA$2,0)),0)</f>
        <v>61654.2</v>
      </c>
      <c r="E45" s="65"/>
      <c r="G45" s="6" t="s">
        <v>417</v>
      </c>
      <c r="H45" s="118" t="str">
        <f>IFERROR(IF(INDEX('Building Configuration'!$B$2:$AA$34,MATCH(H$34,'Building Configuration'!$D$2:$D$34,0),MATCH(I45,'Building Configuration'!$B$2:$AA$2,0))&gt;0,"YES","NO"),"-")</f>
        <v>-</v>
      </c>
      <c r="I45" s="5" t="s">
        <v>116</v>
      </c>
      <c r="J45" s="119">
        <f>IFERROR(INDEX('Building Configuration'!$B$2:$AA$34,MATCH(H$34,'Building Configuration'!$D$2:$D$34,0),MATCH(I45,'Building Configuration'!$B$2:$AA$2,0)),0)</f>
        <v>0</v>
      </c>
      <c r="K45" s="65"/>
      <c r="L45" s="55"/>
      <c r="M45" s="6" t="s">
        <v>417</v>
      </c>
      <c r="N45" s="118" t="str">
        <f>IFERROR(IF(INDEX('Building Configuration'!$B$2:$AA$34,MATCH(N$34,'Building Configuration'!$D$2:$D$34,0),MATCH(O45,'Building Configuration'!$B$2:$AA$2,0))&gt;0,"YES","NO"),"-")</f>
        <v>-</v>
      </c>
      <c r="O45" s="5" t="s">
        <v>116</v>
      </c>
      <c r="P45" s="119">
        <f>IFERROR(INDEX('Building Configuration'!$B$2:$AA$34,MATCH(N$34,'Building Configuration'!$D$2:$D$34,0),MATCH(O45,'Building Configuration'!$B$2:$AA$2,0)),0)</f>
        <v>0</v>
      </c>
      <c r="Q45" s="65"/>
      <c r="R45" s="55"/>
      <c r="S45" s="123"/>
      <c r="T45" s="118"/>
      <c r="V45" s="168"/>
      <c r="W45" s="55"/>
      <c r="X45" s="99"/>
      <c r="Z45" s="117"/>
    </row>
    <row r="46" spans="1:29" ht="15" customHeight="1">
      <c r="A46" s="6" t="s">
        <v>418</v>
      </c>
      <c r="B46" s="161">
        <v>1</v>
      </c>
      <c r="C46" s="162">
        <f>100%-B46</f>
        <v>0</v>
      </c>
      <c r="D46" s="119"/>
      <c r="E46" s="65"/>
      <c r="G46" s="6" t="s">
        <v>418</v>
      </c>
      <c r="H46" s="161">
        <v>1</v>
      </c>
      <c r="I46" s="162">
        <f>100%-H46</f>
        <v>0</v>
      </c>
      <c r="J46" s="119"/>
      <c r="K46" s="65"/>
      <c r="L46" s="55"/>
      <c r="M46" s="6" t="s">
        <v>418</v>
      </c>
      <c r="N46" s="161">
        <v>1</v>
      </c>
      <c r="O46" s="162">
        <f>100%-N46</f>
        <v>0</v>
      </c>
      <c r="P46" s="119"/>
      <c r="Q46" s="65"/>
      <c r="R46" s="55"/>
      <c r="S46" s="123"/>
      <c r="T46" s="294"/>
      <c r="U46" s="305"/>
      <c r="V46" s="168"/>
      <c r="W46" s="55"/>
      <c r="X46" s="99"/>
    </row>
    <row r="47" spans="1:29" ht="15" customHeight="1">
      <c r="A47" s="6"/>
      <c r="B47" s="118"/>
      <c r="D47" s="119"/>
      <c r="E47" s="65"/>
      <c r="G47" s="6"/>
      <c r="H47" s="118"/>
      <c r="J47" s="119"/>
      <c r="K47" s="65"/>
      <c r="L47" s="55"/>
      <c r="M47" s="6"/>
      <c r="N47" s="118"/>
      <c r="P47" s="119"/>
      <c r="Q47" s="65"/>
      <c r="R47" s="55"/>
      <c r="S47" s="123"/>
      <c r="T47" s="118"/>
      <c r="V47" s="168"/>
      <c r="W47" s="55"/>
      <c r="X47" s="99"/>
    </row>
    <row r="48" spans="1:29" ht="15" customHeight="1">
      <c r="A48" s="104" t="s">
        <v>222</v>
      </c>
      <c r="B48" s="105" t="str">
        <f>B$36</f>
        <v>Multifamily-Market</v>
      </c>
      <c r="C48" s="166" t="s">
        <v>419</v>
      </c>
      <c r="D48" s="111">
        <f>D$36*E$48</f>
        <v>236868.75520000004</v>
      </c>
      <c r="E48" s="106">
        <f>Assumptions!$Y$28</f>
        <v>0.77</v>
      </c>
      <c r="F48" s="99"/>
      <c r="G48" s="104" t="s">
        <v>222</v>
      </c>
      <c r="H48" s="105" t="str">
        <f>H$36</f>
        <v>-</v>
      </c>
      <c r="I48" s="166" t="s">
        <v>419</v>
      </c>
      <c r="J48" s="111">
        <f>J$36*K$48</f>
        <v>0</v>
      </c>
      <c r="K48" s="106">
        <f>Assumptions!$Y$28</f>
        <v>0.77</v>
      </c>
      <c r="L48" s="55"/>
      <c r="M48" s="104" t="s">
        <v>222</v>
      </c>
      <c r="N48" s="105" t="str">
        <f>N$36</f>
        <v>-</v>
      </c>
      <c r="O48" s="166" t="s">
        <v>419</v>
      </c>
      <c r="P48" s="111">
        <f>P$36*Q$48</f>
        <v>0</v>
      </c>
      <c r="Q48" s="106">
        <f>Assumptions!$Y$28</f>
        <v>0.77</v>
      </c>
      <c r="R48" s="55"/>
      <c r="S48" s="123"/>
      <c r="T48" s="99"/>
      <c r="U48" s="135"/>
      <c r="V48" s="295"/>
      <c r="W48" s="55"/>
      <c r="X48" s="99"/>
    </row>
    <row r="49" spans="1:24" ht="15" customHeight="1">
      <c r="A49" s="104" t="s">
        <v>420</v>
      </c>
      <c r="B49" s="160">
        <v>239</v>
      </c>
      <c r="C49" s="113" t="str">
        <f>IF(C55&gt;D48,"# of Units Over Available Area","# of Units Within Available Area")</f>
        <v># of Units Within Available Area</v>
      </c>
      <c r="D49" s="112" t="s">
        <v>421</v>
      </c>
      <c r="E49" s="120">
        <v>0</v>
      </c>
      <c r="F49" s="101"/>
      <c r="G49" s="104" t="s">
        <v>420</v>
      </c>
      <c r="H49" s="160">
        <v>0</v>
      </c>
      <c r="I49" s="113" t="str">
        <f>IF(I55&gt;J48,"# of Units Over Available Area","# of Units Within Available Area")</f>
        <v># of Units Within Available Area</v>
      </c>
      <c r="J49" s="112" t="s">
        <v>421</v>
      </c>
      <c r="K49" s="120">
        <v>0</v>
      </c>
      <c r="L49" s="102"/>
      <c r="M49" s="104" t="s">
        <v>420</v>
      </c>
      <c r="N49" s="160">
        <v>0</v>
      </c>
      <c r="O49" s="113" t="str">
        <f>IF(O55&gt;P48,"# of Units Over Available Area","# of Units Within Available Area")</f>
        <v># of Units Within Available Area</v>
      </c>
      <c r="P49" s="112" t="s">
        <v>421</v>
      </c>
      <c r="Q49" s="120">
        <v>0</v>
      </c>
      <c r="R49" s="102"/>
      <c r="S49" s="123"/>
      <c r="T49" s="296"/>
      <c r="U49" s="297"/>
      <c r="V49" s="112"/>
      <c r="W49" s="102"/>
      <c r="X49" s="99"/>
    </row>
    <row r="50" spans="1:24" ht="15" customHeight="1">
      <c r="A50" s="107" t="s">
        <v>308</v>
      </c>
      <c r="B50" s="200" t="s">
        <v>422</v>
      </c>
      <c r="C50" s="109" t="s">
        <v>419</v>
      </c>
      <c r="D50" s="108" t="s">
        <v>423</v>
      </c>
      <c r="E50" s="110" t="s">
        <v>424</v>
      </c>
      <c r="F50" s="99"/>
      <c r="G50" s="107" t="s">
        <v>308</v>
      </c>
      <c r="H50" s="200" t="s">
        <v>422</v>
      </c>
      <c r="I50" s="109" t="s">
        <v>419</v>
      </c>
      <c r="J50" s="108" t="s">
        <v>423</v>
      </c>
      <c r="K50" s="110" t="s">
        <v>424</v>
      </c>
      <c r="L50" s="124"/>
      <c r="M50" s="107" t="s">
        <v>308</v>
      </c>
      <c r="N50" s="200" t="s">
        <v>422</v>
      </c>
      <c r="O50" s="109" t="s">
        <v>419</v>
      </c>
      <c r="P50" s="108" t="s">
        <v>423</v>
      </c>
      <c r="Q50" s="110" t="s">
        <v>424</v>
      </c>
      <c r="R50" s="124"/>
      <c r="S50" s="123"/>
      <c r="T50" s="306"/>
      <c r="U50" s="276"/>
      <c r="V50" s="124"/>
      <c r="W50" s="124"/>
      <c r="X50" s="99"/>
    </row>
    <row r="51" spans="1:24" ht="15" customHeight="1">
      <c r="A51" s="31" t="str">
        <f>Assumptions!$W$5</f>
        <v>Studio</v>
      </c>
      <c r="B51" s="76">
        <f>B$49*INDEX(Assumptions!$Y$5:$Y$8,MATCH(A51,Assumptions!$W$5:$W$8,0))</f>
        <v>47.800000000000004</v>
      </c>
      <c r="C51" s="32">
        <f>Assumptions!$R$15</f>
        <v>550</v>
      </c>
      <c r="D51" s="42">
        <f>Assumptions!$R$16*(1+E$49)</f>
        <v>3</v>
      </c>
      <c r="E51" s="43">
        <f>12*B51*C51*D51</f>
        <v>946440</v>
      </c>
      <c r="F51" s="99"/>
      <c r="G51" s="31" t="str">
        <f>Assumptions!$W$5</f>
        <v>Studio</v>
      </c>
      <c r="H51" s="76">
        <f>H$49*INDEX(Assumptions!$Y$5:$Y$8,MATCH(G51,Assumptions!$W$5:$W$8,0))</f>
        <v>0</v>
      </c>
      <c r="I51" s="32">
        <f>Assumptions!$R$15</f>
        <v>550</v>
      </c>
      <c r="J51" s="42">
        <f>Assumptions!$R$16*(1+K$49)</f>
        <v>3</v>
      </c>
      <c r="K51" s="43">
        <f>12*H51*I51*J51</f>
        <v>0</v>
      </c>
      <c r="L51" s="125"/>
      <c r="M51" s="31" t="str">
        <f>Assumptions!$W$5</f>
        <v>Studio</v>
      </c>
      <c r="N51" s="76">
        <f>N$49*INDEX(Assumptions!$Y$5:$Y$8,MATCH(M51,Assumptions!$W$5:$W$8,0))</f>
        <v>0</v>
      </c>
      <c r="O51" s="32">
        <f>Assumptions!$R$15</f>
        <v>550</v>
      </c>
      <c r="P51" s="42">
        <f>Assumptions!$R$16*(1+Q$49)</f>
        <v>3</v>
      </c>
      <c r="Q51" s="43">
        <f>12*N51*O51*P51</f>
        <v>0</v>
      </c>
      <c r="R51" s="125"/>
      <c r="S51" s="307"/>
      <c r="T51" s="100"/>
      <c r="U51" s="308"/>
      <c r="V51" s="309"/>
      <c r="W51" s="125"/>
      <c r="X51" s="99"/>
    </row>
    <row r="52" spans="1:24" ht="15" customHeight="1">
      <c r="A52" s="31" t="str">
        <f>Assumptions!$W$6</f>
        <v>1BR</v>
      </c>
      <c r="B52" s="76">
        <f>B$49*INDEX(Assumptions!$Y$5:$Y$8,MATCH(A52,Assumptions!$W$5:$W$8,0))</f>
        <v>119.5</v>
      </c>
      <c r="C52" s="378">
        <f>Assumptions!$R$18</f>
        <v>800</v>
      </c>
      <c r="D52" s="379">
        <f>Assumptions!$R$19*(1+E$49)</f>
        <v>2.4</v>
      </c>
      <c r="E52" s="380">
        <f>12*B52*C52*D52</f>
        <v>2753280</v>
      </c>
      <c r="F52" s="99"/>
      <c r="G52" s="31" t="str">
        <f>Assumptions!$W$6</f>
        <v>1BR</v>
      </c>
      <c r="H52" s="76">
        <f>H$49*INDEX(Assumptions!$Y$5:$Y$8,MATCH(G52,Assumptions!$W$5:$W$8,0))</f>
        <v>0</v>
      </c>
      <c r="I52" s="378">
        <f>Assumptions!$R$18</f>
        <v>800</v>
      </c>
      <c r="J52" s="379">
        <f>Assumptions!$R$19*(1+K$49)</f>
        <v>2.4</v>
      </c>
      <c r="K52" s="380">
        <f>12*H52*I52*J52</f>
        <v>0</v>
      </c>
      <c r="L52" s="125"/>
      <c r="M52" s="31" t="str">
        <f>Assumptions!$W$6</f>
        <v>1BR</v>
      </c>
      <c r="N52" s="76">
        <f>N$49*INDEX(Assumptions!$Y$5:$Y$8,MATCH(M52,Assumptions!$W$5:$W$8,0))</f>
        <v>0</v>
      </c>
      <c r="O52" s="378">
        <f>Assumptions!$R$18</f>
        <v>800</v>
      </c>
      <c r="P52" s="379">
        <f>Assumptions!$R$19*(1+Q$49)</f>
        <v>2.4</v>
      </c>
      <c r="Q52" s="380">
        <f>12*N52*O52*P52</f>
        <v>0</v>
      </c>
      <c r="R52" s="125"/>
      <c r="S52" s="307"/>
      <c r="T52" s="100"/>
      <c r="U52" s="308"/>
      <c r="V52" s="309"/>
      <c r="W52" s="125"/>
      <c r="X52" s="99"/>
    </row>
    <row r="53" spans="1:24" ht="15" customHeight="1">
      <c r="A53" s="31" t="str">
        <f>Assumptions!$W$7</f>
        <v>2BR</v>
      </c>
      <c r="B53" s="76">
        <f>B$49*INDEX(Assumptions!$Y$5:$Y$8,MATCH(A53,Assumptions!$W$5:$W$8,0))</f>
        <v>35.85</v>
      </c>
      <c r="C53" s="32">
        <f>Assumptions!$R$21</f>
        <v>1200</v>
      </c>
      <c r="D53" s="379">
        <f>Assumptions!$R$22*(1+E$49)</f>
        <v>2.2000000000000002</v>
      </c>
      <c r="E53" s="380">
        <f>12*B53*C53*D53</f>
        <v>1135728.0000000002</v>
      </c>
      <c r="F53" s="100"/>
      <c r="G53" s="31" t="str">
        <f>Assumptions!$W$7</f>
        <v>2BR</v>
      </c>
      <c r="H53" s="76">
        <f>H$49*INDEX(Assumptions!$Y$5:$Y$8,MATCH(G53,Assumptions!$W$5:$W$8,0))</f>
        <v>0</v>
      </c>
      <c r="I53" s="32">
        <f>Assumptions!$R$21</f>
        <v>1200</v>
      </c>
      <c r="J53" s="379">
        <f>Assumptions!$R$22*(1+K$49)</f>
        <v>2.2000000000000002</v>
      </c>
      <c r="K53" s="380">
        <f>12*H53*I53*J53</f>
        <v>0</v>
      </c>
      <c r="L53" s="125"/>
      <c r="M53" s="31" t="str">
        <f>Assumptions!$W$7</f>
        <v>2BR</v>
      </c>
      <c r="N53" s="76">
        <f>N$49*INDEX(Assumptions!$Y$5:$Y$8,MATCH(M53,Assumptions!$W$5:$W$8,0))</f>
        <v>0</v>
      </c>
      <c r="O53" s="32">
        <f>Assumptions!$R$21</f>
        <v>1200</v>
      </c>
      <c r="P53" s="379">
        <f>Assumptions!$R$22*(1+Q$49)</f>
        <v>2.2000000000000002</v>
      </c>
      <c r="Q53" s="380">
        <f>12*N53*O53*P53</f>
        <v>0</v>
      </c>
      <c r="R53" s="125"/>
      <c r="S53" s="307"/>
      <c r="T53" s="100"/>
      <c r="U53" s="308"/>
      <c r="V53" s="309"/>
      <c r="W53" s="125"/>
    </row>
    <row r="54" spans="1:24" ht="15" customHeight="1" thickBot="1">
      <c r="A54" s="31" t="str">
        <f>Assumptions!$W$8</f>
        <v>3BR</v>
      </c>
      <c r="B54" s="76">
        <f>B$49*INDEX(Assumptions!$Y$5:$Y$8,MATCH(A54,Assumptions!$W$5:$W$8,0))</f>
        <v>35.85</v>
      </c>
      <c r="C54" s="378">
        <f>Assumptions!$R$24</f>
        <v>2000</v>
      </c>
      <c r="D54" s="379">
        <f>Assumptions!$R$25*(1+E$49)</f>
        <v>2.5</v>
      </c>
      <c r="E54" s="380">
        <f>12*B54*C54*D54</f>
        <v>2151000.0000000005</v>
      </c>
      <c r="G54" s="31" t="str">
        <f>Assumptions!$W$8</f>
        <v>3BR</v>
      </c>
      <c r="H54" s="76">
        <f>H$49*INDEX(Assumptions!$Y$5:$Y$8,MATCH(G54,Assumptions!$W$5:$W$8,0))</f>
        <v>0</v>
      </c>
      <c r="I54" s="378">
        <f>Assumptions!$R$24</f>
        <v>2000</v>
      </c>
      <c r="J54" s="379">
        <f>Assumptions!$R$25*(1+K$49)</f>
        <v>2.5</v>
      </c>
      <c r="K54" s="380">
        <f>12*H54*I54*J54</f>
        <v>0</v>
      </c>
      <c r="L54" s="125"/>
      <c r="M54" s="31" t="str">
        <f>Assumptions!$W$8</f>
        <v>3BR</v>
      </c>
      <c r="N54" s="76">
        <f>N$49*INDEX(Assumptions!$Y$5:$Y$8,MATCH(M54,Assumptions!$W$5:$W$8,0))</f>
        <v>0</v>
      </c>
      <c r="O54" s="378">
        <f>Assumptions!$R$24</f>
        <v>2000</v>
      </c>
      <c r="P54" s="379">
        <f>Assumptions!$R$25*(1+Q$49)</f>
        <v>2.5</v>
      </c>
      <c r="Q54" s="380">
        <f>12*N54*O54*P54</f>
        <v>0</v>
      </c>
      <c r="R54" s="125"/>
      <c r="S54" s="307"/>
      <c r="T54" s="100"/>
      <c r="U54" s="308"/>
      <c r="V54" s="309"/>
      <c r="W54" s="125"/>
    </row>
    <row r="55" spans="1:24" ht="15" customHeight="1" thickTop="1" thickBot="1">
      <c r="A55" s="7" t="s">
        <v>425</v>
      </c>
      <c r="B55" s="8">
        <f>SUM(B51:B54)</f>
        <v>239</v>
      </c>
      <c r="C55" s="9">
        <f>SUMPRODUCT(B51:B54,C51:C54)</f>
        <v>236610</v>
      </c>
      <c r="D55" s="61"/>
      <c r="E55" s="62">
        <f>SUM(E51:E54)</f>
        <v>6986448</v>
      </c>
      <c r="F55" s="100"/>
      <c r="G55" s="7" t="s">
        <v>425</v>
      </c>
      <c r="H55" s="8">
        <f>SUM(H51:H54)</f>
        <v>0</v>
      </c>
      <c r="I55" s="9">
        <f>SUMPRODUCT(H51:H54,I51:I54)</f>
        <v>0</v>
      </c>
      <c r="J55" s="61"/>
      <c r="K55" s="62">
        <f>SUM(K51:K54)</f>
        <v>0</v>
      </c>
      <c r="L55" s="122"/>
      <c r="M55" s="7" t="s">
        <v>425</v>
      </c>
      <c r="N55" s="8">
        <f>SUM(N51:N54)</f>
        <v>0</v>
      </c>
      <c r="O55" s="9">
        <f>SUMPRODUCT(N51:N54,O51:O54)</f>
        <v>0</v>
      </c>
      <c r="P55" s="61"/>
      <c r="Q55" s="62">
        <f>SUM(Q51:Q54)</f>
        <v>0</v>
      </c>
      <c r="R55" s="122"/>
      <c r="S55" s="12"/>
      <c r="T55" s="310"/>
      <c r="U55" s="311"/>
      <c r="V55" s="312"/>
      <c r="W55" s="122"/>
    </row>
    <row r="56" spans="1:24" ht="15" customHeight="1" thickTop="1" thickBot="1">
      <c r="A56" s="10" t="s">
        <v>426</v>
      </c>
      <c r="B56" s="60"/>
      <c r="C56" s="11">
        <f>IFERROR(C55/B55,0)</f>
        <v>990</v>
      </c>
      <c r="D56" s="63">
        <f>IFERROR((E55/12)/C55,0)</f>
        <v>2.4606060606060605</v>
      </c>
      <c r="E56" s="64"/>
      <c r="G56" s="10" t="s">
        <v>426</v>
      </c>
      <c r="H56" s="60"/>
      <c r="I56" s="11">
        <f>IFERROR(I55/H55,0)</f>
        <v>0</v>
      </c>
      <c r="J56" s="63">
        <f>IFERROR((K55/12)/I55,0)</f>
        <v>0</v>
      </c>
      <c r="K56" s="64"/>
      <c r="L56" s="12"/>
      <c r="M56" s="10" t="s">
        <v>426</v>
      </c>
      <c r="N56" s="60"/>
      <c r="O56" s="11">
        <f>IFERROR(O55/N55,0)</f>
        <v>0</v>
      </c>
      <c r="P56" s="63">
        <f>IFERROR((Q55/12)/O55,0)</f>
        <v>0</v>
      </c>
      <c r="Q56" s="64"/>
      <c r="R56" s="12"/>
      <c r="S56" s="12"/>
      <c r="T56" s="313"/>
      <c r="U56" s="314"/>
      <c r="V56" s="315"/>
      <c r="W56" s="12"/>
      <c r="X56" s="100"/>
    </row>
    <row r="57" spans="1:24" ht="15" customHeight="1">
      <c r="A57" s="104" t="s">
        <v>223</v>
      </c>
      <c r="B57" s="105" t="str">
        <f>B$37</f>
        <v>-</v>
      </c>
      <c r="C57" s="166" t="s">
        <v>419</v>
      </c>
      <c r="D57" s="165">
        <f>D$37*E$57</f>
        <v>0</v>
      </c>
      <c r="E57" s="106">
        <f>Assumptions!$Y$28</f>
        <v>0.77</v>
      </c>
      <c r="G57" s="104" t="s">
        <v>223</v>
      </c>
      <c r="H57" s="105" t="str">
        <f>H$37</f>
        <v>-</v>
      </c>
      <c r="I57" s="166" t="s">
        <v>419</v>
      </c>
      <c r="J57" s="165">
        <f>J$37*K$57</f>
        <v>0</v>
      </c>
      <c r="K57" s="106">
        <f>Assumptions!$Y$28</f>
        <v>0.77</v>
      </c>
      <c r="L57" s="55"/>
      <c r="M57" s="104" t="s">
        <v>223</v>
      </c>
      <c r="N57" s="105" t="str">
        <f>N$37</f>
        <v>-</v>
      </c>
      <c r="O57" s="166" t="s">
        <v>419</v>
      </c>
      <c r="P57" s="165">
        <f>P$37*Q$57</f>
        <v>0</v>
      </c>
      <c r="Q57" s="106">
        <f>Assumptions!$Y$28</f>
        <v>0.77</v>
      </c>
      <c r="R57" s="55"/>
      <c r="S57" s="123"/>
      <c r="T57" s="99"/>
      <c r="U57" s="135"/>
      <c r="V57" s="298"/>
      <c r="W57" s="55"/>
      <c r="X57" s="100"/>
    </row>
    <row r="58" spans="1:24" ht="15" customHeight="1">
      <c r="A58" s="104" t="s">
        <v>420</v>
      </c>
      <c r="B58" s="160">
        <v>0</v>
      </c>
      <c r="C58" s="113" t="str">
        <f>IF(C63&gt;D57,"# of Units Over Available Area","# of Units Within Available Area")</f>
        <v># of Units Within Available Area</v>
      </c>
      <c r="D58" s="158"/>
      <c r="E58" s="159"/>
      <c r="G58" s="104" t="s">
        <v>420</v>
      </c>
      <c r="H58" s="160">
        <v>0</v>
      </c>
      <c r="I58" s="113" t="str">
        <f>IF(I63&gt;J57,"# of Units Over Available Area","# of Units Within Available Area")</f>
        <v># of Units Within Available Area</v>
      </c>
      <c r="J58" s="158"/>
      <c r="K58" s="159"/>
      <c r="L58" s="102"/>
      <c r="M58" s="104" t="s">
        <v>420</v>
      </c>
      <c r="N58" s="160">
        <v>0</v>
      </c>
      <c r="O58" s="113" t="str">
        <f>IF(O63&gt;P57,"# of Units Over Available Area","# of Units Within Available Area")</f>
        <v># of Units Within Available Area</v>
      </c>
      <c r="P58" s="158"/>
      <c r="Q58" s="159"/>
      <c r="R58" s="102"/>
      <c r="S58" s="123"/>
      <c r="T58" s="296"/>
      <c r="U58" s="297"/>
      <c r="V58" s="112"/>
      <c r="W58" s="102"/>
      <c r="X58" s="100"/>
    </row>
    <row r="59" spans="1:24" ht="15" customHeight="1">
      <c r="A59" s="107" t="s">
        <v>308</v>
      </c>
      <c r="B59" s="108" t="s">
        <v>427</v>
      </c>
      <c r="C59" s="109" t="s">
        <v>428</v>
      </c>
      <c r="D59" s="108" t="s">
        <v>74</v>
      </c>
      <c r="E59" s="110" t="s">
        <v>429</v>
      </c>
      <c r="G59" s="107" t="s">
        <v>308</v>
      </c>
      <c r="H59" s="108" t="s">
        <v>427</v>
      </c>
      <c r="I59" s="109" t="s">
        <v>428</v>
      </c>
      <c r="J59" s="108" t="s">
        <v>74</v>
      </c>
      <c r="K59" s="110" t="s">
        <v>429</v>
      </c>
      <c r="L59" s="124"/>
      <c r="M59" s="107" t="s">
        <v>308</v>
      </c>
      <c r="N59" s="108" t="s">
        <v>427</v>
      </c>
      <c r="O59" s="109" t="s">
        <v>428</v>
      </c>
      <c r="P59" s="108" t="s">
        <v>74</v>
      </c>
      <c r="Q59" s="110" t="s">
        <v>429</v>
      </c>
      <c r="R59" s="124"/>
      <c r="S59" s="123"/>
      <c r="T59" s="124"/>
      <c r="U59" s="276"/>
      <c r="V59" s="124"/>
      <c r="W59" s="124"/>
      <c r="X59" s="100"/>
    </row>
    <row r="60" spans="1:24" ht="15" customHeight="1">
      <c r="A60" s="31" t="str">
        <f>Assumptions!$W$15</f>
        <v>1BR</v>
      </c>
      <c r="B60" s="76">
        <f>B$58*INDEX(Assumptions!$Y$10:$Y$12,MATCH(A60,Assumptions!$W$10:$W$12,0))</f>
        <v>0</v>
      </c>
      <c r="C60" s="32">
        <f>Assumptions!$S$18</f>
        <v>1000</v>
      </c>
      <c r="D60" s="379">
        <f>Assumptions!$S$19</f>
        <v>400</v>
      </c>
      <c r="E60" s="380">
        <f>B60*C60*D60</f>
        <v>0</v>
      </c>
      <c r="G60" s="31" t="str">
        <f>Assumptions!$W$15</f>
        <v>1BR</v>
      </c>
      <c r="H60" s="76">
        <f>H$58*INDEX(Assumptions!$Y$10:$Y$12,MATCH(G60,Assumptions!$W$10:$W$12,0))</f>
        <v>0</v>
      </c>
      <c r="I60" s="32">
        <f>Assumptions!$S$18</f>
        <v>1000</v>
      </c>
      <c r="J60" s="379">
        <f>Assumptions!$S$19</f>
        <v>400</v>
      </c>
      <c r="K60" s="380">
        <f>H60*I60*J60</f>
        <v>0</v>
      </c>
      <c r="L60" s="124"/>
      <c r="M60" s="31" t="str">
        <f>Assumptions!$W$15</f>
        <v>1BR</v>
      </c>
      <c r="N60" s="76">
        <f>N$58*INDEX(Assumptions!$Y$10:$Y$12,MATCH(M60,Assumptions!$W$10:$W$12,0))</f>
        <v>0</v>
      </c>
      <c r="O60" s="32">
        <f>Assumptions!$S$18</f>
        <v>1000</v>
      </c>
      <c r="P60" s="379">
        <f>Assumptions!$S$19</f>
        <v>400</v>
      </c>
      <c r="Q60" s="380">
        <f>N60*O60*P60</f>
        <v>0</v>
      </c>
      <c r="R60" s="124"/>
      <c r="S60" s="307"/>
      <c r="T60" s="100"/>
      <c r="U60" s="308"/>
      <c r="V60" s="309"/>
      <c r="W60" s="125"/>
      <c r="X60" s="100"/>
    </row>
    <row r="61" spans="1:24" ht="15" customHeight="1">
      <c r="A61" s="31" t="str">
        <f>Assumptions!$W$16</f>
        <v>2BR</v>
      </c>
      <c r="B61" s="76">
        <f>B$58*INDEX(Assumptions!$Y$10:$Y$12,MATCH(A61,Assumptions!$W$10:$W$12,0))</f>
        <v>0</v>
      </c>
      <c r="C61" s="32">
        <f>Assumptions!$S$21</f>
        <v>1500</v>
      </c>
      <c r="D61" s="379">
        <f>Assumptions!$S$22</f>
        <v>370</v>
      </c>
      <c r="E61" s="380">
        <f>B61*C61*D61</f>
        <v>0</v>
      </c>
      <c r="G61" s="31" t="str">
        <f>Assumptions!$W$16</f>
        <v>2BR</v>
      </c>
      <c r="H61" s="76">
        <f>H$58*INDEX(Assumptions!$Y$10:$Y$12,MATCH(G61,Assumptions!$W$10:$W$12,0))</f>
        <v>0</v>
      </c>
      <c r="I61" s="32">
        <f>Assumptions!$S$21</f>
        <v>1500</v>
      </c>
      <c r="J61" s="379">
        <f>Assumptions!$S$22</f>
        <v>370</v>
      </c>
      <c r="K61" s="380">
        <f>H61*I61*J61</f>
        <v>0</v>
      </c>
      <c r="L61" s="125"/>
      <c r="M61" s="31" t="str">
        <f>Assumptions!$W$16</f>
        <v>2BR</v>
      </c>
      <c r="N61" s="76">
        <f>N$58*INDEX(Assumptions!$Y$10:$Y$12,MATCH(M61,Assumptions!$W$10:$W$12,0))</f>
        <v>0</v>
      </c>
      <c r="O61" s="32">
        <f>Assumptions!$S$21</f>
        <v>1500</v>
      </c>
      <c r="P61" s="379">
        <f>Assumptions!$S$22</f>
        <v>370</v>
      </c>
      <c r="Q61" s="380">
        <f>N61*O61*P61</f>
        <v>0</v>
      </c>
      <c r="R61" s="125"/>
      <c r="S61" s="307"/>
      <c r="T61" s="100"/>
      <c r="U61" s="308"/>
      <c r="V61" s="309"/>
      <c r="W61" s="125"/>
      <c r="X61" s="100"/>
    </row>
    <row r="62" spans="1:24" ht="15" customHeight="1" thickBot="1">
      <c r="A62" s="31" t="str">
        <f>Assumptions!$W$17</f>
        <v>3BR</v>
      </c>
      <c r="B62" s="76">
        <f>B$58*INDEX(Assumptions!$Y$10:$Y$12,MATCH(A62,Assumptions!$W$10:$W$12,0))</f>
        <v>0</v>
      </c>
      <c r="C62" s="378">
        <f>Assumptions!$S$24</f>
        <v>2300</v>
      </c>
      <c r="D62" s="379">
        <f>Assumptions!$S$25</f>
        <v>340</v>
      </c>
      <c r="E62" s="380">
        <f>B62*C62*D62</f>
        <v>0</v>
      </c>
      <c r="G62" s="31" t="str">
        <f>Assumptions!$W$17</f>
        <v>3BR</v>
      </c>
      <c r="H62" s="76">
        <f>H$58*INDEX(Assumptions!$Y$10:$Y$12,MATCH(G62,Assumptions!$W$10:$W$12,0))</f>
        <v>0</v>
      </c>
      <c r="I62" s="378">
        <f>Assumptions!$S$24</f>
        <v>2300</v>
      </c>
      <c r="J62" s="379">
        <f>Assumptions!$S$25</f>
        <v>340</v>
      </c>
      <c r="K62" s="380">
        <f>H62*I62*J62</f>
        <v>0</v>
      </c>
      <c r="L62" s="125"/>
      <c r="M62" s="31" t="str">
        <f>Assumptions!$W$17</f>
        <v>3BR</v>
      </c>
      <c r="N62" s="76">
        <f>N$58*INDEX(Assumptions!$Y$10:$Y$12,MATCH(M62,Assumptions!$W$10:$W$12,0))</f>
        <v>0</v>
      </c>
      <c r="O62" s="378">
        <f>Assumptions!$S$24</f>
        <v>2300</v>
      </c>
      <c r="P62" s="379">
        <f>Assumptions!$S$25</f>
        <v>340</v>
      </c>
      <c r="Q62" s="380">
        <f>N62*O62*P62</f>
        <v>0</v>
      </c>
      <c r="R62" s="125"/>
      <c r="S62" s="307"/>
      <c r="T62" s="100"/>
      <c r="U62" s="308"/>
      <c r="V62" s="309"/>
      <c r="W62" s="125"/>
      <c r="X62" s="100"/>
    </row>
    <row r="63" spans="1:24" ht="15" customHeight="1" thickTop="1" thickBot="1">
      <c r="A63" s="7" t="s">
        <v>425</v>
      </c>
      <c r="B63" s="8">
        <f>SUM(B61:B62)</f>
        <v>0</v>
      </c>
      <c r="C63" s="9">
        <f>SUMPRODUCT(B60:B62,C60:C62)</f>
        <v>0</v>
      </c>
      <c r="D63" s="61"/>
      <c r="E63" s="62">
        <f>SUM(E60:E62)</f>
        <v>0</v>
      </c>
      <c r="G63" s="7" t="s">
        <v>425</v>
      </c>
      <c r="H63" s="8">
        <f>SUM(H61:H62)</f>
        <v>0</v>
      </c>
      <c r="I63" s="9">
        <f>SUMPRODUCT(H60:H62,I60:I62)</f>
        <v>0</v>
      </c>
      <c r="J63" s="61"/>
      <c r="K63" s="62">
        <f>SUM(K60:K62)</f>
        <v>0</v>
      </c>
      <c r="L63" s="122"/>
      <c r="M63" s="7" t="s">
        <v>425</v>
      </c>
      <c r="N63" s="8">
        <f>SUM(N61:N62)</f>
        <v>0</v>
      </c>
      <c r="O63" s="9">
        <f>SUMPRODUCT(N60:N62,O60:O62)</f>
        <v>0</v>
      </c>
      <c r="P63" s="61"/>
      <c r="Q63" s="62">
        <f>SUM(Q60:Q62)</f>
        <v>0</v>
      </c>
      <c r="R63" s="122"/>
      <c r="S63" s="12"/>
      <c r="T63" s="310"/>
      <c r="U63" s="311"/>
      <c r="V63" s="312"/>
      <c r="W63" s="122"/>
      <c r="X63" s="100"/>
    </row>
    <row r="64" spans="1:24" ht="15" customHeight="1" thickTop="1" thickBot="1">
      <c r="A64" s="10" t="s">
        <v>426</v>
      </c>
      <c r="B64" s="60"/>
      <c r="C64" s="11">
        <f>IFERROR(C63/B63,0)</f>
        <v>0</v>
      </c>
      <c r="D64" s="63">
        <f>IFERROR((E63/12)/C63,0)</f>
        <v>0</v>
      </c>
      <c r="E64" s="64"/>
      <c r="G64" s="10" t="s">
        <v>426</v>
      </c>
      <c r="H64" s="60"/>
      <c r="I64" s="11">
        <f>IFERROR(I63/H63,0)</f>
        <v>0</v>
      </c>
      <c r="J64" s="63">
        <f>IFERROR((K63/12)/I63,0)</f>
        <v>0</v>
      </c>
      <c r="K64" s="64"/>
      <c r="L64" s="12"/>
      <c r="M64" s="10" t="s">
        <v>426</v>
      </c>
      <c r="N64" s="60"/>
      <c r="O64" s="11">
        <f>IFERROR(O63/N63,0)</f>
        <v>0</v>
      </c>
      <c r="P64" s="63">
        <f>IFERROR((Q63/12)/O63,0)</f>
        <v>0</v>
      </c>
      <c r="Q64" s="64"/>
      <c r="R64" s="12"/>
      <c r="S64" s="12"/>
      <c r="T64" s="313"/>
      <c r="U64" s="314"/>
      <c r="V64" s="315"/>
      <c r="W64" s="12"/>
      <c r="X64" s="100"/>
    </row>
    <row r="65" spans="1:24" ht="15" customHeight="1">
      <c r="A65" s="104" t="s">
        <v>224</v>
      </c>
      <c r="B65" s="105" t="str">
        <f>B$38</f>
        <v>Multifamily-Affordable</v>
      </c>
      <c r="C65" s="166" t="s">
        <v>419</v>
      </c>
      <c r="D65" s="111">
        <f>D$38*E$65</f>
        <v>59217.188800000011</v>
      </c>
      <c r="E65" s="106">
        <f>Assumptions!$Y$28</f>
        <v>0.77</v>
      </c>
      <c r="G65" s="104" t="s">
        <v>224</v>
      </c>
      <c r="H65" s="105" t="str">
        <f>H$38</f>
        <v>-</v>
      </c>
      <c r="I65" s="166" t="s">
        <v>419</v>
      </c>
      <c r="J65" s="111">
        <f>J$38*K$65</f>
        <v>0</v>
      </c>
      <c r="K65" s="106">
        <f>Assumptions!$Y$28</f>
        <v>0.77</v>
      </c>
      <c r="L65" s="12"/>
      <c r="M65" s="104" t="s">
        <v>224</v>
      </c>
      <c r="N65" s="105" t="str">
        <f>N$38</f>
        <v>-</v>
      </c>
      <c r="O65" s="166" t="s">
        <v>419</v>
      </c>
      <c r="P65" s="111">
        <f>P$38*Q$65</f>
        <v>0</v>
      </c>
      <c r="Q65" s="106">
        <f>Assumptions!$Y$28</f>
        <v>0.77</v>
      </c>
      <c r="R65" s="12"/>
      <c r="S65" s="123"/>
      <c r="T65" s="99"/>
      <c r="U65" s="135"/>
      <c r="V65" s="295"/>
      <c r="W65" s="55"/>
      <c r="X65" s="100"/>
    </row>
    <row r="66" spans="1:24" ht="15" customHeight="1">
      <c r="A66" s="104" t="s">
        <v>420</v>
      </c>
      <c r="B66" s="160">
        <v>61</v>
      </c>
      <c r="C66" s="113" t="str">
        <f>IF(C72&gt;D65,"# of Units Over Available Area","# of Units Within Available Area")</f>
        <v># of Units Within Available Area</v>
      </c>
      <c r="D66" s="112" t="s">
        <v>421</v>
      </c>
      <c r="E66" s="120">
        <v>0</v>
      </c>
      <c r="G66" s="104" t="s">
        <v>420</v>
      </c>
      <c r="H66" s="160">
        <v>0</v>
      </c>
      <c r="I66" s="113" t="str">
        <f>IF(I72&gt;J65,"# of Units Over Available Area","# of Units Within Available Area")</f>
        <v># of Units Within Available Area</v>
      </c>
      <c r="J66" s="112" t="s">
        <v>421</v>
      </c>
      <c r="K66" s="120">
        <v>0</v>
      </c>
      <c r="L66" s="12"/>
      <c r="M66" s="104" t="s">
        <v>420</v>
      </c>
      <c r="N66" s="160">
        <v>0</v>
      </c>
      <c r="O66" s="113" t="str">
        <f>IF(O72&gt;P65,"# of Units Over Available Area","# of Units Within Available Area")</f>
        <v># of Units Within Available Area</v>
      </c>
      <c r="P66" s="112" t="s">
        <v>421</v>
      </c>
      <c r="Q66" s="120">
        <v>0</v>
      </c>
      <c r="R66" s="12"/>
      <c r="S66" s="123"/>
      <c r="T66" s="296"/>
      <c r="U66" s="297"/>
      <c r="V66" s="112"/>
      <c r="W66" s="102"/>
      <c r="X66" s="100"/>
    </row>
    <row r="67" spans="1:24" ht="15" customHeight="1">
      <c r="A67" s="107" t="s">
        <v>308</v>
      </c>
      <c r="B67" s="108" t="s">
        <v>427</v>
      </c>
      <c r="C67" s="109" t="s">
        <v>428</v>
      </c>
      <c r="D67" s="108" t="s">
        <v>423</v>
      </c>
      <c r="E67" s="110" t="s">
        <v>424</v>
      </c>
      <c r="G67" s="107" t="s">
        <v>308</v>
      </c>
      <c r="H67" s="108" t="s">
        <v>427</v>
      </c>
      <c r="I67" s="109" t="s">
        <v>428</v>
      </c>
      <c r="J67" s="108" t="s">
        <v>423</v>
      </c>
      <c r="K67" s="110" t="s">
        <v>424</v>
      </c>
      <c r="L67" s="12"/>
      <c r="M67" s="107" t="s">
        <v>308</v>
      </c>
      <c r="N67" s="108" t="s">
        <v>427</v>
      </c>
      <c r="O67" s="109" t="s">
        <v>428</v>
      </c>
      <c r="P67" s="108" t="s">
        <v>423</v>
      </c>
      <c r="Q67" s="110" t="s">
        <v>424</v>
      </c>
      <c r="R67" s="12"/>
      <c r="S67" s="123"/>
      <c r="T67" s="124"/>
      <c r="U67" s="276"/>
      <c r="V67" s="124"/>
      <c r="W67" s="124"/>
      <c r="X67" s="100"/>
    </row>
    <row r="68" spans="1:24" ht="15" customHeight="1">
      <c r="A68" s="31" t="str">
        <f>Assumptions!$W$14</f>
        <v>Studio</v>
      </c>
      <c r="B68" s="76">
        <f>B$66*INDEX(Assumptions!$Y$14:$Y$17,MATCH(A68,Assumptions!$W$14:$W$17,0))</f>
        <v>18.3</v>
      </c>
      <c r="C68" s="32">
        <f>Assumptions!$R$28</f>
        <v>550</v>
      </c>
      <c r="D68" s="42">
        <f>Assumptions!$R29*(1+E$66)</f>
        <v>2.4</v>
      </c>
      <c r="E68" s="43">
        <f>12*B68*C68*D68</f>
        <v>289872</v>
      </c>
      <c r="G68" s="31" t="str">
        <f>Assumptions!$W$14</f>
        <v>Studio</v>
      </c>
      <c r="H68" s="76">
        <f>H$66*INDEX(Assumptions!$Y$14:$Y$17,MATCH(G68,Assumptions!$W$14:$W$17,0))</f>
        <v>0</v>
      </c>
      <c r="I68" s="32">
        <f>Assumptions!$R$28</f>
        <v>550</v>
      </c>
      <c r="J68" s="42">
        <f>Assumptions!$R29*(1+K$66)</f>
        <v>2.4</v>
      </c>
      <c r="K68" s="43">
        <f>12*H68*I68*J68</f>
        <v>0</v>
      </c>
      <c r="L68" s="12"/>
      <c r="M68" s="31" t="str">
        <f>Assumptions!$W$14</f>
        <v>Studio</v>
      </c>
      <c r="N68" s="76">
        <f>N$66*INDEX(Assumptions!$Y$14:$Y$17,MATCH(M68,Assumptions!$W$14:$W$17,0))</f>
        <v>0</v>
      </c>
      <c r="O68" s="32">
        <f>Assumptions!$R$28</f>
        <v>550</v>
      </c>
      <c r="P68" s="42">
        <f>Assumptions!$R29*(1+Q$66)</f>
        <v>2.4</v>
      </c>
      <c r="Q68" s="43">
        <f>12*N68*O68*P68</f>
        <v>0</v>
      </c>
      <c r="R68" s="12"/>
      <c r="S68" s="307"/>
      <c r="T68" s="100"/>
      <c r="U68" s="308"/>
      <c r="V68" s="309"/>
      <c r="W68" s="125"/>
      <c r="X68" s="100"/>
    </row>
    <row r="69" spans="1:24" ht="15" customHeight="1">
      <c r="A69" s="31" t="str">
        <f>Assumptions!$W$15</f>
        <v>1BR</v>
      </c>
      <c r="B69" s="76">
        <f>B$66*INDEX(Assumptions!$Y$14:$Y$17,MATCH(A69,Assumptions!$W$14:$W$17,0))</f>
        <v>24.400000000000002</v>
      </c>
      <c r="C69" s="32">
        <f>Assumptions!$R$31</f>
        <v>800</v>
      </c>
      <c r="D69" s="42">
        <f>Assumptions!$R32*(1+E$66)</f>
        <v>2.0487500000000001</v>
      </c>
      <c r="E69" s="43">
        <f>12*B69*C69*D69</f>
        <v>479899.2</v>
      </c>
      <c r="G69" s="31" t="str">
        <f>Assumptions!$W$15</f>
        <v>1BR</v>
      </c>
      <c r="H69" s="76">
        <f>H$66*INDEX(Assumptions!$Y$14:$Y$17,MATCH(G69,Assumptions!$W$14:$W$17,0))</f>
        <v>0</v>
      </c>
      <c r="I69" s="32">
        <f>Assumptions!$R$31</f>
        <v>800</v>
      </c>
      <c r="J69" s="42">
        <f>Assumptions!$R32*(1+K$66)</f>
        <v>2.0487500000000001</v>
      </c>
      <c r="K69" s="43">
        <f>12*H69*I69*J69</f>
        <v>0</v>
      </c>
      <c r="L69" s="12"/>
      <c r="M69" s="31" t="str">
        <f>Assumptions!$W$15</f>
        <v>1BR</v>
      </c>
      <c r="N69" s="76">
        <f>N$66*INDEX(Assumptions!$Y$14:$Y$17,MATCH(M69,Assumptions!$W$14:$W$17,0))</f>
        <v>0</v>
      </c>
      <c r="O69" s="32">
        <f>Assumptions!$R$31</f>
        <v>800</v>
      </c>
      <c r="P69" s="42">
        <f>Assumptions!$R32*(1+Q$66)</f>
        <v>2.0487500000000001</v>
      </c>
      <c r="Q69" s="43">
        <f>12*N69*O69*P69</f>
        <v>0</v>
      </c>
      <c r="R69" s="12"/>
      <c r="S69" s="307"/>
      <c r="T69" s="100"/>
      <c r="U69" s="308"/>
      <c r="V69" s="309"/>
      <c r="W69" s="125"/>
      <c r="X69" s="100"/>
    </row>
    <row r="70" spans="1:24" ht="15" customHeight="1">
      <c r="A70" s="31" t="str">
        <f>Assumptions!$W$16</f>
        <v>2BR</v>
      </c>
      <c r="B70" s="76">
        <f>B$66*INDEX(Assumptions!$Y$14:$Y$17,MATCH(A70,Assumptions!$W$14:$W$17,0))</f>
        <v>9.15</v>
      </c>
      <c r="C70" s="378">
        <f>Assumptions!$R$34</f>
        <v>1200</v>
      </c>
      <c r="D70" s="379">
        <f>Assumptions!$R$36*(1+E$66)</f>
        <v>1.5083333333333333</v>
      </c>
      <c r="E70" s="380">
        <f>12*B70*C70*D70</f>
        <v>198738</v>
      </c>
      <c r="G70" s="31" t="str">
        <f>Assumptions!$W$16</f>
        <v>2BR</v>
      </c>
      <c r="H70" s="76">
        <f>H$66*INDEX(Assumptions!$Y$14:$Y$17,MATCH(G70,Assumptions!$W$14:$W$17,0))</f>
        <v>0</v>
      </c>
      <c r="I70" s="378">
        <f>Assumptions!$R$34</f>
        <v>1200</v>
      </c>
      <c r="J70" s="379">
        <f>Assumptions!$R$36*(1+K$66)</f>
        <v>1.5083333333333333</v>
      </c>
      <c r="K70" s="380">
        <f>12*H70*I70*J70</f>
        <v>0</v>
      </c>
      <c r="L70" s="12"/>
      <c r="M70" s="31" t="str">
        <f>Assumptions!$W$16</f>
        <v>2BR</v>
      </c>
      <c r="N70" s="76">
        <f>N$66*INDEX(Assumptions!$Y$14:$Y$17,MATCH(M70,Assumptions!$W$14:$W$17,0))</f>
        <v>0</v>
      </c>
      <c r="O70" s="378">
        <f>Assumptions!$R$34</f>
        <v>1200</v>
      </c>
      <c r="P70" s="379">
        <f>Assumptions!$R$36*(1+Q$66)</f>
        <v>1.5083333333333333</v>
      </c>
      <c r="Q70" s="380">
        <f>12*N70*O70*P70</f>
        <v>0</v>
      </c>
      <c r="R70" s="12"/>
      <c r="S70" s="307"/>
      <c r="T70" s="100"/>
      <c r="U70" s="308"/>
      <c r="V70" s="309"/>
      <c r="W70" s="125"/>
      <c r="X70" s="100"/>
    </row>
    <row r="71" spans="1:24" ht="15" customHeight="1" thickBot="1">
      <c r="A71" s="31" t="str">
        <f>Assumptions!$W$17</f>
        <v>3BR</v>
      </c>
      <c r="B71" s="76">
        <f>B$66*INDEX(Assumptions!$Y$14:$Y$17,MATCH(A71,Assumptions!$W$14:$W$17,0))</f>
        <v>9.15</v>
      </c>
      <c r="C71" s="32">
        <f>Assumptions!$R$38</f>
        <v>2000</v>
      </c>
      <c r="D71" s="379">
        <f>Assumptions!$R$39*(1+E$66)</f>
        <v>1.5145</v>
      </c>
      <c r="E71" s="380">
        <f>12*B71*C71*D71</f>
        <v>332584.2</v>
      </c>
      <c r="G71" s="31" t="str">
        <f>Assumptions!$W$17</f>
        <v>3BR</v>
      </c>
      <c r="H71" s="76">
        <f>H$66*INDEX(Assumptions!$Y$14:$Y$17,MATCH(G71,Assumptions!$W$14:$W$17,0))</f>
        <v>0</v>
      </c>
      <c r="I71" s="32">
        <f>Assumptions!$R$38</f>
        <v>2000</v>
      </c>
      <c r="J71" s="379">
        <f>Assumptions!$R$39*(1+K$66)</f>
        <v>1.5145</v>
      </c>
      <c r="K71" s="380">
        <f>12*H71*I71*J71</f>
        <v>0</v>
      </c>
      <c r="L71" s="12"/>
      <c r="M71" s="31" t="str">
        <f>Assumptions!$W$17</f>
        <v>3BR</v>
      </c>
      <c r="N71" s="76">
        <f>N$66*INDEX(Assumptions!$Y$14:$Y$17,MATCH(M71,Assumptions!$W$14:$W$17,0))</f>
        <v>0</v>
      </c>
      <c r="O71" s="32">
        <f>Assumptions!$R$38</f>
        <v>2000</v>
      </c>
      <c r="P71" s="379">
        <f>Assumptions!$R$39*(1+Q$66)</f>
        <v>1.5145</v>
      </c>
      <c r="Q71" s="380">
        <f>12*N71*O71*P71</f>
        <v>0</v>
      </c>
      <c r="R71" s="12"/>
      <c r="S71" s="307"/>
      <c r="T71" s="100"/>
      <c r="U71" s="308"/>
      <c r="V71" s="309"/>
      <c r="W71" s="125"/>
      <c r="X71" s="100"/>
    </row>
    <row r="72" spans="1:24" ht="15" customHeight="1" thickTop="1" thickBot="1">
      <c r="A72" s="7" t="s">
        <v>425</v>
      </c>
      <c r="B72" s="8">
        <f>SUM(B68:B71)</f>
        <v>61</v>
      </c>
      <c r="C72" s="9">
        <f>SUMPRODUCT(B68:B71,C68:C71)</f>
        <v>58865</v>
      </c>
      <c r="D72" s="61"/>
      <c r="E72" s="62">
        <f>SUM(E68:E71)</f>
        <v>1301093.3999999999</v>
      </c>
      <c r="G72" s="7" t="s">
        <v>425</v>
      </c>
      <c r="H72" s="8">
        <f>SUM(H68:H71)</f>
        <v>0</v>
      </c>
      <c r="I72" s="9">
        <f>SUMPRODUCT(H68:H71,I68:I71)</f>
        <v>0</v>
      </c>
      <c r="J72" s="61"/>
      <c r="K72" s="62">
        <f>SUM(K68:K71)</f>
        <v>0</v>
      </c>
      <c r="L72" s="12"/>
      <c r="M72" s="7" t="s">
        <v>425</v>
      </c>
      <c r="N72" s="8">
        <f>SUM(N68:N71)</f>
        <v>0</v>
      </c>
      <c r="O72" s="9">
        <f>SUMPRODUCT(N68:N71,O68:O71)</f>
        <v>0</v>
      </c>
      <c r="P72" s="61"/>
      <c r="Q72" s="62">
        <f>SUM(Q68:Q71)</f>
        <v>0</v>
      </c>
      <c r="R72" s="12"/>
      <c r="S72" s="12"/>
      <c r="T72" s="310"/>
      <c r="U72" s="311"/>
      <c r="V72" s="312"/>
      <c r="W72" s="122"/>
      <c r="X72" s="100"/>
    </row>
    <row r="73" spans="1:24" ht="15" customHeight="1" thickTop="1" thickBot="1">
      <c r="A73" s="10" t="s">
        <v>426</v>
      </c>
      <c r="B73" s="60"/>
      <c r="C73" s="11">
        <f>IFERROR(C72/B72,0)</f>
        <v>965</v>
      </c>
      <c r="D73" s="63">
        <f>IFERROR((E72/12)/C72,0)</f>
        <v>1.8419170984455957</v>
      </c>
      <c r="E73" s="64"/>
      <c r="G73" s="10" t="s">
        <v>426</v>
      </c>
      <c r="H73" s="60"/>
      <c r="I73" s="11">
        <f>IFERROR(I72/H72,0)</f>
        <v>0</v>
      </c>
      <c r="J73" s="63">
        <f>IFERROR((K72/12)/I72,0)</f>
        <v>0</v>
      </c>
      <c r="K73" s="64"/>
      <c r="L73" s="12"/>
      <c r="M73" s="10" t="s">
        <v>426</v>
      </c>
      <c r="N73" s="60"/>
      <c r="O73" s="11">
        <f>IFERROR(O72/N72,0)</f>
        <v>0</v>
      </c>
      <c r="P73" s="63">
        <f>IFERROR((Q72/12)/O72,0)</f>
        <v>0</v>
      </c>
      <c r="Q73" s="64"/>
      <c r="R73" s="12"/>
      <c r="S73" s="12"/>
      <c r="T73" s="313"/>
      <c r="U73" s="314"/>
      <c r="V73" s="315"/>
      <c r="W73" s="12"/>
      <c r="X73" s="100"/>
    </row>
    <row r="74" spans="1:24" ht="15" customHeight="1">
      <c r="A74" s="104" t="s">
        <v>225</v>
      </c>
      <c r="B74" s="105" t="str">
        <f>B$39</f>
        <v>-</v>
      </c>
      <c r="C74" s="166" t="s">
        <v>419</v>
      </c>
      <c r="D74" s="111">
        <f>D$39*E$74</f>
        <v>0</v>
      </c>
      <c r="E74" s="106">
        <f>Assumptions!$Y$28</f>
        <v>0.77</v>
      </c>
      <c r="G74" s="104" t="s">
        <v>225</v>
      </c>
      <c r="H74" s="105" t="str">
        <f>H$39</f>
        <v>-</v>
      </c>
      <c r="I74" s="166" t="s">
        <v>419</v>
      </c>
      <c r="J74" s="111">
        <f>J$39*K$74</f>
        <v>0</v>
      </c>
      <c r="K74" s="106">
        <f>Assumptions!$Y$28</f>
        <v>0.77</v>
      </c>
      <c r="L74" s="12"/>
      <c r="M74" s="104" t="s">
        <v>225</v>
      </c>
      <c r="N74" s="105" t="str">
        <f>N$39</f>
        <v>-</v>
      </c>
      <c r="O74" s="166" t="s">
        <v>419</v>
      </c>
      <c r="P74" s="111">
        <f>P$39*Q$74</f>
        <v>0</v>
      </c>
      <c r="Q74" s="106">
        <f>Assumptions!$Y$28</f>
        <v>0.77</v>
      </c>
      <c r="R74" s="12"/>
      <c r="S74" s="123"/>
      <c r="T74" s="99"/>
      <c r="U74" s="135"/>
      <c r="V74" s="295"/>
      <c r="W74" s="55"/>
      <c r="X74" s="100"/>
    </row>
    <row r="75" spans="1:24" ht="15" customHeight="1">
      <c r="A75" s="104" t="s">
        <v>420</v>
      </c>
      <c r="B75" s="160">
        <v>0</v>
      </c>
      <c r="C75" s="113" t="str">
        <f>IF(C80&gt;D74,"# of Units Over Available Area","# of Units Within Available Area")</f>
        <v># of Units Within Available Area</v>
      </c>
      <c r="D75" s="158"/>
      <c r="E75" s="159"/>
      <c r="G75" s="104" t="s">
        <v>420</v>
      </c>
      <c r="H75" s="160">
        <v>0</v>
      </c>
      <c r="I75" s="113" t="str">
        <f>IF(I80&gt;J74,"# of Units Over Available Area","# of Units Within Available Area")</f>
        <v># of Units Within Available Area</v>
      </c>
      <c r="J75" s="158"/>
      <c r="K75" s="159"/>
      <c r="L75" s="12"/>
      <c r="M75" s="104" t="s">
        <v>420</v>
      </c>
      <c r="N75" s="160">
        <v>0</v>
      </c>
      <c r="O75" s="113" t="str">
        <f>IF(O80&gt;P74,"# of Units Over Available Area","# of Units Within Available Area")</f>
        <v># of Units Within Available Area</v>
      </c>
      <c r="P75" s="158"/>
      <c r="Q75" s="159"/>
      <c r="R75" s="12"/>
      <c r="S75" s="123"/>
      <c r="T75" s="296"/>
      <c r="U75" s="297"/>
      <c r="V75" s="112"/>
      <c r="W75" s="102"/>
      <c r="X75" s="100"/>
    </row>
    <row r="76" spans="1:24" ht="15" customHeight="1">
      <c r="A76" s="107" t="s">
        <v>308</v>
      </c>
      <c r="B76" s="108" t="s">
        <v>427</v>
      </c>
      <c r="C76" s="109" t="s">
        <v>428</v>
      </c>
      <c r="D76" s="108" t="s">
        <v>74</v>
      </c>
      <c r="E76" s="110" t="s">
        <v>429</v>
      </c>
      <c r="G76" s="107" t="s">
        <v>308</v>
      </c>
      <c r="H76" s="108" t="s">
        <v>427</v>
      </c>
      <c r="I76" s="109" t="s">
        <v>428</v>
      </c>
      <c r="J76" s="108" t="s">
        <v>74</v>
      </c>
      <c r="K76" s="110" t="s">
        <v>429</v>
      </c>
      <c r="L76" s="12"/>
      <c r="M76" s="107" t="s">
        <v>308</v>
      </c>
      <c r="N76" s="108" t="s">
        <v>427</v>
      </c>
      <c r="O76" s="109" t="s">
        <v>428</v>
      </c>
      <c r="P76" s="108" t="s">
        <v>74</v>
      </c>
      <c r="Q76" s="110" t="s">
        <v>429</v>
      </c>
      <c r="R76" s="12"/>
      <c r="S76" s="123"/>
      <c r="T76" s="124"/>
      <c r="U76" s="276"/>
      <c r="V76" s="124"/>
      <c r="W76" s="124"/>
      <c r="X76" s="100"/>
    </row>
    <row r="77" spans="1:24" ht="15" customHeight="1">
      <c r="A77" s="31" t="str">
        <f>Assumptions!$W$19</f>
        <v>1BR</v>
      </c>
      <c r="B77" s="76">
        <f>B$75*INDEX(Assumptions!$Y$19:$Y$21,MATCH(A77,Assumptions!$W$19:$W$21,0))</f>
        <v>0</v>
      </c>
      <c r="C77" s="32">
        <f>Assumptions!$S$18</f>
        <v>1000</v>
      </c>
      <c r="D77" s="379">
        <f>Assumptions!$S$32</f>
        <v>268</v>
      </c>
      <c r="E77" s="380">
        <f>B77*C77*D77</f>
        <v>0</v>
      </c>
      <c r="G77" s="31" t="str">
        <f>Assumptions!$W$19</f>
        <v>1BR</v>
      </c>
      <c r="H77" s="76">
        <f>H$75*INDEX(Assumptions!$Y$19:$Y$21,MATCH(G77,Assumptions!$W$19:$W$21,0))</f>
        <v>0</v>
      </c>
      <c r="I77" s="32">
        <f>Assumptions!$S$18</f>
        <v>1000</v>
      </c>
      <c r="J77" s="379">
        <f>Assumptions!$S$32</f>
        <v>268</v>
      </c>
      <c r="K77" s="380">
        <f>H77*I77*J77</f>
        <v>0</v>
      </c>
      <c r="L77" s="12"/>
      <c r="M77" s="31" t="str">
        <f>Assumptions!$W$19</f>
        <v>1BR</v>
      </c>
      <c r="N77" s="76">
        <f>N$75*INDEX(Assumptions!$Y$19:$Y$21,MATCH(M77,Assumptions!$W$19:$W$21,0))</f>
        <v>0</v>
      </c>
      <c r="O77" s="32">
        <f>Assumptions!$S$18</f>
        <v>1000</v>
      </c>
      <c r="P77" s="379">
        <f>Assumptions!$S$32</f>
        <v>268</v>
      </c>
      <c r="Q77" s="380">
        <f>N77*O77*P77</f>
        <v>0</v>
      </c>
      <c r="R77" s="12"/>
      <c r="S77" s="307"/>
      <c r="T77" s="100"/>
      <c r="U77" s="308"/>
      <c r="V77" s="309"/>
      <c r="W77" s="125"/>
      <c r="X77" s="100"/>
    </row>
    <row r="78" spans="1:24" ht="15" customHeight="1">
      <c r="A78" s="31" t="str">
        <f>Assumptions!$W$20</f>
        <v>2BR</v>
      </c>
      <c r="B78" s="76">
        <f>B$75*INDEX(Assumptions!$Y$19:$Y$21,MATCH(A78,Assumptions!$W$19:$W$21,0))</f>
        <v>0</v>
      </c>
      <c r="C78" s="32">
        <f>Assumptions!$S$21</f>
        <v>1500</v>
      </c>
      <c r="D78" s="379">
        <f>Assumptions!$S$36</f>
        <v>216</v>
      </c>
      <c r="E78" s="380">
        <f>B78*C78*D78</f>
        <v>0</v>
      </c>
      <c r="G78" s="31" t="str">
        <f>Assumptions!$W$20</f>
        <v>2BR</v>
      </c>
      <c r="H78" s="76">
        <f>H$75*INDEX(Assumptions!$Y$19:$Y$21,MATCH(G78,Assumptions!$W$19:$W$21,0))</f>
        <v>0</v>
      </c>
      <c r="I78" s="32">
        <f>Assumptions!$S$21</f>
        <v>1500</v>
      </c>
      <c r="J78" s="379">
        <f>Assumptions!$S$36</f>
        <v>216</v>
      </c>
      <c r="K78" s="380">
        <f>H78*I78*J78</f>
        <v>0</v>
      </c>
      <c r="L78" s="12"/>
      <c r="M78" s="31" t="str">
        <f>Assumptions!$W$20</f>
        <v>2BR</v>
      </c>
      <c r="N78" s="76">
        <f>N$75*INDEX(Assumptions!$Y$19:$Y$21,MATCH(M78,Assumptions!$W$19:$W$21,0))</f>
        <v>0</v>
      </c>
      <c r="O78" s="32">
        <f>Assumptions!$S$21</f>
        <v>1500</v>
      </c>
      <c r="P78" s="379">
        <f>Assumptions!$S$36</f>
        <v>216</v>
      </c>
      <c r="Q78" s="380">
        <f>N78*O78*P78</f>
        <v>0</v>
      </c>
      <c r="R78" s="12"/>
      <c r="S78" s="307"/>
      <c r="T78" s="100"/>
      <c r="U78" s="308"/>
      <c r="V78" s="309"/>
      <c r="W78" s="125"/>
      <c r="X78" s="100"/>
    </row>
    <row r="79" spans="1:24" ht="15" customHeight="1" thickBot="1">
      <c r="A79" s="31" t="str">
        <f>Assumptions!$W$21</f>
        <v>3BR</v>
      </c>
      <c r="B79" s="76">
        <f>B$75*INDEX(Assumptions!$Y$19:$Y$21,MATCH(A79,Assumptions!$W$19:$W$21,0))</f>
        <v>0</v>
      </c>
      <c r="C79" s="378">
        <f>Assumptions!$S$24</f>
        <v>2300</v>
      </c>
      <c r="D79" s="379">
        <f>Assumptions!$S$39</f>
        <v>174.34782608695653</v>
      </c>
      <c r="E79" s="380">
        <f>B79*C79*D79</f>
        <v>0</v>
      </c>
      <c r="G79" s="31" t="str">
        <f>Assumptions!$W$21</f>
        <v>3BR</v>
      </c>
      <c r="H79" s="76">
        <f>H$75*INDEX(Assumptions!$Y$19:$Y$21,MATCH(G79,Assumptions!$W$19:$W$21,0))</f>
        <v>0</v>
      </c>
      <c r="I79" s="378">
        <f>Assumptions!$S$24</f>
        <v>2300</v>
      </c>
      <c r="J79" s="379">
        <f>Assumptions!$S$39</f>
        <v>174.34782608695653</v>
      </c>
      <c r="K79" s="380">
        <f>H79*I79*J79</f>
        <v>0</v>
      </c>
      <c r="L79" s="12"/>
      <c r="M79" s="31" t="str">
        <f>Assumptions!$W$21</f>
        <v>3BR</v>
      </c>
      <c r="N79" s="76">
        <f>N$75*INDEX(Assumptions!$Y$19:$Y$21,MATCH(M79,Assumptions!$W$19:$W$21,0))</f>
        <v>0</v>
      </c>
      <c r="O79" s="378">
        <f>Assumptions!$S$24</f>
        <v>2300</v>
      </c>
      <c r="P79" s="379">
        <f>Assumptions!$S$39</f>
        <v>174.34782608695653</v>
      </c>
      <c r="Q79" s="380">
        <f>N79*O79*P79</f>
        <v>0</v>
      </c>
      <c r="R79" s="12"/>
      <c r="S79" s="307"/>
      <c r="T79" s="100"/>
      <c r="U79" s="308"/>
      <c r="V79" s="309"/>
      <c r="W79" s="125"/>
      <c r="X79" s="100"/>
    </row>
    <row r="80" spans="1:24" ht="15" customHeight="1" thickTop="1" thickBot="1">
      <c r="A80" s="7" t="s">
        <v>425</v>
      </c>
      <c r="B80" s="8">
        <f>SUM(B77:B79)</f>
        <v>0</v>
      </c>
      <c r="C80" s="9">
        <f>SUMPRODUCT(B77:B79,C77:C79)</f>
        <v>0</v>
      </c>
      <c r="D80" s="61"/>
      <c r="E80" s="62">
        <f>SUM(E77:E79)</f>
        <v>0</v>
      </c>
      <c r="G80" s="7" t="s">
        <v>425</v>
      </c>
      <c r="H80" s="8">
        <f>SUM(H77:H79)</f>
        <v>0</v>
      </c>
      <c r="I80" s="9">
        <f>SUMPRODUCT(H77:H79,I77:I79)</f>
        <v>0</v>
      </c>
      <c r="J80" s="61"/>
      <c r="K80" s="62">
        <f>SUM(K77:K79)</f>
        <v>0</v>
      </c>
      <c r="L80" s="12"/>
      <c r="M80" s="7" t="s">
        <v>425</v>
      </c>
      <c r="N80" s="8">
        <f>SUM(N77:N79)</f>
        <v>0</v>
      </c>
      <c r="O80" s="9">
        <f>SUMPRODUCT(N77:N79,O77:O79)</f>
        <v>0</v>
      </c>
      <c r="P80" s="61"/>
      <c r="Q80" s="62">
        <f>SUM(Q77:Q79)</f>
        <v>0</v>
      </c>
      <c r="R80" s="12"/>
      <c r="S80" s="12"/>
      <c r="T80" s="310"/>
      <c r="U80" s="311"/>
      <c r="V80" s="312"/>
      <c r="W80" s="122"/>
      <c r="X80" s="100"/>
    </row>
    <row r="81" spans="1:24" ht="15" customHeight="1" thickTop="1" thickBot="1">
      <c r="A81" s="10" t="s">
        <v>426</v>
      </c>
      <c r="B81" s="60"/>
      <c r="C81" s="11">
        <f>IFERROR(C80/B80,0)</f>
        <v>0</v>
      </c>
      <c r="D81" s="63">
        <f>IFERROR((E80/12)/C80,0)</f>
        <v>0</v>
      </c>
      <c r="E81" s="64"/>
      <c r="G81" s="10" t="s">
        <v>426</v>
      </c>
      <c r="H81" s="60"/>
      <c r="I81" s="11">
        <f>IFERROR(I80/H80,0)</f>
        <v>0</v>
      </c>
      <c r="J81" s="63">
        <f>IFERROR((K80/12)/I80,0)</f>
        <v>0</v>
      </c>
      <c r="K81" s="64"/>
      <c r="L81" s="12"/>
      <c r="M81" s="10" t="s">
        <v>426</v>
      </c>
      <c r="N81" s="60"/>
      <c r="O81" s="11">
        <f>IFERROR(O80/N80,0)</f>
        <v>0</v>
      </c>
      <c r="P81" s="63">
        <f>IFERROR((Q80/12)/O80,0)</f>
        <v>0</v>
      </c>
      <c r="Q81" s="64"/>
      <c r="R81" s="12"/>
      <c r="S81" s="12"/>
      <c r="T81" s="313"/>
      <c r="U81" s="314"/>
      <c r="V81" s="315"/>
      <c r="W81" s="12"/>
      <c r="X81" s="100"/>
    </row>
    <row r="82" spans="1:24" ht="15" customHeight="1">
      <c r="A82" s="104" t="s">
        <v>226</v>
      </c>
      <c r="B82" s="105" t="str">
        <f>B$38</f>
        <v>Multifamily-Affordable</v>
      </c>
      <c r="C82" s="166" t="s">
        <v>419</v>
      </c>
      <c r="D82" s="111">
        <f>D$40*E$82</f>
        <v>0</v>
      </c>
      <c r="E82" s="106">
        <f>Assumptions!$Y$29</f>
        <v>0.8</v>
      </c>
      <c r="G82" s="104" t="s">
        <v>226</v>
      </c>
      <c r="H82" s="105" t="str">
        <f>H$38</f>
        <v>-</v>
      </c>
      <c r="I82" s="166" t="s">
        <v>419</v>
      </c>
      <c r="J82" s="111">
        <f>J$40*K$82</f>
        <v>0</v>
      </c>
      <c r="K82" s="106">
        <f>Assumptions!$Y$29</f>
        <v>0.8</v>
      </c>
      <c r="M82" s="104" t="s">
        <v>226</v>
      </c>
      <c r="N82" s="105" t="str">
        <f>N$38</f>
        <v>-</v>
      </c>
      <c r="O82" s="166" t="s">
        <v>419</v>
      </c>
      <c r="P82" s="111">
        <f>P$40*Q$82</f>
        <v>0</v>
      </c>
      <c r="Q82" s="106">
        <f>Assumptions!$Y$29</f>
        <v>0.8</v>
      </c>
      <c r="S82" s="123"/>
      <c r="T82" s="99"/>
      <c r="U82" s="135"/>
      <c r="V82" s="295"/>
      <c r="W82" s="55"/>
    </row>
    <row r="83" spans="1:24" ht="15" customHeight="1">
      <c r="A83" s="104" t="s">
        <v>430</v>
      </c>
      <c r="B83" s="160">
        <v>0</v>
      </c>
      <c r="C83" s="113" t="str">
        <f>IF(C88&gt;D82,"# of Units Over Available Area","# of Units Within Available Area")</f>
        <v># of Units Within Available Area</v>
      </c>
      <c r="D83" s="112" t="s">
        <v>421</v>
      </c>
      <c r="E83" s="120">
        <v>0.3</v>
      </c>
      <c r="G83" s="104" t="s">
        <v>430</v>
      </c>
      <c r="H83" s="160">
        <v>0</v>
      </c>
      <c r="I83" s="113" t="str">
        <f>IF(I88&gt;J82,"# of Units Over Available Area","# of Units Within Available Area")</f>
        <v># of Units Within Available Area</v>
      </c>
      <c r="J83" s="112" t="s">
        <v>421</v>
      </c>
      <c r="K83" s="120">
        <v>0.3</v>
      </c>
      <c r="M83" s="104" t="s">
        <v>430</v>
      </c>
      <c r="N83" s="160">
        <v>0</v>
      </c>
      <c r="O83" s="113" t="str">
        <f>IF(O88&gt;P82,"# of Units Over Available Area","# of Units Within Available Area")</f>
        <v># of Units Within Available Area</v>
      </c>
      <c r="P83" s="112" t="s">
        <v>421</v>
      </c>
      <c r="Q83" s="120">
        <v>0.3</v>
      </c>
      <c r="S83" s="123"/>
      <c r="T83" s="296"/>
      <c r="U83" s="297"/>
      <c r="V83" s="112"/>
      <c r="W83" s="102"/>
    </row>
    <row r="84" spans="1:24" ht="15" customHeight="1">
      <c r="A84" s="107" t="s">
        <v>431</v>
      </c>
      <c r="B84" s="108" t="s">
        <v>427</v>
      </c>
      <c r="C84" s="109" t="s">
        <v>428</v>
      </c>
      <c r="D84" s="108" t="s">
        <v>432</v>
      </c>
      <c r="E84" s="110" t="s">
        <v>433</v>
      </c>
      <c r="G84" s="107" t="s">
        <v>431</v>
      </c>
      <c r="H84" s="108" t="s">
        <v>427</v>
      </c>
      <c r="I84" s="109" t="s">
        <v>428</v>
      </c>
      <c r="J84" s="108" t="s">
        <v>432</v>
      </c>
      <c r="K84" s="110" t="s">
        <v>433</v>
      </c>
      <c r="M84" s="107" t="s">
        <v>431</v>
      </c>
      <c r="N84" s="108" t="s">
        <v>427</v>
      </c>
      <c r="O84" s="109" t="s">
        <v>428</v>
      </c>
      <c r="P84" s="108" t="s">
        <v>432</v>
      </c>
      <c r="Q84" s="110" t="s">
        <v>433</v>
      </c>
      <c r="S84" s="123"/>
      <c r="T84" s="124"/>
      <c r="U84" s="276"/>
      <c r="V84" s="124"/>
      <c r="W84" s="124"/>
    </row>
    <row r="85" spans="1:24" ht="15" customHeight="1">
      <c r="A85" s="31" t="str">
        <f>Assumptions!$W$23</f>
        <v>Studio</v>
      </c>
      <c r="B85" s="76">
        <f>B$83*INDEX(Assumptions!$Y$23:$Y$25,MATCH(A85,Assumptions!$W$23:$W$25,0))</f>
        <v>0</v>
      </c>
      <c r="C85" s="32">
        <f>Assumptions!$R$42</f>
        <v>500</v>
      </c>
      <c r="D85" s="42">
        <f>Assumptions!$R$43*(1+$E$83)</f>
        <v>3.9000000000000004</v>
      </c>
      <c r="E85" s="43">
        <f>12*B85*C85*D85</f>
        <v>0</v>
      </c>
      <c r="G85" s="31" t="str">
        <f>Assumptions!$W$23</f>
        <v>Studio</v>
      </c>
      <c r="H85" s="76">
        <f>H$83*INDEX(Assumptions!$Y$23:$Y$25,MATCH(G85,Assumptions!$W$23:$W$25,0))</f>
        <v>0</v>
      </c>
      <c r="I85" s="32">
        <f>Assumptions!$R$42</f>
        <v>500</v>
      </c>
      <c r="J85" s="42">
        <f>Assumptions!$R$43*(1+$E$83)</f>
        <v>3.9000000000000004</v>
      </c>
      <c r="K85" s="43">
        <f>12*H85*I85*J85</f>
        <v>0</v>
      </c>
      <c r="M85" s="31" t="str">
        <f>Assumptions!$W$23</f>
        <v>Studio</v>
      </c>
      <c r="N85" s="76">
        <f>N$83*INDEX(Assumptions!$Y$23:$Y$25,MATCH(M85,Assumptions!$W$23:$W$25,0))</f>
        <v>0</v>
      </c>
      <c r="O85" s="32">
        <f>Assumptions!$R$42</f>
        <v>500</v>
      </c>
      <c r="P85" s="42">
        <f>Assumptions!$R$43*(1+$E$83)</f>
        <v>3.9000000000000004</v>
      </c>
      <c r="Q85" s="43">
        <f>12*N85*O85*P85</f>
        <v>0</v>
      </c>
      <c r="S85" s="307"/>
      <c r="T85" s="100"/>
      <c r="U85" s="308"/>
      <c r="V85" s="309"/>
      <c r="W85" s="125"/>
    </row>
    <row r="86" spans="1:24" ht="15" customHeight="1">
      <c r="A86" s="31" t="str">
        <f>Assumptions!$W$24</f>
        <v>1BR</v>
      </c>
      <c r="B86" s="76">
        <f>B$83*INDEX(Assumptions!$Y$23:$Y$25,MATCH(A86,Assumptions!$W$23:$W$25,0))</f>
        <v>0</v>
      </c>
      <c r="C86" s="378">
        <f>Assumptions!$R$45</f>
        <v>700</v>
      </c>
      <c r="D86" s="42">
        <f>Assumptions!$R$46*(1+$E$83)</f>
        <v>3.25</v>
      </c>
      <c r="E86" s="380">
        <f>12*B86*C86*D86</f>
        <v>0</v>
      </c>
      <c r="G86" s="31" t="str">
        <f>Assumptions!$W$24</f>
        <v>1BR</v>
      </c>
      <c r="H86" s="76">
        <f>H$83*INDEX(Assumptions!$Y$23:$Y$25,MATCH(G86,Assumptions!$W$23:$W$25,0))</f>
        <v>0</v>
      </c>
      <c r="I86" s="378">
        <f>Assumptions!$R$45</f>
        <v>700</v>
      </c>
      <c r="J86" s="42">
        <f>Assumptions!$R$46*(1+$E$83)</f>
        <v>3.25</v>
      </c>
      <c r="K86" s="380">
        <f>12*H86*I86*J86</f>
        <v>0</v>
      </c>
      <c r="M86" s="31" t="str">
        <f>Assumptions!$W$24</f>
        <v>1BR</v>
      </c>
      <c r="N86" s="76">
        <f>N$83*INDEX(Assumptions!$Y$23:$Y$25,MATCH(M86,Assumptions!$W$23:$W$25,0))</f>
        <v>0</v>
      </c>
      <c r="O86" s="378">
        <f>Assumptions!$R$45</f>
        <v>700</v>
      </c>
      <c r="P86" s="42">
        <f>Assumptions!$R$46*(1+$E$83)</f>
        <v>3.25</v>
      </c>
      <c r="Q86" s="380">
        <f>12*N86*O86*P86</f>
        <v>0</v>
      </c>
      <c r="S86" s="307"/>
      <c r="T86" s="100"/>
      <c r="U86" s="308"/>
      <c r="V86" s="309"/>
      <c r="W86" s="125"/>
    </row>
    <row r="87" spans="1:24" ht="15" customHeight="1" thickBot="1">
      <c r="A87" s="31" t="str">
        <f>Assumptions!$W$25</f>
        <v>2BR</v>
      </c>
      <c r="B87" s="76">
        <f>B$83*INDEX(Assumptions!$Y$23:$Y$25,MATCH(A87,Assumptions!$W$23:$W$25,0))</f>
        <v>0</v>
      </c>
      <c r="C87" s="32">
        <f>Assumptions!$R$48</f>
        <v>1100</v>
      </c>
      <c r="D87" s="42">
        <f>Assumptions!$R$49*(1+$E$83)</f>
        <v>2.9899999999999998</v>
      </c>
      <c r="E87" s="380">
        <f>12*B87*C87*D87</f>
        <v>0</v>
      </c>
      <c r="G87" s="31" t="str">
        <f>Assumptions!$W$25</f>
        <v>2BR</v>
      </c>
      <c r="H87" s="76">
        <f>H$83*INDEX(Assumptions!$Y$23:$Y$25,MATCH(G87,Assumptions!$W$23:$W$25,0))</f>
        <v>0</v>
      </c>
      <c r="I87" s="32">
        <f>Assumptions!$R$48</f>
        <v>1100</v>
      </c>
      <c r="J87" s="42">
        <f>Assumptions!$R$49*(1+$E$83)</f>
        <v>2.9899999999999998</v>
      </c>
      <c r="K87" s="380">
        <f>12*H87*I87*J87</f>
        <v>0</v>
      </c>
      <c r="M87" s="31" t="str">
        <f>Assumptions!$W$25</f>
        <v>2BR</v>
      </c>
      <c r="N87" s="76">
        <f>N$83*INDEX(Assumptions!$Y$23:$Y$25,MATCH(M87,Assumptions!$W$23:$W$25,0))</f>
        <v>0</v>
      </c>
      <c r="O87" s="32">
        <f>Assumptions!$R$48</f>
        <v>1100</v>
      </c>
      <c r="P87" s="42">
        <f>Assumptions!$R$49*(1+$E$83)</f>
        <v>2.9899999999999998</v>
      </c>
      <c r="Q87" s="380">
        <f>12*N87*O87*P87</f>
        <v>0</v>
      </c>
      <c r="S87" s="307"/>
      <c r="T87" s="100"/>
      <c r="U87" s="308"/>
      <c r="V87" s="309"/>
      <c r="W87" s="125"/>
    </row>
    <row r="88" spans="1:24" ht="15" customHeight="1" thickTop="1" thickBot="1">
      <c r="A88" s="7" t="s">
        <v>425</v>
      </c>
      <c r="B88" s="8">
        <f>SUM(B85:B87)</f>
        <v>0</v>
      </c>
      <c r="C88" s="9">
        <f>SUMPRODUCT(B85:B87,C85:C87)</f>
        <v>0</v>
      </c>
      <c r="D88" s="61"/>
      <c r="E88" s="62">
        <f>SUM(E85:E87)</f>
        <v>0</v>
      </c>
      <c r="G88" s="7" t="s">
        <v>425</v>
      </c>
      <c r="H88" s="8">
        <f>SUM(H85:H87)</f>
        <v>0</v>
      </c>
      <c r="I88" s="9">
        <f>SUMPRODUCT(H85:H87,I85:I87)</f>
        <v>0</v>
      </c>
      <c r="J88" s="61"/>
      <c r="K88" s="62">
        <f>SUM(K85:K87)</f>
        <v>0</v>
      </c>
      <c r="M88" s="7" t="s">
        <v>425</v>
      </c>
      <c r="N88" s="8">
        <f>SUM(N85:N87)</f>
        <v>0</v>
      </c>
      <c r="O88" s="9">
        <f>SUMPRODUCT(N85:N87,O85:O87)</f>
        <v>0</v>
      </c>
      <c r="P88" s="61"/>
      <c r="Q88" s="62">
        <f>SUM(Q85:Q87)</f>
        <v>0</v>
      </c>
      <c r="S88" s="12"/>
      <c r="T88" s="310"/>
      <c r="U88" s="311"/>
      <c r="V88" s="312"/>
      <c r="W88" s="122"/>
    </row>
    <row r="89" spans="1:24" ht="15" customHeight="1" thickTop="1" thickBot="1">
      <c r="A89" s="10" t="s">
        <v>426</v>
      </c>
      <c r="B89" s="60"/>
      <c r="C89" s="11">
        <f>IFERROR(C88/B88,0)</f>
        <v>0</v>
      </c>
      <c r="D89" s="63">
        <f>IFERROR((E88/12)/C88,0)</f>
        <v>0</v>
      </c>
      <c r="E89" s="64"/>
      <c r="G89" s="10" t="s">
        <v>426</v>
      </c>
      <c r="H89" s="60"/>
      <c r="I89" s="11">
        <f>IFERROR(I88/H88,0)</f>
        <v>0</v>
      </c>
      <c r="J89" s="63">
        <f>IFERROR((K88/12)/I88,0)</f>
        <v>0</v>
      </c>
      <c r="K89" s="64"/>
      <c r="M89" s="10" t="s">
        <v>426</v>
      </c>
      <c r="N89" s="60"/>
      <c r="O89" s="11">
        <f>IFERROR(O88/N88,0)</f>
        <v>0</v>
      </c>
      <c r="P89" s="63">
        <f>IFERROR((Q88/12)/O88,0)</f>
        <v>0</v>
      </c>
      <c r="Q89" s="64"/>
      <c r="S89" s="12"/>
      <c r="T89" s="313"/>
      <c r="U89" s="314"/>
      <c r="V89" s="315"/>
      <c r="W89" s="12"/>
    </row>
    <row r="90" spans="1:24" ht="15" customHeight="1">
      <c r="A90" s="104" t="s">
        <v>434</v>
      </c>
      <c r="B90" s="116" t="str">
        <f>B$41</f>
        <v>-</v>
      </c>
      <c r="C90" s="114"/>
      <c r="D90" s="115"/>
      <c r="E90" s="121"/>
      <c r="G90" s="104" t="s">
        <v>434</v>
      </c>
      <c r="H90" s="116" t="str">
        <f>H$41</f>
        <v>-</v>
      </c>
      <c r="I90" s="114"/>
      <c r="J90" s="115"/>
      <c r="K90" s="121"/>
      <c r="L90" s="126"/>
      <c r="M90" s="104" t="s">
        <v>434</v>
      </c>
      <c r="N90" s="116" t="str">
        <f>N$41</f>
        <v>-</v>
      </c>
      <c r="O90" s="114"/>
      <c r="P90" s="115"/>
      <c r="Q90" s="121"/>
      <c r="R90" s="126"/>
      <c r="S90" s="123"/>
      <c r="T90" s="299"/>
      <c r="U90" s="300"/>
      <c r="V90" s="316"/>
      <c r="W90" s="126"/>
    </row>
    <row r="91" spans="1:24" ht="15" customHeight="1">
      <c r="A91" s="107" t="s">
        <v>33</v>
      </c>
      <c r="B91" s="108" t="s">
        <v>435</v>
      </c>
      <c r="C91" s="109" t="s">
        <v>436</v>
      </c>
      <c r="D91" s="108" t="s">
        <v>437</v>
      </c>
      <c r="E91" s="110" t="s">
        <v>433</v>
      </c>
      <c r="G91" s="107" t="s">
        <v>33</v>
      </c>
      <c r="H91" s="108" t="s">
        <v>435</v>
      </c>
      <c r="I91" s="109" t="s">
        <v>436</v>
      </c>
      <c r="J91" s="108" t="s">
        <v>437</v>
      </c>
      <c r="K91" s="110" t="s">
        <v>433</v>
      </c>
      <c r="L91" s="124"/>
      <c r="M91" s="107" t="s">
        <v>33</v>
      </c>
      <c r="N91" s="108" t="s">
        <v>435</v>
      </c>
      <c r="O91" s="109" t="s">
        <v>436</v>
      </c>
      <c r="P91" s="108" t="s">
        <v>437</v>
      </c>
      <c r="Q91" s="110" t="s">
        <v>433</v>
      </c>
      <c r="R91" s="124"/>
      <c r="S91" s="123"/>
      <c r="T91" s="124"/>
      <c r="U91" s="276"/>
      <c r="V91" s="124"/>
      <c r="W91" s="124"/>
    </row>
    <row r="92" spans="1:24" ht="15" customHeight="1">
      <c r="A92" s="56" t="s">
        <v>40</v>
      </c>
      <c r="B92" s="41">
        <f>IFERROR(IF(B$90=A92,D$41,0),0)</f>
        <v>0</v>
      </c>
      <c r="C92" s="57">
        <f>IFERROR(B92*INDEX(Assumptions!$Y$30:$Y$31,MATCH(A92,Assumptions!$W$30:$W$31,0)),0)</f>
        <v>0</v>
      </c>
      <c r="D92" s="58">
        <f>IF(C92&gt;0,INDEX(Assumptions!$R$5:$R$6,MATCH(A92,Assumptions!$Q$5:$Q$6,0)),0)</f>
        <v>0</v>
      </c>
      <c r="E92" s="59">
        <f>C92*D92</f>
        <v>0</v>
      </c>
      <c r="G92" s="56" t="s">
        <v>40</v>
      </c>
      <c r="H92" s="41">
        <f>IFERROR(IF(H$90=G92,J$41,0),0)</f>
        <v>0</v>
      </c>
      <c r="I92" s="57">
        <f>IFERROR(H92*INDEX(Assumptions!$Y$30:$Y$31,MATCH(G92,Assumptions!$W$30:$W$31,0)),0)</f>
        <v>0</v>
      </c>
      <c r="J92" s="58">
        <f>IF(I92&gt;0,INDEX(Assumptions!$R$5:$R$6,MATCH(G92,Assumptions!$Q$5:$Q$6,0)),0)</f>
        <v>0</v>
      </c>
      <c r="K92" s="59">
        <f>I92*J92</f>
        <v>0</v>
      </c>
      <c r="L92" s="127"/>
      <c r="M92" s="56" t="s">
        <v>40</v>
      </c>
      <c r="N92" s="41">
        <f>IFERROR(IF(N$90=M92,P$41,0),0)</f>
        <v>0</v>
      </c>
      <c r="O92" s="57">
        <f>IFERROR(N92*INDEX(Assumptions!$Y$30:$Y$31,MATCH(M92,Assumptions!$W$30:$W$31,0)),0)</f>
        <v>0</v>
      </c>
      <c r="P92" s="58">
        <f>IF(O92&gt;0,INDEX(Assumptions!$R$5:$R$6,MATCH(M92,Assumptions!$Q$5:$Q$6,0)),0)</f>
        <v>0</v>
      </c>
      <c r="Q92" s="59">
        <f>O92*P92</f>
        <v>0</v>
      </c>
      <c r="R92" s="127"/>
      <c r="S92" s="317"/>
      <c r="T92" s="100"/>
      <c r="U92" s="318"/>
      <c r="V92" s="319"/>
      <c r="W92" s="127"/>
    </row>
    <row r="93" spans="1:24" ht="15" customHeight="1" thickBot="1">
      <c r="A93" s="1006" t="s">
        <v>425</v>
      </c>
      <c r="B93" s="40">
        <f>SUM(B92:B92)</f>
        <v>0</v>
      </c>
      <c r="C93" s="40">
        <f>SUM(C92:C92)</f>
        <v>0</v>
      </c>
      <c r="D93" s="38">
        <f>IF(B93=0,0,E93/B93)</f>
        <v>0</v>
      </c>
      <c r="E93" s="39">
        <f>SUM(E92:E92)</f>
        <v>0</v>
      </c>
      <c r="G93" s="1006" t="s">
        <v>425</v>
      </c>
      <c r="H93" s="40">
        <f>SUM(H92:H92)</f>
        <v>0</v>
      </c>
      <c r="I93" s="40">
        <f>SUM(I92:I92)</f>
        <v>0</v>
      </c>
      <c r="J93" s="38">
        <f>IF(H93=0,0,K93/H93)</f>
        <v>0</v>
      </c>
      <c r="K93" s="39">
        <f>SUM(K92:K92)</f>
        <v>0</v>
      </c>
      <c r="L93" s="127"/>
      <c r="M93" s="1006" t="s">
        <v>425</v>
      </c>
      <c r="N93" s="40">
        <f>SUM(N92:N92)</f>
        <v>0</v>
      </c>
      <c r="O93" s="40">
        <f>SUM(O92:O92)</f>
        <v>0</v>
      </c>
      <c r="P93" s="38">
        <f>IF(N93=0,0,Q93/N93)</f>
        <v>0</v>
      </c>
      <c r="Q93" s="39">
        <f>SUM(Q92:Q92)</f>
        <v>0</v>
      </c>
      <c r="R93" s="127"/>
      <c r="S93" s="12"/>
      <c r="T93" s="320"/>
      <c r="U93" s="320"/>
      <c r="V93" s="319"/>
      <c r="W93" s="127"/>
    </row>
    <row r="94" spans="1:24" ht="15" customHeight="1">
      <c r="A94" s="104" t="s">
        <v>438</v>
      </c>
      <c r="B94" s="116" t="str">
        <f>B$42</f>
        <v>-</v>
      </c>
      <c r="C94" s="114"/>
      <c r="D94" s="115"/>
      <c r="E94" s="121"/>
      <c r="G94" s="104" t="s">
        <v>438</v>
      </c>
      <c r="H94" s="116" t="str">
        <f>H$42</f>
        <v>-</v>
      </c>
      <c r="I94" s="114"/>
      <c r="J94" s="115"/>
      <c r="K94" s="121"/>
      <c r="L94" s="126"/>
      <c r="M94" s="104" t="s">
        <v>438</v>
      </c>
      <c r="N94" s="116" t="str">
        <f>N$42</f>
        <v>-</v>
      </c>
      <c r="O94" s="114"/>
      <c r="P94" s="115"/>
      <c r="Q94" s="121"/>
      <c r="R94" s="126"/>
      <c r="S94" s="123"/>
      <c r="T94" s="299"/>
      <c r="U94" s="300"/>
      <c r="V94" s="316"/>
      <c r="W94" s="126"/>
    </row>
    <row r="95" spans="1:24" ht="15" customHeight="1">
      <c r="A95" s="107" t="s">
        <v>33</v>
      </c>
      <c r="B95" s="108" t="s">
        <v>435</v>
      </c>
      <c r="C95" s="109" t="s">
        <v>436</v>
      </c>
      <c r="D95" s="108" t="s">
        <v>437</v>
      </c>
      <c r="E95" s="110" t="s">
        <v>433</v>
      </c>
      <c r="G95" s="107" t="s">
        <v>33</v>
      </c>
      <c r="H95" s="108" t="s">
        <v>435</v>
      </c>
      <c r="I95" s="109" t="s">
        <v>436</v>
      </c>
      <c r="J95" s="108" t="s">
        <v>437</v>
      </c>
      <c r="K95" s="110" t="s">
        <v>433</v>
      </c>
      <c r="L95" s="124"/>
      <c r="M95" s="107" t="s">
        <v>33</v>
      </c>
      <c r="N95" s="108" t="s">
        <v>435</v>
      </c>
      <c r="O95" s="109" t="s">
        <v>436</v>
      </c>
      <c r="P95" s="108" t="s">
        <v>437</v>
      </c>
      <c r="Q95" s="110" t="s">
        <v>433</v>
      </c>
      <c r="R95" s="124"/>
      <c r="S95" s="123"/>
      <c r="T95" s="124"/>
      <c r="U95" s="276"/>
      <c r="V95" s="124"/>
      <c r="W95" s="124"/>
    </row>
    <row r="96" spans="1:24" ht="15" customHeight="1" thickBot="1">
      <c r="A96" s="381" t="s">
        <v>44</v>
      </c>
      <c r="B96" s="382">
        <f>IFERROR(IF(B$94=A96,D$42,0),0)</f>
        <v>0</v>
      </c>
      <c r="C96" s="383">
        <f>IFERROR(B96*INDEX(Assumptions!$Y$30:$Y$31,MATCH(A96,Assumptions!$W$30:$W$31,0)),0)</f>
        <v>0</v>
      </c>
      <c r="D96" s="384">
        <f>IF(C96&gt;0,INDEX(Assumptions!$R$5:$R$6,MATCH(A96,Assumptions!$Q$5:$Q$6,0)),0)</f>
        <v>0</v>
      </c>
      <c r="E96" s="59">
        <f>C96*D96</f>
        <v>0</v>
      </c>
      <c r="G96" s="381" t="s">
        <v>44</v>
      </c>
      <c r="H96" s="382">
        <f>IFERROR(IF(H$94=G96,J$42,0),0)</f>
        <v>0</v>
      </c>
      <c r="I96" s="383">
        <f>IFERROR(H96*INDEX(Assumptions!$Y$30:$Y$31,MATCH(G96,Assumptions!$W$30:$W$31,0)),0)</f>
        <v>0</v>
      </c>
      <c r="J96" s="384">
        <f>IF(I96&gt;0,INDEX(Assumptions!$R$5:$R$6,MATCH(G96,Assumptions!$Q$5:$Q$6,0)),0)</f>
        <v>0</v>
      </c>
      <c r="K96" s="59">
        <f>I96*J96</f>
        <v>0</v>
      </c>
      <c r="L96" s="127"/>
      <c r="M96" s="381" t="s">
        <v>44</v>
      </c>
      <c r="N96" s="382">
        <f>IFERROR(IF(N$94=M96,P$42,0),0)</f>
        <v>0</v>
      </c>
      <c r="O96" s="383">
        <f>IFERROR(N96*INDEX(Assumptions!$Y$30:$Y$31,MATCH(M96,Assumptions!$W$30:$W$31,0)),0)</f>
        <v>0</v>
      </c>
      <c r="P96" s="384">
        <f>IF(O96&gt;0,INDEX(Assumptions!$R$5:$R$6,MATCH(M96,Assumptions!$Q$5:$Q$6,0)),0)</f>
        <v>0</v>
      </c>
      <c r="Q96" s="59">
        <f>O96*P96</f>
        <v>0</v>
      </c>
      <c r="R96" s="127"/>
      <c r="S96" s="317"/>
      <c r="T96" s="100"/>
      <c r="U96" s="318"/>
      <c r="V96" s="319"/>
      <c r="W96" s="127"/>
    </row>
    <row r="97" spans="1:23" ht="15" customHeight="1" thickTop="1" thickBot="1">
      <c r="A97" s="1006" t="s">
        <v>425</v>
      </c>
      <c r="B97" s="40">
        <f>SUM(B96:B96)</f>
        <v>0</v>
      </c>
      <c r="C97" s="40">
        <f>SUM(C96:C96)</f>
        <v>0</v>
      </c>
      <c r="D97" s="38">
        <f>IF(B97=0,0,E97/B97)</f>
        <v>0</v>
      </c>
      <c r="E97" s="39">
        <f>SUM(E96:E96)</f>
        <v>0</v>
      </c>
      <c r="G97" s="1006" t="s">
        <v>425</v>
      </c>
      <c r="H97" s="40">
        <f>SUM(H96:H96)</f>
        <v>0</v>
      </c>
      <c r="I97" s="40">
        <f>SUM(I96:I96)</f>
        <v>0</v>
      </c>
      <c r="J97" s="38">
        <f>IF(H97=0,0,K97/H97)</f>
        <v>0</v>
      </c>
      <c r="K97" s="39">
        <f>SUM(K96:K96)</f>
        <v>0</v>
      </c>
      <c r="L97" s="127"/>
      <c r="M97" s="1006" t="s">
        <v>425</v>
      </c>
      <c r="N97" s="40">
        <f>SUM(N96:N96)</f>
        <v>0</v>
      </c>
      <c r="O97" s="40">
        <f>SUM(O96:O96)</f>
        <v>0</v>
      </c>
      <c r="P97" s="38">
        <f>IF(N97=0,0,Q97/N97)</f>
        <v>0</v>
      </c>
      <c r="Q97" s="39">
        <f>SUM(Q96:Q96)</f>
        <v>0</v>
      </c>
      <c r="R97" s="127"/>
      <c r="S97" s="12"/>
      <c r="T97" s="320"/>
      <c r="U97" s="320"/>
      <c r="V97" s="319"/>
      <c r="W97" s="127"/>
    </row>
    <row r="98" spans="1:23" ht="15" customHeight="1">
      <c r="A98" s="104" t="s">
        <v>439</v>
      </c>
      <c r="B98" s="116" t="str">
        <f>B$43</f>
        <v>-</v>
      </c>
      <c r="C98" s="114"/>
      <c r="D98" s="115"/>
      <c r="E98" s="121"/>
      <c r="G98" s="104" t="s">
        <v>439</v>
      </c>
      <c r="H98" s="116" t="str">
        <f>H$43</f>
        <v>-</v>
      </c>
      <c r="I98" s="114"/>
      <c r="J98" s="115"/>
      <c r="K98" s="121"/>
      <c r="L98" s="126"/>
      <c r="M98" s="104" t="s">
        <v>439</v>
      </c>
      <c r="N98" s="116" t="str">
        <f>N$43</f>
        <v>-</v>
      </c>
      <c r="O98" s="114"/>
      <c r="P98" s="115"/>
      <c r="Q98" s="121"/>
      <c r="R98" s="126"/>
      <c r="S98" s="123"/>
      <c r="T98" s="299"/>
      <c r="U98" s="300"/>
      <c r="V98" s="316"/>
      <c r="W98" s="126"/>
    </row>
    <row r="99" spans="1:23" ht="15" customHeight="1">
      <c r="A99" s="107" t="s">
        <v>33</v>
      </c>
      <c r="B99" s="108" t="s">
        <v>435</v>
      </c>
      <c r="C99" s="109"/>
      <c r="D99" s="108" t="s">
        <v>74</v>
      </c>
      <c r="E99" s="110" t="s">
        <v>429</v>
      </c>
      <c r="G99" s="107" t="s">
        <v>33</v>
      </c>
      <c r="H99" s="108" t="s">
        <v>435</v>
      </c>
      <c r="I99" s="109"/>
      <c r="J99" s="108" t="s">
        <v>74</v>
      </c>
      <c r="K99" s="110" t="s">
        <v>429</v>
      </c>
      <c r="L99" s="124"/>
      <c r="M99" s="107" t="s">
        <v>33</v>
      </c>
      <c r="N99" s="108" t="s">
        <v>435</v>
      </c>
      <c r="O99" s="109"/>
      <c r="P99" s="108" t="s">
        <v>74</v>
      </c>
      <c r="Q99" s="110" t="s">
        <v>429</v>
      </c>
      <c r="R99" s="124"/>
      <c r="S99" s="123"/>
      <c r="T99" s="124"/>
      <c r="U99" s="276"/>
      <c r="V99" s="124"/>
      <c r="W99" s="124"/>
    </row>
    <row r="100" spans="1:23" ht="15" customHeight="1" thickBot="1">
      <c r="A100" s="381" t="s">
        <v>51</v>
      </c>
      <c r="B100" s="386">
        <f>IFERROR(IF(B$98=A100,D$43,0),0)</f>
        <v>0</v>
      </c>
      <c r="C100" s="383"/>
      <c r="D100" s="384">
        <f>Assumptions!$S$8</f>
        <v>500</v>
      </c>
      <c r="E100" s="385">
        <f>B100*D100</f>
        <v>0</v>
      </c>
      <c r="G100" s="381" t="s">
        <v>51</v>
      </c>
      <c r="H100" s="386">
        <f>IFERROR(IF(H$98=G100,J$43,0),0)</f>
        <v>0</v>
      </c>
      <c r="I100" s="383"/>
      <c r="J100" s="384">
        <f>Assumptions!$S$8</f>
        <v>500</v>
      </c>
      <c r="K100" s="385">
        <f>H100*J100</f>
        <v>0</v>
      </c>
      <c r="L100" s="127"/>
      <c r="M100" s="381" t="s">
        <v>51</v>
      </c>
      <c r="N100" s="386">
        <f>IFERROR(IF(N$98=M100,P$43,0),0)</f>
        <v>0</v>
      </c>
      <c r="O100" s="383"/>
      <c r="P100" s="384">
        <f>Assumptions!$S$8</f>
        <v>500</v>
      </c>
      <c r="Q100" s="385">
        <f>N100*P100</f>
        <v>0</v>
      </c>
      <c r="R100" s="127"/>
      <c r="S100" s="317"/>
      <c r="T100" s="100"/>
      <c r="U100" s="318"/>
      <c r="V100" s="319"/>
      <c r="W100" s="127"/>
    </row>
    <row r="101" spans="1:23" ht="15" customHeight="1" thickTop="1" thickBot="1">
      <c r="A101" s="1006" t="s">
        <v>425</v>
      </c>
      <c r="B101" s="40">
        <f>SUM(B100:B100)</f>
        <v>0</v>
      </c>
      <c r="C101" s="40"/>
      <c r="D101" s="38">
        <f>IF(B101=0,0,E101/B101)</f>
        <v>0</v>
      </c>
      <c r="E101" s="39">
        <f>SUM(E100:E100)</f>
        <v>0</v>
      </c>
      <c r="G101" s="1006" t="s">
        <v>425</v>
      </c>
      <c r="H101" s="40">
        <f>SUM(H100:H100)</f>
        <v>0</v>
      </c>
      <c r="I101" s="40"/>
      <c r="J101" s="38">
        <f>IF(H101=0,0,K101/H101)</f>
        <v>0</v>
      </c>
      <c r="K101" s="39">
        <f>SUM(K100:K100)</f>
        <v>0</v>
      </c>
      <c r="L101" s="127"/>
      <c r="M101" s="1006" t="s">
        <v>425</v>
      </c>
      <c r="N101" s="40">
        <f>SUM(N100:N100)</f>
        <v>0</v>
      </c>
      <c r="O101" s="40"/>
      <c r="P101" s="38">
        <f>IF(N101=0,0,Q101/N101)</f>
        <v>0</v>
      </c>
      <c r="Q101" s="39">
        <f>SUM(Q100:Q100)</f>
        <v>0</v>
      </c>
      <c r="R101" s="127"/>
      <c r="S101" s="12"/>
      <c r="T101" s="320"/>
      <c r="U101" s="320"/>
      <c r="V101" s="319"/>
      <c r="W101" s="127"/>
    </row>
    <row r="102" spans="1:23" ht="15" customHeight="1">
      <c r="A102" s="104" t="s">
        <v>440</v>
      </c>
      <c r="B102" s="116" t="str">
        <f>B$44</f>
        <v>-</v>
      </c>
      <c r="C102" s="114"/>
      <c r="D102" s="115"/>
      <c r="E102" s="121"/>
      <c r="G102" s="104" t="s">
        <v>440</v>
      </c>
      <c r="H102" s="116" t="str">
        <f>H$44</f>
        <v>-</v>
      </c>
      <c r="I102" s="114"/>
      <c r="J102" s="115"/>
      <c r="K102" s="121"/>
      <c r="L102" s="127"/>
      <c r="M102" s="104" t="s">
        <v>440</v>
      </c>
      <c r="N102" s="116" t="str">
        <f>N$44</f>
        <v>-</v>
      </c>
      <c r="O102" s="114"/>
      <c r="P102" s="115"/>
      <c r="Q102" s="121"/>
      <c r="R102" s="127"/>
      <c r="S102" s="123"/>
      <c r="T102" s="299"/>
      <c r="U102" s="300"/>
      <c r="V102" s="316"/>
      <c r="W102" s="126"/>
    </row>
    <row r="103" spans="1:23" ht="15" customHeight="1">
      <c r="A103" s="107" t="s">
        <v>33</v>
      </c>
      <c r="B103" s="108" t="s">
        <v>435</v>
      </c>
      <c r="C103" s="109" t="s">
        <v>441</v>
      </c>
      <c r="D103" s="108" t="s">
        <v>437</v>
      </c>
      <c r="E103" s="110" t="s">
        <v>433</v>
      </c>
      <c r="G103" s="107" t="s">
        <v>33</v>
      </c>
      <c r="H103" s="108" t="s">
        <v>435</v>
      </c>
      <c r="I103" s="109" t="s">
        <v>441</v>
      </c>
      <c r="J103" s="108" t="s">
        <v>437</v>
      </c>
      <c r="K103" s="110" t="s">
        <v>433</v>
      </c>
      <c r="L103" s="127"/>
      <c r="M103" s="107" t="s">
        <v>33</v>
      </c>
      <c r="N103" s="108" t="s">
        <v>435</v>
      </c>
      <c r="O103" s="109" t="s">
        <v>441</v>
      </c>
      <c r="P103" s="108" t="s">
        <v>437</v>
      </c>
      <c r="Q103" s="110" t="s">
        <v>433</v>
      </c>
      <c r="R103" s="127"/>
      <c r="S103" s="123"/>
      <c r="T103" s="124"/>
      <c r="U103" s="276"/>
      <c r="V103" s="124"/>
      <c r="W103" s="124"/>
    </row>
    <row r="104" spans="1:23" ht="15" customHeight="1" thickBot="1">
      <c r="A104" s="381" t="s">
        <v>48</v>
      </c>
      <c r="B104" s="386">
        <f>IFERROR(IF(B$102=A104,D$44,0),0)</f>
        <v>0</v>
      </c>
      <c r="C104" s="383">
        <f>IFERROR(B104*INDEX(Assumptions!$Y$32:$Y$32,MATCH(A104,Assumptions!$W$32:$W$32,0)),0)</f>
        <v>0</v>
      </c>
      <c r="D104" s="384">
        <f>IF(C104&gt;0,INDEX(Assumptions!$R$7:$R$7,MATCH(A104,Assumptions!$Q$7:$Q$7,0)),0)</f>
        <v>0</v>
      </c>
      <c r="E104" s="59">
        <f>C104*D104</f>
        <v>0</v>
      </c>
      <c r="G104" s="381" t="s">
        <v>48</v>
      </c>
      <c r="H104" s="386">
        <f>IFERROR(IF(H$102=G104,J$44,0),0)</f>
        <v>0</v>
      </c>
      <c r="I104" s="383">
        <f>IFERROR(H104*INDEX(Assumptions!$Y$32:$Y$32,MATCH(G104,Assumptions!$W$32:$W$32,0)),0)</f>
        <v>0</v>
      </c>
      <c r="J104" s="384">
        <f>IF(I104&gt;0,INDEX(Assumptions!$R$7:$R$7,MATCH(G104,Assumptions!$Q$7:$Q$7,0)),0)</f>
        <v>0</v>
      </c>
      <c r="K104" s="59">
        <f>I104*J104</f>
        <v>0</v>
      </c>
      <c r="L104" s="127"/>
      <c r="M104" s="381" t="s">
        <v>48</v>
      </c>
      <c r="N104" s="386">
        <f>IFERROR(IF(N$102=M104,P$44,0),0)</f>
        <v>0</v>
      </c>
      <c r="O104" s="383">
        <f>IFERROR(N104*INDEX(Assumptions!$Y$32:$Y$32,MATCH(M104,Assumptions!$W$32:$W$32,0)),0)</f>
        <v>0</v>
      </c>
      <c r="P104" s="384">
        <f>IF(O104&gt;0,INDEX(Assumptions!$R$7:$R$7,MATCH(M104,Assumptions!$Q$7:$Q$7,0)),0)</f>
        <v>0</v>
      </c>
      <c r="Q104" s="59">
        <f>O104*P104</f>
        <v>0</v>
      </c>
      <c r="R104" s="127"/>
      <c r="S104" s="317"/>
      <c r="T104" s="100"/>
      <c r="U104" s="318"/>
      <c r="V104" s="319"/>
      <c r="W104" s="127"/>
    </row>
    <row r="105" spans="1:23" ht="15" customHeight="1" thickTop="1" thickBot="1">
      <c r="A105" s="1006" t="s">
        <v>425</v>
      </c>
      <c r="B105" s="40">
        <f>SUM(B104)</f>
        <v>0</v>
      </c>
      <c r="C105" s="40">
        <f>SUM(C104)</f>
        <v>0</v>
      </c>
      <c r="D105" s="38">
        <f>IF(B105=0,0,E105/B105)</f>
        <v>0</v>
      </c>
      <c r="E105" s="39">
        <f>SUM(E104)</f>
        <v>0</v>
      </c>
      <c r="G105" s="1006" t="s">
        <v>425</v>
      </c>
      <c r="H105" s="40">
        <f>SUM(H104)</f>
        <v>0</v>
      </c>
      <c r="I105" s="40">
        <f>SUM(I104)</f>
        <v>0</v>
      </c>
      <c r="J105" s="38">
        <f>IF(H105=0,0,K105/H105)</f>
        <v>0</v>
      </c>
      <c r="K105" s="39">
        <f>SUM(K104)</f>
        <v>0</v>
      </c>
      <c r="L105" s="127"/>
      <c r="M105" s="1006" t="s">
        <v>425</v>
      </c>
      <c r="N105" s="40">
        <f>SUM(N104)</f>
        <v>0</v>
      </c>
      <c r="O105" s="40">
        <f>SUM(O104)</f>
        <v>0</v>
      </c>
      <c r="P105" s="38">
        <f>IF(N105=0,0,Q105/N105)</f>
        <v>0</v>
      </c>
      <c r="Q105" s="39">
        <f>SUM(Q104)</f>
        <v>0</v>
      </c>
      <c r="R105" s="127"/>
      <c r="S105" s="12"/>
      <c r="T105" s="320"/>
      <c r="U105" s="320"/>
      <c r="V105" s="319"/>
      <c r="W105" s="127"/>
    </row>
    <row r="106" spans="1:23" ht="15" customHeight="1">
      <c r="A106" s="1007" t="s">
        <v>418</v>
      </c>
      <c r="B106" s="1008" t="s">
        <v>435</v>
      </c>
      <c r="C106" s="1009" t="s">
        <v>442</v>
      </c>
      <c r="D106" s="1009" t="s">
        <v>443</v>
      </c>
      <c r="E106" s="1010" t="s">
        <v>433</v>
      </c>
      <c r="G106" s="1007" t="s">
        <v>418</v>
      </c>
      <c r="H106" s="1008" t="s">
        <v>435</v>
      </c>
      <c r="I106" s="1009" t="s">
        <v>442</v>
      </c>
      <c r="J106" s="1009" t="s">
        <v>443</v>
      </c>
      <c r="K106" s="1010" t="s">
        <v>433</v>
      </c>
      <c r="M106" s="1007" t="s">
        <v>418</v>
      </c>
      <c r="N106" s="1008" t="s">
        <v>435</v>
      </c>
      <c r="O106" s="1009" t="s">
        <v>442</v>
      </c>
      <c r="P106" s="1009" t="s">
        <v>443</v>
      </c>
      <c r="Q106" s="1010" t="s">
        <v>433</v>
      </c>
      <c r="S106" s="123"/>
      <c r="T106" s="124"/>
      <c r="U106" s="276"/>
      <c r="V106" s="276"/>
      <c r="W106" s="124"/>
    </row>
    <row r="107" spans="1:23" ht="15" customHeight="1" thickBot="1">
      <c r="A107" s="387"/>
      <c r="B107" s="388">
        <f>D45</f>
        <v>61654.2</v>
      </c>
      <c r="C107" s="389">
        <f>IF(B107=0,0,IFERROR((B107/Assumptions!$Y$35)-1,0))</f>
        <v>204.51399999999998</v>
      </c>
      <c r="D107" s="390"/>
      <c r="E107" s="385"/>
      <c r="G107" s="387"/>
      <c r="H107" s="388">
        <f>J45</f>
        <v>0</v>
      </c>
      <c r="I107" s="389">
        <f>IF(H107=0,0,IFERROR((H107/Assumptions!$Y$35)-1,0))</f>
        <v>0</v>
      </c>
      <c r="J107" s="390"/>
      <c r="K107" s="385"/>
      <c r="M107" s="387"/>
      <c r="N107" s="388">
        <f>P45</f>
        <v>0</v>
      </c>
      <c r="O107" s="389">
        <f>IF(N107=0,0,IFERROR((N107/Assumptions!$Y$35)-1,0))</f>
        <v>0</v>
      </c>
      <c r="P107" s="390"/>
      <c r="Q107" s="385"/>
      <c r="T107" s="83"/>
      <c r="U107" s="168"/>
      <c r="W107" s="127"/>
    </row>
    <row r="108" spans="1:23" ht="15" customHeight="1" thickTop="1">
      <c r="A108" s="163" t="s">
        <v>61</v>
      </c>
      <c r="B108" s="128">
        <f>IF(B34="Parking Lot",B107*50%,B$107*B46)</f>
        <v>61654.2</v>
      </c>
      <c r="C108" s="259">
        <f>IF(B108=0,0,IFERROR((B108/Assumptions!$Y$35)-1,0))</f>
        <v>204.51399999999998</v>
      </c>
      <c r="D108" s="36">
        <f>Assumptions!$Y36</f>
        <v>300</v>
      </c>
      <c r="E108" s="59">
        <f>IF(OR(D$37&gt;0,D$39&gt;0,D$40&gt;0,D$43&gt;0),0,IF(B$58&gt;0,0,IF(C108&lt;0,0,C108*D108*12)))</f>
        <v>736250.39999999991</v>
      </c>
      <c r="G108" s="163" t="s">
        <v>61</v>
      </c>
      <c r="H108" s="128">
        <f>IF(H34="Parking Lot",H107*50%,H$107*H46)</f>
        <v>0</v>
      </c>
      <c r="I108" s="259">
        <f>IF(H108=0,0,IFERROR((H108/Assumptions!$Y$35)-1,0))</f>
        <v>0</v>
      </c>
      <c r="J108" s="36">
        <f>Assumptions!$Y36</f>
        <v>300</v>
      </c>
      <c r="K108" s="59">
        <f>IF(OR(J$37&gt;0,J$39&gt;0,J$40&gt;0,J$43&gt;0),0,IF(H$58&gt;0,0,IF(I108&lt;0,0,I108*J108*12)))</f>
        <v>0</v>
      </c>
      <c r="M108" s="163" t="s">
        <v>61</v>
      </c>
      <c r="N108" s="128">
        <f>IF(N34="Parking Lot",N107*50%,N$107*N46)</f>
        <v>0</v>
      </c>
      <c r="O108" s="259">
        <f>IF(N108=0,0,IFERROR((N108/Assumptions!$Y$35)-1,0))</f>
        <v>0</v>
      </c>
      <c r="P108" s="36">
        <f>Assumptions!$Y36</f>
        <v>300</v>
      </c>
      <c r="Q108" s="59">
        <f>IF(OR(P$37&gt;0,P$39&gt;0,P$40&gt;0,P$43&gt;0),0,IF(N$58&gt;0,0,IF(O108&lt;0,0,O108*P108*12)))</f>
        <v>0</v>
      </c>
      <c r="S108" s="321"/>
      <c r="T108" s="83"/>
      <c r="U108" s="168"/>
      <c r="V108" s="286"/>
      <c r="W108" s="127"/>
    </row>
    <row r="109" spans="1:23" ht="15" customHeight="1">
      <c r="A109" s="391" t="s">
        <v>239</v>
      </c>
      <c r="B109" s="392">
        <f>B107-B108-B110</f>
        <v>0</v>
      </c>
      <c r="C109" s="393">
        <f>IF(B109=0,0,IFERROR((B109/Assumptions!$Y$35)-1,0))</f>
        <v>0</v>
      </c>
      <c r="D109" s="394">
        <f>Assumptions!$Y37</f>
        <v>250</v>
      </c>
      <c r="E109" s="59">
        <f>IF(OR(D$37&gt;0,D$39&gt;0,D$40&gt;0,D$43&gt;0),0,IF(B$58&gt;0,0,IF(C109&lt;0,0,C109*D109*12)))</f>
        <v>0</v>
      </c>
      <c r="G109" s="391" t="s">
        <v>239</v>
      </c>
      <c r="H109" s="392">
        <f>H107-H108-H110</f>
        <v>0</v>
      </c>
      <c r="I109" s="393">
        <f>IF(H109=0,0,IFERROR((H109/Assumptions!$Y$35)-1,0))</f>
        <v>0</v>
      </c>
      <c r="J109" s="394">
        <f>Assumptions!$Y37</f>
        <v>250</v>
      </c>
      <c r="K109" s="59">
        <f>IF(OR(J$37&gt;0,J$39&gt;0,J$40&gt;0,J$43&gt;0),0,IF(H$58&gt;0,0,IF(I109&lt;0,0,I109*J109*12)))</f>
        <v>0</v>
      </c>
      <c r="M109" s="391" t="s">
        <v>239</v>
      </c>
      <c r="N109" s="392">
        <f>N107-N108-N110</f>
        <v>0</v>
      </c>
      <c r="O109" s="393">
        <f>IF(N109=0,0,IFERROR((N109/Assumptions!$Y$35)-1,0))</f>
        <v>0</v>
      </c>
      <c r="P109" s="394">
        <f>Assumptions!$Y37</f>
        <v>250</v>
      </c>
      <c r="Q109" s="59">
        <f>IF(OR(P$37&gt;0,P$39&gt;0,P$40&gt;0,P$43&gt;0),0,IF(N$58&gt;0,0,IF(O109&lt;0,0,O109*P109*12)))</f>
        <v>0</v>
      </c>
      <c r="S109" s="203"/>
      <c r="T109" s="83"/>
      <c r="U109" s="168"/>
      <c r="V109" s="286"/>
      <c r="W109" s="127"/>
    </row>
    <row r="110" spans="1:23" ht="15" customHeight="1" thickBot="1">
      <c r="A110" s="395" t="s">
        <v>122</v>
      </c>
      <c r="B110" s="396">
        <v>0</v>
      </c>
      <c r="C110" s="397">
        <f>IF(B110=0,0,IFERROR((B110/Assumptions!$Y$35)-1,0))</f>
        <v>0</v>
      </c>
      <c r="D110" s="398">
        <f>Assumptions!$Y38</f>
        <v>50</v>
      </c>
      <c r="E110" s="39">
        <f>IF(OR(D$37&gt;0,D$39&gt;0,D$40&gt;0,D$43&gt;0),0,IF(B$58&gt;0,0,IF(C110&lt;0,0,C110*D110*12)))</f>
        <v>0</v>
      </c>
      <c r="G110" s="395" t="s">
        <v>122</v>
      </c>
      <c r="H110" s="396">
        <v>0</v>
      </c>
      <c r="I110" s="397">
        <f>IF(H110=0,0,IFERROR((H110/Assumptions!$Y$35)-1,0))</f>
        <v>0</v>
      </c>
      <c r="J110" s="398">
        <f>Assumptions!$Y38</f>
        <v>50</v>
      </c>
      <c r="K110" s="39">
        <f>IF(OR(J$37&gt;0,J$39&gt;0,J$40&gt;0,J$43&gt;0),0,IF(H$58&gt;0,0,IF(I110&lt;0,0,I110*J110*12)))</f>
        <v>0</v>
      </c>
      <c r="M110" s="395" t="s">
        <v>122</v>
      </c>
      <c r="N110" s="396">
        <v>0</v>
      </c>
      <c r="O110" s="397">
        <f>IF(N110=0,0,IFERROR((N110/Assumptions!$Y$35)-1,0))</f>
        <v>0</v>
      </c>
      <c r="P110" s="398">
        <f>Assumptions!$Y38</f>
        <v>50</v>
      </c>
      <c r="Q110" s="39">
        <f>IF(OR(P$37&gt;0,P$39&gt;0,P$40&gt;0,P$43&gt;0),0,IF(N$58&gt;0,0,IF(O110&lt;0,0,O110*P110*12)))</f>
        <v>0</v>
      </c>
      <c r="S110" s="203"/>
      <c r="T110" s="322"/>
      <c r="U110" s="168"/>
      <c r="V110" s="286"/>
      <c r="W110" s="127"/>
    </row>
    <row r="111" spans="1:23" ht="15" customHeight="1" thickBot="1">
      <c r="A111" s="203"/>
      <c r="B111" s="83"/>
      <c r="C111" s="204"/>
      <c r="D111" s="202"/>
      <c r="E111" s="127"/>
      <c r="G111" s="203"/>
      <c r="H111" s="83"/>
      <c r="I111" s="204"/>
      <c r="J111" s="202"/>
      <c r="K111" s="127"/>
      <c r="M111" s="203"/>
      <c r="N111" s="83"/>
      <c r="O111" s="204"/>
      <c r="P111" s="202"/>
      <c r="Q111" s="127"/>
      <c r="S111" s="203"/>
      <c r="T111" s="83"/>
      <c r="U111" s="301"/>
      <c r="V111" s="286"/>
      <c r="W111" s="127"/>
    </row>
    <row r="112" spans="1:23" ht="15" customHeight="1" thickBot="1">
      <c r="A112" s="1011" t="s">
        <v>444</v>
      </c>
      <c r="B112" s="80"/>
      <c r="C112" s="77" t="str">
        <f>B34</f>
        <v>Multifamily 2</v>
      </c>
      <c r="D112" s="77"/>
      <c r="E112" s="1012"/>
      <c r="F112" s="12"/>
      <c r="G112" s="1011" t="s">
        <v>444</v>
      </c>
      <c r="H112" s="80"/>
      <c r="I112" s="77">
        <f>H34</f>
        <v>0</v>
      </c>
      <c r="J112" s="77"/>
      <c r="K112" s="1012"/>
      <c r="L112" s="12"/>
      <c r="M112" s="1011" t="s">
        <v>444</v>
      </c>
      <c r="N112" s="80"/>
      <c r="O112" s="77">
        <f>N34</f>
        <v>0</v>
      </c>
      <c r="P112" s="77"/>
      <c r="Q112" s="1012"/>
      <c r="R112" s="12"/>
      <c r="S112" s="274"/>
      <c r="T112" s="274"/>
      <c r="U112" s="129"/>
      <c r="V112" s="129"/>
      <c r="W112" s="274"/>
    </row>
    <row r="113" spans="1:23" ht="13.5" thickBot="1">
      <c r="A113" s="1013" t="s">
        <v>445</v>
      </c>
      <c r="B113" s="78" t="s">
        <v>446</v>
      </c>
      <c r="C113" s="78" t="s">
        <v>447</v>
      </c>
      <c r="D113" s="78" t="s">
        <v>448</v>
      </c>
      <c r="E113" s="1014" t="s">
        <v>449</v>
      </c>
      <c r="F113" s="12"/>
      <c r="G113" s="1013" t="s">
        <v>445</v>
      </c>
      <c r="H113" s="78" t="s">
        <v>446</v>
      </c>
      <c r="I113" s="78" t="s">
        <v>447</v>
      </c>
      <c r="J113" s="78" t="s">
        <v>448</v>
      </c>
      <c r="K113" s="1014" t="s">
        <v>449</v>
      </c>
      <c r="L113" s="12"/>
      <c r="M113" s="1013" t="s">
        <v>445</v>
      </c>
      <c r="N113" s="78" t="s">
        <v>446</v>
      </c>
      <c r="O113" s="78" t="s">
        <v>447</v>
      </c>
      <c r="P113" s="78" t="s">
        <v>448</v>
      </c>
      <c r="Q113" s="1014" t="s">
        <v>449</v>
      </c>
      <c r="R113" s="12"/>
      <c r="S113" s="123"/>
      <c r="T113" s="124"/>
      <c r="U113" s="124"/>
      <c r="V113" s="124"/>
      <c r="W113" s="124"/>
    </row>
    <row r="114" spans="1:23" ht="12.6">
      <c r="A114" s="33" t="s">
        <v>450</v>
      </c>
      <c r="B114" s="34"/>
      <c r="C114" s="35"/>
      <c r="D114" s="82"/>
      <c r="E114" s="13">
        <f>SUM(E55,E72,E88)</f>
        <v>8287541.4000000004</v>
      </c>
      <c r="F114" s="12"/>
      <c r="G114" s="33" t="s">
        <v>450</v>
      </c>
      <c r="H114" s="34"/>
      <c r="I114" s="35"/>
      <c r="J114" s="82"/>
      <c r="K114" s="13">
        <f>SUM(K55,K72,K88)</f>
        <v>0</v>
      </c>
      <c r="L114" s="12"/>
      <c r="M114" s="33" t="s">
        <v>450</v>
      </c>
      <c r="N114" s="34"/>
      <c r="O114" s="35"/>
      <c r="P114" s="82"/>
      <c r="Q114" s="13">
        <f>SUM(Q55,Q72,Q88)</f>
        <v>0</v>
      </c>
      <c r="R114" s="12"/>
      <c r="S114" s="12"/>
      <c r="T114" s="286"/>
      <c r="U114" s="323"/>
      <c r="V114" s="324"/>
      <c r="W114" s="286"/>
    </row>
    <row r="115" spans="1:23" ht="12.6">
      <c r="A115" s="91" t="s">
        <v>451</v>
      </c>
      <c r="B115" s="34"/>
      <c r="C115" s="35"/>
      <c r="D115" s="399"/>
      <c r="E115" s="92">
        <f>SUM(E93,E97)</f>
        <v>0</v>
      </c>
      <c r="F115" s="12"/>
      <c r="G115" s="91" t="s">
        <v>451</v>
      </c>
      <c r="H115" s="34"/>
      <c r="I115" s="35"/>
      <c r="J115" s="399"/>
      <c r="K115" s="92">
        <f>SUM(K93,K97)</f>
        <v>0</v>
      </c>
      <c r="L115" s="12"/>
      <c r="M115" s="91" t="s">
        <v>451</v>
      </c>
      <c r="N115" s="34"/>
      <c r="O115" s="35"/>
      <c r="P115" s="399"/>
      <c r="Q115" s="92">
        <f>SUM(Q93,Q97)</f>
        <v>0</v>
      </c>
      <c r="R115" s="12"/>
      <c r="S115" s="12"/>
      <c r="T115" s="286"/>
      <c r="U115" s="323"/>
      <c r="V115" s="324"/>
      <c r="W115" s="286"/>
    </row>
    <row r="116" spans="1:23" ht="12.6">
      <c r="A116" s="400" t="s">
        <v>452</v>
      </c>
      <c r="B116" s="1077"/>
      <c r="C116" s="1078"/>
      <c r="D116" s="401"/>
      <c r="E116" s="1015">
        <f>E105</f>
        <v>0</v>
      </c>
      <c r="F116" s="12"/>
      <c r="G116" s="400" t="s">
        <v>452</v>
      </c>
      <c r="H116" s="1077"/>
      <c r="I116" s="1078"/>
      <c r="J116" s="401"/>
      <c r="K116" s="1015">
        <f>K105</f>
        <v>0</v>
      </c>
      <c r="L116" s="12"/>
      <c r="M116" s="400" t="s">
        <v>452</v>
      </c>
      <c r="N116" s="1077"/>
      <c r="O116" s="1078"/>
      <c r="P116" s="401"/>
      <c r="Q116" s="1015">
        <f>Q105</f>
        <v>0</v>
      </c>
      <c r="R116" s="12"/>
      <c r="S116" s="325"/>
      <c r="T116" s="1079"/>
      <c r="U116" s="1079"/>
      <c r="V116" s="326"/>
      <c r="W116" s="286"/>
    </row>
    <row r="117" spans="1:23" ht="12.95">
      <c r="A117" s="402" t="s">
        <v>453</v>
      </c>
      <c r="B117" s="89"/>
      <c r="C117" s="89"/>
      <c r="D117" s="86"/>
      <c r="E117" s="403">
        <f>SUM(E114:E116)</f>
        <v>8287541.4000000004</v>
      </c>
      <c r="F117" s="12"/>
      <c r="G117" s="402" t="s">
        <v>453</v>
      </c>
      <c r="H117" s="89"/>
      <c r="I117" s="89"/>
      <c r="J117" s="86"/>
      <c r="K117" s="403">
        <f>SUM(K114:K116)</f>
        <v>0</v>
      </c>
      <c r="L117" s="12"/>
      <c r="M117" s="402" t="s">
        <v>453</v>
      </c>
      <c r="N117" s="89"/>
      <c r="O117" s="89"/>
      <c r="P117" s="86"/>
      <c r="Q117" s="403">
        <f>SUM(Q114:Q116)</f>
        <v>0</v>
      </c>
      <c r="R117" s="12"/>
      <c r="S117" s="277"/>
      <c r="T117" s="302"/>
      <c r="U117" s="302"/>
      <c r="V117" s="167"/>
      <c r="W117" s="167"/>
    </row>
    <row r="118" spans="1:23" ht="12.95">
      <c r="A118" s="1071"/>
      <c r="B118" s="1072"/>
      <c r="C118" s="1072"/>
      <c r="D118" s="1072"/>
      <c r="E118" s="1073"/>
      <c r="F118" s="12"/>
      <c r="G118" s="1071"/>
      <c r="H118" s="1072"/>
      <c r="I118" s="1072"/>
      <c r="J118" s="1072"/>
      <c r="K118" s="1073"/>
      <c r="L118" s="12"/>
      <c r="M118" s="1071"/>
      <c r="N118" s="1072"/>
      <c r="O118" s="1072"/>
      <c r="P118" s="1072"/>
      <c r="Q118" s="1073"/>
      <c r="R118" s="12"/>
      <c r="S118" s="1074"/>
      <c r="T118" s="1074"/>
      <c r="U118" s="1074"/>
      <c r="V118" s="1074"/>
      <c r="W118" s="1074"/>
    </row>
    <row r="119" spans="1:23" ht="12.95">
      <c r="A119" s="95" t="s">
        <v>454</v>
      </c>
      <c r="B119" s="85"/>
      <c r="C119" s="85"/>
      <c r="D119" s="85"/>
      <c r="E119" s="96"/>
      <c r="F119" s="12"/>
      <c r="G119" s="95" t="s">
        <v>454</v>
      </c>
      <c r="H119" s="85"/>
      <c r="I119" s="85"/>
      <c r="J119" s="85"/>
      <c r="K119" s="96"/>
      <c r="L119" s="12"/>
      <c r="M119" s="95" t="s">
        <v>454</v>
      </c>
      <c r="N119" s="85"/>
      <c r="O119" s="85"/>
      <c r="P119" s="85"/>
      <c r="Q119" s="96"/>
      <c r="R119" s="12"/>
      <c r="S119" s="277"/>
      <c r="T119" s="167"/>
      <c r="U119" s="167"/>
      <c r="V119" s="167"/>
      <c r="W119" s="167"/>
    </row>
    <row r="120" spans="1:23" ht="12.6">
      <c r="A120" s="404" t="s">
        <v>455</v>
      </c>
      <c r="B120" s="394"/>
      <c r="C120" s="401"/>
      <c r="D120" s="401"/>
      <c r="E120" s="405">
        <f>E108</f>
        <v>736250.39999999991</v>
      </c>
      <c r="F120" s="12"/>
      <c r="G120" s="404" t="s">
        <v>455</v>
      </c>
      <c r="H120" s="394"/>
      <c r="I120" s="401"/>
      <c r="J120" s="401"/>
      <c r="K120" s="405">
        <f>K108</f>
        <v>0</v>
      </c>
      <c r="L120" s="12"/>
      <c r="M120" s="404" t="s">
        <v>455</v>
      </c>
      <c r="N120" s="394"/>
      <c r="O120" s="401"/>
      <c r="P120" s="401"/>
      <c r="Q120" s="405">
        <f>Q108</f>
        <v>0</v>
      </c>
      <c r="R120" s="12"/>
      <c r="S120" s="327"/>
      <c r="T120" s="286"/>
      <c r="U120" s="326"/>
      <c r="V120" s="326"/>
      <c r="W120" s="286"/>
    </row>
    <row r="121" spans="1:23" ht="12.6">
      <c r="A121" s="404" t="s">
        <v>456</v>
      </c>
      <c r="B121" s="394"/>
      <c r="C121" s="401"/>
      <c r="D121" s="401"/>
      <c r="E121" s="405">
        <f>E109</f>
        <v>0</v>
      </c>
      <c r="F121" s="12"/>
      <c r="G121" s="404" t="s">
        <v>456</v>
      </c>
      <c r="H121" s="394"/>
      <c r="I121" s="401"/>
      <c r="J121" s="401"/>
      <c r="K121" s="405">
        <f>K109</f>
        <v>0</v>
      </c>
      <c r="L121" s="12"/>
      <c r="M121" s="404" t="s">
        <v>456</v>
      </c>
      <c r="N121" s="394"/>
      <c r="O121" s="401"/>
      <c r="P121" s="401"/>
      <c r="Q121" s="405">
        <f>Q109</f>
        <v>0</v>
      </c>
      <c r="R121" s="12"/>
      <c r="S121" s="327"/>
      <c r="T121" s="286"/>
      <c r="U121" s="326"/>
      <c r="V121" s="326"/>
      <c r="W121" s="286"/>
    </row>
    <row r="122" spans="1:23" ht="12.6">
      <c r="A122" s="404" t="s">
        <v>457</v>
      </c>
      <c r="B122" s="394"/>
      <c r="C122" s="401"/>
      <c r="D122" s="401"/>
      <c r="E122" s="405">
        <f>E110</f>
        <v>0</v>
      </c>
      <c r="F122" s="12"/>
      <c r="G122" s="404" t="s">
        <v>457</v>
      </c>
      <c r="H122" s="394"/>
      <c r="I122" s="401"/>
      <c r="J122" s="401"/>
      <c r="K122" s="405">
        <f>K110</f>
        <v>0</v>
      </c>
      <c r="L122" s="12"/>
      <c r="M122" s="404" t="s">
        <v>457</v>
      </c>
      <c r="N122" s="394"/>
      <c r="O122" s="401"/>
      <c r="P122" s="401"/>
      <c r="Q122" s="405">
        <f>Q110</f>
        <v>0</v>
      </c>
      <c r="R122" s="12"/>
      <c r="S122" s="327"/>
      <c r="T122" s="286"/>
      <c r="U122" s="326"/>
      <c r="V122" s="326"/>
      <c r="W122" s="286"/>
    </row>
    <row r="123" spans="1:23" ht="12.6">
      <c r="A123" s="404" t="s">
        <v>458</v>
      </c>
      <c r="B123" s="401"/>
      <c r="C123" s="401"/>
      <c r="D123" s="401"/>
      <c r="E123" s="405">
        <f>Assumptions!$L$44*E117</f>
        <v>248626.242</v>
      </c>
      <c r="F123" s="12"/>
      <c r="G123" s="404" t="s">
        <v>458</v>
      </c>
      <c r="H123" s="401"/>
      <c r="I123" s="401"/>
      <c r="J123" s="401"/>
      <c r="K123" s="405">
        <f>Assumptions!$L$44*K117</f>
        <v>0</v>
      </c>
      <c r="L123" s="12"/>
      <c r="M123" s="404" t="s">
        <v>458</v>
      </c>
      <c r="N123" s="401"/>
      <c r="O123" s="401"/>
      <c r="P123" s="401"/>
      <c r="Q123" s="405">
        <f>Assumptions!$L$44*Q117</f>
        <v>0</v>
      </c>
      <c r="R123" s="12"/>
      <c r="S123" s="327"/>
      <c r="T123" s="326"/>
      <c r="U123" s="326"/>
      <c r="V123" s="326"/>
      <c r="W123" s="286"/>
    </row>
    <row r="124" spans="1:23" ht="13.5" thickBot="1">
      <c r="A124" s="84" t="s">
        <v>459</v>
      </c>
      <c r="B124" s="72"/>
      <c r="C124" s="87"/>
      <c r="D124" s="406"/>
      <c r="E124" s="73">
        <f>SUM(E120:E123)</f>
        <v>984876.64199999988</v>
      </c>
      <c r="F124" s="12"/>
      <c r="G124" s="84" t="s">
        <v>459</v>
      </c>
      <c r="H124" s="72"/>
      <c r="I124" s="87"/>
      <c r="J124" s="406"/>
      <c r="K124" s="73">
        <f>SUM(K120:K123)</f>
        <v>0</v>
      </c>
      <c r="L124" s="12"/>
      <c r="M124" s="84" t="s">
        <v>459</v>
      </c>
      <c r="N124" s="72"/>
      <c r="O124" s="87"/>
      <c r="P124" s="406"/>
      <c r="Q124" s="73">
        <f>SUM(Q120:Q123)</f>
        <v>0</v>
      </c>
      <c r="R124" s="12"/>
      <c r="S124" s="328"/>
      <c r="T124" s="167"/>
      <c r="U124" s="167"/>
      <c r="V124" s="167"/>
      <c r="W124" s="167"/>
    </row>
    <row r="125" spans="1:23" ht="14.1" thickTop="1" thickBot="1">
      <c r="A125" s="27">
        <v>0.05</v>
      </c>
      <c r="B125" s="74"/>
      <c r="C125" s="88"/>
      <c r="D125" s="94"/>
      <c r="E125" s="79">
        <f>-A125*E117</f>
        <v>-414377.07000000007</v>
      </c>
      <c r="F125" s="12"/>
      <c r="G125" s="27">
        <v>0.05</v>
      </c>
      <c r="H125" s="74"/>
      <c r="I125" s="88"/>
      <c r="J125" s="94"/>
      <c r="K125" s="79">
        <f>-G125*K117</f>
        <v>0</v>
      </c>
      <c r="L125" s="12"/>
      <c r="M125" s="27">
        <v>0.05</v>
      </c>
      <c r="N125" s="74"/>
      <c r="O125" s="88"/>
      <c r="P125" s="94"/>
      <c r="Q125" s="79">
        <f>-M125*Q117</f>
        <v>0</v>
      </c>
      <c r="R125" s="12"/>
      <c r="S125" s="329"/>
      <c r="T125" s="286"/>
      <c r="U125" s="286"/>
      <c r="V125" s="286"/>
      <c r="W125" s="286"/>
    </row>
    <row r="126" spans="1:23" ht="14.1" thickTop="1" thickBot="1">
      <c r="A126" s="1016" t="s">
        <v>460</v>
      </c>
      <c r="B126" s="14"/>
      <c r="C126" s="1017"/>
      <c r="D126" s="93"/>
      <c r="E126" s="1018">
        <f>E117+E124+E125</f>
        <v>8858040.9719999991</v>
      </c>
      <c r="F126" s="12"/>
      <c r="G126" s="1016" t="s">
        <v>460</v>
      </c>
      <c r="H126" s="14"/>
      <c r="I126" s="1017"/>
      <c r="J126" s="93"/>
      <c r="K126" s="1018">
        <f>K117+K124+K125</f>
        <v>0</v>
      </c>
      <c r="L126" s="12"/>
      <c r="M126" s="1016" t="s">
        <v>460</v>
      </c>
      <c r="N126" s="14"/>
      <c r="O126" s="1017"/>
      <c r="P126" s="93"/>
      <c r="Q126" s="1018">
        <f>Q117+Q124+Q125</f>
        <v>0</v>
      </c>
      <c r="R126" s="12"/>
      <c r="S126" s="330"/>
      <c r="T126" s="167"/>
      <c r="U126" s="331"/>
      <c r="V126" s="331"/>
      <c r="W126" s="167"/>
    </row>
    <row r="127" spans="1:23" ht="13.5" thickBot="1">
      <c r="A127" s="6" t="s">
        <v>461</v>
      </c>
      <c r="B127" s="78" t="s">
        <v>462</v>
      </c>
      <c r="C127" s="78"/>
      <c r="D127" s="78"/>
      <c r="E127" s="15" t="s">
        <v>463</v>
      </c>
      <c r="F127" s="12"/>
      <c r="G127" s="6" t="s">
        <v>461</v>
      </c>
      <c r="H127" s="78" t="s">
        <v>462</v>
      </c>
      <c r="I127" s="78"/>
      <c r="J127" s="78"/>
      <c r="K127" s="15" t="s">
        <v>463</v>
      </c>
      <c r="L127" s="12"/>
      <c r="M127" s="6" t="s">
        <v>461</v>
      </c>
      <c r="N127" s="78" t="s">
        <v>462</v>
      </c>
      <c r="O127" s="78"/>
      <c r="P127" s="78"/>
      <c r="Q127" s="15" t="s">
        <v>463</v>
      </c>
      <c r="R127" s="12"/>
      <c r="S127" s="123"/>
      <c r="T127" s="124"/>
      <c r="U127" s="124"/>
      <c r="V127" s="124"/>
      <c r="W127" s="124"/>
    </row>
    <row r="128" spans="1:23" ht="13.5" thickBot="1">
      <c r="A128" s="97" t="s">
        <v>464</v>
      </c>
      <c r="B128" s="90"/>
      <c r="C128" s="16"/>
      <c r="D128" s="16"/>
      <c r="E128" s="98">
        <f>-0.3*E117</f>
        <v>-2486262.42</v>
      </c>
      <c r="F128" s="12"/>
      <c r="G128" s="97" t="s">
        <v>464</v>
      </c>
      <c r="H128" s="90"/>
      <c r="I128" s="16"/>
      <c r="J128" s="16"/>
      <c r="K128" s="98">
        <f>-0.3*K117</f>
        <v>0</v>
      </c>
      <c r="L128" s="12"/>
      <c r="M128" s="97" t="s">
        <v>464</v>
      </c>
      <c r="N128" s="90"/>
      <c r="O128" s="16"/>
      <c r="P128" s="16"/>
      <c r="Q128" s="98">
        <f>-0.3*Q117</f>
        <v>0</v>
      </c>
      <c r="R128" s="12"/>
      <c r="S128" s="289"/>
      <c r="T128" s="332"/>
      <c r="U128" s="333"/>
      <c r="V128" s="333"/>
      <c r="W128" s="333"/>
    </row>
    <row r="129" spans="1:25" ht="13.5" thickBot="1">
      <c r="A129" s="1019" t="s">
        <v>465</v>
      </c>
      <c r="B129" s="81"/>
      <c r="C129" s="81"/>
      <c r="D129" s="81"/>
      <c r="E129" s="1020">
        <f>E126+E128</f>
        <v>6371778.5519999992</v>
      </c>
      <c r="F129" s="12"/>
      <c r="G129" s="1019" t="s">
        <v>465</v>
      </c>
      <c r="H129" s="81"/>
      <c r="I129" s="81"/>
      <c r="J129" s="81"/>
      <c r="K129" s="1020">
        <f>K126+K128</f>
        <v>0</v>
      </c>
      <c r="L129" s="12"/>
      <c r="M129" s="1019" t="s">
        <v>465</v>
      </c>
      <c r="N129" s="81"/>
      <c r="O129" s="81"/>
      <c r="P129" s="81"/>
      <c r="Q129" s="1020">
        <f>Q126+Q128</f>
        <v>0</v>
      </c>
      <c r="R129" s="12"/>
      <c r="S129" s="118"/>
      <c r="T129" s="334"/>
      <c r="U129" s="334"/>
      <c r="V129" s="334"/>
      <c r="W129" s="335"/>
    </row>
    <row r="130" spans="1:25" ht="12.6">
      <c r="F130" s="12"/>
      <c r="L130" s="12"/>
      <c r="R130" s="12"/>
    </row>
    <row r="131" spans="1:25" ht="12.95">
      <c r="A131" s="734" t="s">
        <v>383</v>
      </c>
      <c r="B131" s="734"/>
      <c r="C131" s="734"/>
      <c r="F131" s="12"/>
      <c r="G131" s="734" t="s">
        <v>383</v>
      </c>
      <c r="H131" s="734"/>
      <c r="I131" s="734"/>
      <c r="L131" s="12"/>
      <c r="M131" s="734" t="s">
        <v>383</v>
      </c>
      <c r="N131" s="734"/>
      <c r="O131" s="734"/>
      <c r="R131" s="12"/>
      <c r="S131" s="274"/>
      <c r="T131" s="274"/>
      <c r="U131" s="274"/>
    </row>
    <row r="132" spans="1:25" ht="12.95">
      <c r="A132" s="735"/>
      <c r="B132" s="736" t="s">
        <v>466</v>
      </c>
      <c r="C132" s="736" t="s">
        <v>467</v>
      </c>
      <c r="F132" s="83"/>
      <c r="G132" s="735"/>
      <c r="H132" s="736" t="s">
        <v>466</v>
      </c>
      <c r="I132" s="736" t="s">
        <v>467</v>
      </c>
      <c r="L132" s="83"/>
      <c r="M132" s="735"/>
      <c r="N132" s="736" t="s">
        <v>466</v>
      </c>
      <c r="O132" s="736" t="s">
        <v>467</v>
      </c>
      <c r="R132" s="83"/>
      <c r="S132" s="274"/>
      <c r="T132" s="282"/>
      <c r="U132" s="282"/>
    </row>
    <row r="133" spans="1:25" ht="12.75" customHeight="1">
      <c r="A133" s="737" t="s">
        <v>387</v>
      </c>
      <c r="B133" s="738">
        <f>IFERROR(INDEX(Assumptions!$D$4:$E$16,MATCH('4-I Financial'!B$34,Assumptions!$D$4:$D$16,0),2),0)</f>
        <v>190</v>
      </c>
      <c r="C133" s="739">
        <f>B133*D34</f>
        <v>84774466.000000015</v>
      </c>
      <c r="F133" s="12"/>
      <c r="G133" s="737" t="s">
        <v>387</v>
      </c>
      <c r="H133" s="738">
        <f>IFERROR(INDEX(Assumptions!$D$4:$E$16,MATCH('4-I Financial'!H$34,Assumptions!$D$4:$D$16,0),2),0)</f>
        <v>0</v>
      </c>
      <c r="I133" s="739">
        <f>H133*J34</f>
        <v>0</v>
      </c>
      <c r="L133" s="12"/>
      <c r="M133" s="737" t="s">
        <v>387</v>
      </c>
      <c r="N133" s="738">
        <f>IFERROR(INDEX(Assumptions!$D$4:$E$16,MATCH('4-I Financial'!N$34,Assumptions!$D$4:$D$16,0),2),0)</f>
        <v>0</v>
      </c>
      <c r="O133" s="739">
        <f>N133*P34</f>
        <v>0</v>
      </c>
      <c r="R133" s="12"/>
      <c r="S133" s="177"/>
      <c r="T133" s="336"/>
      <c r="U133" s="286"/>
    </row>
    <row r="134" spans="1:25" ht="12.75" customHeight="1">
      <c r="A134" s="737" t="s">
        <v>77</v>
      </c>
      <c r="B134" s="562">
        <f>Assumptions!$E$19</f>
        <v>0.05</v>
      </c>
      <c r="C134" s="740">
        <f>B134*C133</f>
        <v>4238723.3000000007</v>
      </c>
      <c r="F134" s="12"/>
      <c r="G134" s="737" t="s">
        <v>77</v>
      </c>
      <c r="H134" s="562">
        <f>Assumptions!$E$19</f>
        <v>0.05</v>
      </c>
      <c r="I134" s="740">
        <f>H134*I133</f>
        <v>0</v>
      </c>
      <c r="L134" s="12"/>
      <c r="M134" s="737" t="s">
        <v>77</v>
      </c>
      <c r="N134" s="562">
        <f>Assumptions!$E$19</f>
        <v>0.05</v>
      </c>
      <c r="O134" s="740">
        <f>N134*O133</f>
        <v>0</v>
      </c>
      <c r="R134" s="12"/>
      <c r="S134" s="177"/>
      <c r="T134" s="337"/>
      <c r="U134" s="290"/>
      <c r="Y134" s="12"/>
    </row>
    <row r="135" spans="1:25" ht="12.75" customHeight="1">
      <c r="A135" s="737" t="s">
        <v>389</v>
      </c>
      <c r="B135" s="407" t="s">
        <v>101</v>
      </c>
      <c r="C135" s="741">
        <v>0</v>
      </c>
      <c r="F135" s="12"/>
      <c r="G135" s="737" t="s">
        <v>389</v>
      </c>
      <c r="H135" s="407" t="s">
        <v>101</v>
      </c>
      <c r="I135" s="741">
        <v>0</v>
      </c>
      <c r="L135" s="12"/>
      <c r="M135" s="737" t="s">
        <v>389</v>
      </c>
      <c r="N135" s="407" t="s">
        <v>101</v>
      </c>
      <c r="O135" s="741">
        <v>0</v>
      </c>
      <c r="R135" s="12"/>
      <c r="S135" s="177"/>
      <c r="T135" s="338"/>
      <c r="U135" s="339"/>
      <c r="Y135" s="12"/>
    </row>
    <row r="136" spans="1:25" ht="12.75" customHeight="1">
      <c r="A136" s="737" t="s">
        <v>391</v>
      </c>
      <c r="B136" s="748" t="s">
        <v>468</v>
      </c>
      <c r="C136" s="739">
        <f>IF(C133=0,0,INDEX('Development Program'!$C$58:$L$62,5,MATCH($D$2,'Development Program'!$C$58:$L$58,0))/INDEX('Development Program'!$L$9:$M$18,MATCH($D$2,'Development Program'!$L$9:$L$18,0),2))</f>
        <v>1617818.4</v>
      </c>
      <c r="F136" s="12"/>
      <c r="G136" s="737" t="s">
        <v>391</v>
      </c>
      <c r="H136" s="748" t="s">
        <v>468</v>
      </c>
      <c r="I136" s="739">
        <f>IF(I133=0,0,INDEX('Development Program'!$C$58:$L$62,5,MATCH($D$2,'Development Program'!$C$58:$L$58,0))/INDEX('Development Program'!$L$9:$M$18,MATCH($D$2,'Development Program'!$L$9:$L$18,0),2))</f>
        <v>0</v>
      </c>
      <c r="L136" s="12"/>
      <c r="M136" s="737" t="s">
        <v>391</v>
      </c>
      <c r="N136" s="748" t="s">
        <v>468</v>
      </c>
      <c r="O136" s="739">
        <f>IF(O133=0,0,INDEX('Development Program'!$C$58:$L$62,5,MATCH($D$2,'Development Program'!$C$58:$L$58,0))/INDEX('Development Program'!$L$9:$M$18,MATCH($D$2,'Development Program'!$L$9:$L$18,0),2))</f>
        <v>0</v>
      </c>
      <c r="R136" s="12"/>
      <c r="S136" s="177"/>
      <c r="T136" s="340"/>
      <c r="U136" s="179"/>
    </row>
    <row r="137" spans="1:25" ht="12.75" customHeight="1">
      <c r="A137" s="426" t="s">
        <v>16</v>
      </c>
      <c r="B137" s="748" t="s">
        <v>468</v>
      </c>
      <c r="C137" s="739">
        <f>IF(C133=0,0,INDEX('Development Program'!$D$40:$M$55,16,MATCH($D$2,'Development Program'!$D$40:$M$40,0))/INDEX('Development Program'!$L$9:$M$18,MATCH($D$2,'Development Program'!$L$9:$L$18,0),2))</f>
        <v>4146666.666666667</v>
      </c>
      <c r="F137" s="12"/>
      <c r="G137" s="426" t="s">
        <v>16</v>
      </c>
      <c r="H137" s="748" t="s">
        <v>468</v>
      </c>
      <c r="I137" s="739">
        <f>IF(I133=0,0,INDEX('Development Program'!$D$40:$M$55,16,MATCH($D$2,'Development Program'!$D$40:$M$40,0))/INDEX('Development Program'!$L$9:$M$18,MATCH($D$2,'Development Program'!$L$9:$L$18,0),2))</f>
        <v>0</v>
      </c>
      <c r="L137" s="12"/>
      <c r="M137" s="426" t="s">
        <v>16</v>
      </c>
      <c r="N137" s="748" t="s">
        <v>468</v>
      </c>
      <c r="O137" s="739">
        <f>IF(O133=0,0,INDEX('Development Program'!$D$40:$M$55,16,MATCH($D$2,'Development Program'!$D$40:$M$40,0))/INDEX('Development Program'!$L$9:$M$18,MATCH($D$2,'Development Program'!$L$9:$L$18,0),2))</f>
        <v>0</v>
      </c>
      <c r="R137" s="12"/>
    </row>
    <row r="138" spans="1:25" ht="12.75" customHeight="1">
      <c r="A138" s="737" t="s">
        <v>79</v>
      </c>
      <c r="B138" s="409">
        <f>Assumptions!$E$20</f>
        <v>0.02</v>
      </c>
      <c r="C138" s="739">
        <f>B138*(C$133)</f>
        <v>1695489.3200000003</v>
      </c>
      <c r="F138" s="12"/>
      <c r="G138" s="737" t="s">
        <v>79</v>
      </c>
      <c r="H138" s="409">
        <f>Assumptions!$E$20</f>
        <v>0.02</v>
      </c>
      <c r="I138" s="739">
        <f>H138*(I$133)</f>
        <v>0</v>
      </c>
      <c r="L138" s="12"/>
      <c r="M138" s="737" t="s">
        <v>79</v>
      </c>
      <c r="N138" s="409">
        <f>Assumptions!$E$20</f>
        <v>0.02</v>
      </c>
      <c r="O138" s="739">
        <f>N138*(O$133)</f>
        <v>0</v>
      </c>
      <c r="R138" s="12"/>
      <c r="S138" s="177"/>
      <c r="T138" s="341"/>
      <c r="U138" s="286"/>
    </row>
    <row r="139" spans="1:25" ht="12.75" customHeight="1">
      <c r="A139" s="730" t="s">
        <v>83</v>
      </c>
      <c r="B139" s="409">
        <f>Assumptions!$E$22</f>
        <v>1.4999999999999999E-2</v>
      </c>
      <c r="C139" s="739">
        <f>B139*(C$133)</f>
        <v>1271616.9900000002</v>
      </c>
      <c r="F139" s="12"/>
      <c r="G139" s="730" t="s">
        <v>83</v>
      </c>
      <c r="H139" s="409">
        <f>Assumptions!$E$22</f>
        <v>1.4999999999999999E-2</v>
      </c>
      <c r="I139" s="739">
        <f>H139*(I$133)</f>
        <v>0</v>
      </c>
      <c r="L139" s="12"/>
      <c r="M139" s="730" t="s">
        <v>83</v>
      </c>
      <c r="N139" s="409">
        <f>Assumptions!$E$22</f>
        <v>1.4999999999999999E-2</v>
      </c>
      <c r="O139" s="739">
        <f>N139*(O$133)</f>
        <v>0</v>
      </c>
      <c r="R139" s="12"/>
      <c r="S139" s="12"/>
      <c r="T139" s="341"/>
      <c r="U139" s="286"/>
    </row>
    <row r="140" spans="1:25" ht="12.75" customHeight="1">
      <c r="A140" s="730" t="s">
        <v>84</v>
      </c>
      <c r="B140" s="564">
        <f>Assumptions!$E$23</f>
        <v>2.5000000000000001E-2</v>
      </c>
      <c r="C140" s="739">
        <f>IF(D34=0,0,B140*$B$10)</f>
        <v>40445.46</v>
      </c>
      <c r="F140" s="12"/>
      <c r="G140" s="730" t="s">
        <v>84</v>
      </c>
      <c r="H140" s="564">
        <f>Assumptions!$E$23</f>
        <v>2.5000000000000001E-2</v>
      </c>
      <c r="I140" s="739">
        <f>IF(J34=0,0,H140*$B$10)</f>
        <v>0</v>
      </c>
      <c r="L140" s="12"/>
      <c r="M140" s="730" t="s">
        <v>84</v>
      </c>
      <c r="N140" s="564">
        <f>Assumptions!$E$23</f>
        <v>2.5000000000000001E-2</v>
      </c>
      <c r="O140" s="739">
        <f>IF(P34=0,0,N140*$B$10)</f>
        <v>0</v>
      </c>
      <c r="R140" s="12"/>
      <c r="S140" s="12"/>
      <c r="T140" s="26"/>
      <c r="U140" s="339"/>
    </row>
    <row r="141" spans="1:25" ht="12.75" customHeight="1">
      <c r="A141" s="730" t="s">
        <v>85</v>
      </c>
      <c r="B141" s="409">
        <f>Assumptions!$E$24</f>
        <v>0.02</v>
      </c>
      <c r="C141" s="739">
        <f>B141*(C133)</f>
        <v>1695489.3200000003</v>
      </c>
      <c r="F141" s="12"/>
      <c r="G141" s="730" t="s">
        <v>85</v>
      </c>
      <c r="H141" s="409">
        <f>Assumptions!$E$24</f>
        <v>0.02</v>
      </c>
      <c r="I141" s="739">
        <f>H141*(I133)</f>
        <v>0</v>
      </c>
      <c r="L141" s="12"/>
      <c r="M141" s="730" t="s">
        <v>85</v>
      </c>
      <c r="N141" s="409">
        <f>Assumptions!$E$24</f>
        <v>0.02</v>
      </c>
      <c r="O141" s="739">
        <f>N141*(O133)</f>
        <v>0</v>
      </c>
      <c r="R141" s="12"/>
      <c r="S141" s="12"/>
      <c r="T141" s="341"/>
      <c r="U141" s="286"/>
    </row>
    <row r="142" spans="1:25" ht="12.75" customHeight="1">
      <c r="A142" s="730" t="s">
        <v>86</v>
      </c>
      <c r="B142" s="409">
        <f>Assumptions!$E$25</f>
        <v>3.5000000000000003E-2</v>
      </c>
      <c r="C142" s="739">
        <f>B142*(C133)</f>
        <v>2967106.310000001</v>
      </c>
      <c r="F142" s="12"/>
      <c r="G142" s="730" t="s">
        <v>86</v>
      </c>
      <c r="H142" s="409">
        <f>Assumptions!$E$25</f>
        <v>3.5000000000000003E-2</v>
      </c>
      <c r="I142" s="739">
        <f>H142*(I133)</f>
        <v>0</v>
      </c>
      <c r="L142" s="12"/>
      <c r="M142" s="730" t="s">
        <v>86</v>
      </c>
      <c r="N142" s="409">
        <f>Assumptions!$E$25</f>
        <v>3.5000000000000003E-2</v>
      </c>
      <c r="O142" s="739">
        <f>N142*(O133)</f>
        <v>0</v>
      </c>
      <c r="R142" s="12"/>
      <c r="S142" s="12"/>
      <c r="T142" s="341"/>
      <c r="U142" s="286"/>
    </row>
    <row r="143" spans="1:25" ht="12.75" customHeight="1">
      <c r="A143" s="730" t="s">
        <v>88</v>
      </c>
      <c r="B143" s="409">
        <f>Assumptions!$E$26</f>
        <v>0.02</v>
      </c>
      <c r="C143" s="739">
        <f>B143*(C133)</f>
        <v>1695489.3200000003</v>
      </c>
      <c r="D143" s="276"/>
      <c r="E143" s="275"/>
      <c r="F143" s="12"/>
      <c r="G143" s="730" t="s">
        <v>88</v>
      </c>
      <c r="H143" s="409">
        <f>Assumptions!$E$26</f>
        <v>0.02</v>
      </c>
      <c r="I143" s="739">
        <f>H143*(I133)</f>
        <v>0</v>
      </c>
      <c r="J143" s="276"/>
      <c r="K143" s="275"/>
      <c r="L143" s="12"/>
      <c r="M143" s="730" t="s">
        <v>88</v>
      </c>
      <c r="N143" s="409">
        <f>Assumptions!$E$26</f>
        <v>0.02</v>
      </c>
      <c r="O143" s="739">
        <f>N143*(O133)</f>
        <v>0</v>
      </c>
      <c r="P143" s="276"/>
      <c r="Q143" s="275"/>
      <c r="R143" s="12"/>
      <c r="S143" s="12"/>
      <c r="T143" s="341"/>
      <c r="U143" s="286"/>
      <c r="V143" s="276"/>
      <c r="W143" s="275"/>
    </row>
    <row r="144" spans="1:25" ht="12.75" customHeight="1">
      <c r="A144" s="730" t="s">
        <v>93</v>
      </c>
      <c r="B144" s="409">
        <f>Assumptions!$E$27</f>
        <v>0.05</v>
      </c>
      <c r="C144" s="739">
        <f>B144*C133</f>
        <v>4238723.3000000007</v>
      </c>
      <c r="D144" s="276"/>
      <c r="E144" s="275"/>
      <c r="F144" s="12"/>
      <c r="G144" s="730" t="s">
        <v>93</v>
      </c>
      <c r="H144" s="409">
        <f>Assumptions!$E$27</f>
        <v>0.05</v>
      </c>
      <c r="I144" s="739">
        <f>H144*I133</f>
        <v>0</v>
      </c>
      <c r="J144" s="276"/>
      <c r="K144" s="275"/>
      <c r="L144" s="12"/>
      <c r="M144" s="730" t="s">
        <v>93</v>
      </c>
      <c r="N144" s="409">
        <f>Assumptions!$E$27</f>
        <v>0.05</v>
      </c>
      <c r="O144" s="739">
        <f>N144*O133</f>
        <v>0</v>
      </c>
      <c r="P144" s="276"/>
      <c r="Q144" s="275"/>
      <c r="R144" s="12"/>
      <c r="S144" s="12"/>
      <c r="T144" s="342"/>
      <c r="U144" s="286"/>
      <c r="V144" s="276"/>
      <c r="W144" s="275"/>
    </row>
    <row r="145" spans="1:23" ht="12.75" customHeight="1">
      <c r="A145" s="730" t="s">
        <v>97</v>
      </c>
      <c r="B145" s="409">
        <f>Assumptions!$E$28</f>
        <v>1.4999999999999999E-2</v>
      </c>
      <c r="C145" s="739">
        <f>B145*C133</f>
        <v>1271616.9900000002</v>
      </c>
      <c r="D145" s="276"/>
      <c r="E145" s="275"/>
      <c r="F145" s="12"/>
      <c r="G145" s="730" t="s">
        <v>97</v>
      </c>
      <c r="H145" s="409">
        <f>Assumptions!$E$28</f>
        <v>1.4999999999999999E-2</v>
      </c>
      <c r="I145" s="739">
        <f>H145*I133</f>
        <v>0</v>
      </c>
      <c r="J145" s="276"/>
      <c r="K145" s="275"/>
      <c r="L145" s="12"/>
      <c r="M145" s="730" t="s">
        <v>97</v>
      </c>
      <c r="N145" s="409">
        <f>Assumptions!$E$28</f>
        <v>1.4999999999999999E-2</v>
      </c>
      <c r="O145" s="739">
        <f>N145*O133</f>
        <v>0</v>
      </c>
      <c r="P145" s="276"/>
      <c r="Q145" s="275"/>
      <c r="R145" s="12"/>
      <c r="S145" s="12"/>
      <c r="T145" s="341"/>
      <c r="U145" s="286"/>
      <c r="V145" s="276"/>
      <c r="W145" s="275"/>
    </row>
    <row r="146" spans="1:23" ht="12.75" customHeight="1">
      <c r="A146" s="730" t="s">
        <v>100</v>
      </c>
      <c r="B146" s="410" t="s">
        <v>101</v>
      </c>
      <c r="C146" s="741">
        <v>500000</v>
      </c>
      <c r="F146" s="12"/>
      <c r="G146" s="730" t="s">
        <v>100</v>
      </c>
      <c r="H146" s="410" t="s">
        <v>101</v>
      </c>
      <c r="I146" s="741">
        <v>0</v>
      </c>
      <c r="L146" s="12"/>
      <c r="M146" s="730" t="s">
        <v>100</v>
      </c>
      <c r="N146" s="410" t="s">
        <v>101</v>
      </c>
      <c r="O146" s="741">
        <v>0</v>
      </c>
      <c r="R146" s="12"/>
      <c r="S146" s="12"/>
      <c r="T146" s="26"/>
      <c r="U146" s="339"/>
    </row>
    <row r="147" spans="1:23" ht="12.75" customHeight="1">
      <c r="A147" s="730" t="s">
        <v>103</v>
      </c>
      <c r="B147" s="411">
        <f>Assumptions!$E$30</f>
        <v>6</v>
      </c>
      <c r="C147" s="739">
        <f>-B147*(E128/6)</f>
        <v>2486262.42</v>
      </c>
      <c r="F147" s="12"/>
      <c r="G147" s="730" t="s">
        <v>103</v>
      </c>
      <c r="H147" s="411">
        <f>Assumptions!$E$30</f>
        <v>6</v>
      </c>
      <c r="I147" s="739">
        <f>-H147*(K128/6)</f>
        <v>0</v>
      </c>
      <c r="L147" s="12"/>
      <c r="M147" s="730" t="s">
        <v>103</v>
      </c>
      <c r="N147" s="411">
        <f>Assumptions!$E$30</f>
        <v>6</v>
      </c>
      <c r="O147" s="739">
        <f>-N147*(Q128/6)</f>
        <v>0</v>
      </c>
      <c r="R147" s="12"/>
      <c r="S147" s="12"/>
      <c r="T147" s="343"/>
      <c r="U147" s="286"/>
    </row>
    <row r="148" spans="1:23" ht="12.75" customHeight="1">
      <c r="A148" s="730" t="s">
        <v>106</v>
      </c>
      <c r="B148" s="742">
        <f>Assumptions!$E$31</f>
        <v>30</v>
      </c>
      <c r="C148" s="739">
        <f>B148*SUM(C93,C97)</f>
        <v>0</v>
      </c>
      <c r="G148" s="730" t="s">
        <v>106</v>
      </c>
      <c r="H148" s="742">
        <f>Assumptions!$E$31</f>
        <v>30</v>
      </c>
      <c r="I148" s="739">
        <f>H148*SUM(I93,I97)</f>
        <v>0</v>
      </c>
      <c r="L148" s="12"/>
      <c r="M148" s="730" t="s">
        <v>106</v>
      </c>
      <c r="N148" s="742">
        <f>Assumptions!$E$31</f>
        <v>30</v>
      </c>
      <c r="O148" s="739">
        <f>N148*SUM(O93,O97)</f>
        <v>0</v>
      </c>
      <c r="R148" s="12"/>
      <c r="S148" s="12"/>
      <c r="T148" s="303"/>
      <c r="U148" s="286"/>
    </row>
    <row r="149" spans="1:23" ht="12.75" customHeight="1">
      <c r="A149" s="730" t="s">
        <v>403</v>
      </c>
      <c r="B149" s="563">
        <f>Assumptions!$E$32</f>
        <v>0.03</v>
      </c>
      <c r="C149" s="731">
        <f>B149*SUM(E93,E97)</f>
        <v>0</v>
      </c>
      <c r="G149" s="730" t="s">
        <v>403</v>
      </c>
      <c r="H149" s="563">
        <f>Assumptions!$E$32</f>
        <v>0.03</v>
      </c>
      <c r="I149" s="731">
        <f>H149*SUM(K93,K97)</f>
        <v>0</v>
      </c>
      <c r="M149" s="730" t="s">
        <v>403</v>
      </c>
      <c r="N149" s="563">
        <f>Assumptions!$E$32</f>
        <v>0.03</v>
      </c>
      <c r="O149" s="731">
        <f>N149*SUM(Q93,Q97)</f>
        <v>0</v>
      </c>
      <c r="S149" s="12"/>
      <c r="T149" s="344"/>
      <c r="U149" s="345"/>
    </row>
    <row r="150" spans="1:23" ht="12.75" customHeight="1">
      <c r="A150" s="730" t="s">
        <v>112</v>
      </c>
      <c r="B150" s="732">
        <f>Assumptions!$E$33</f>
        <v>1.4999999999999999E-2</v>
      </c>
      <c r="C150" s="733">
        <f>B150*SUM(C138:C149,C135,C152,C153)</f>
        <v>355383.59145000007</v>
      </c>
      <c r="D150" s="18"/>
      <c r="E150" s="18"/>
      <c r="G150" s="730" t="s">
        <v>112</v>
      </c>
      <c r="H150" s="732">
        <f>Assumptions!$E$33</f>
        <v>1.4999999999999999E-2</v>
      </c>
      <c r="I150" s="733">
        <f>H150*SUM(I138:I149,I135,I152,I153)</f>
        <v>0</v>
      </c>
      <c r="J150" s="18"/>
      <c r="K150" s="18"/>
      <c r="M150" s="730" t="s">
        <v>112</v>
      </c>
      <c r="N150" s="732">
        <f>Assumptions!$E$33</f>
        <v>1.4999999999999999E-2</v>
      </c>
      <c r="O150" s="733">
        <f>N150*SUM(O138:O149,O135,O152,O153)</f>
        <v>0</v>
      </c>
      <c r="P150" s="18"/>
      <c r="Q150" s="18"/>
      <c r="S150" s="12"/>
      <c r="T150" s="346"/>
      <c r="U150" s="339"/>
      <c r="V150" s="347"/>
      <c r="W150" s="347"/>
    </row>
    <row r="151" spans="1:23" ht="12.75" customHeight="1">
      <c r="A151" s="730" t="s">
        <v>165</v>
      </c>
      <c r="B151" s="732" t="s">
        <v>468</v>
      </c>
      <c r="C151" s="733">
        <f>IF(C133=0,0,-INDEX('Development Program'!$C$30:$L$37,8,MATCH($D$2,'Development Program'!$C$30:$L$30,0))/INDEX('Development Program'!$L$9:$M$18,MATCH($D$2,'Development Program'!$L$9:$L$18,0),2))</f>
        <v>-8166666.666666667</v>
      </c>
      <c r="D151" s="18"/>
      <c r="E151" s="18"/>
      <c r="G151" s="730" t="s">
        <v>165</v>
      </c>
      <c r="H151" s="732" t="s">
        <v>468</v>
      </c>
      <c r="I151" s="733">
        <f>IF(I133=0,0,-INDEX('Development Program'!$C$30:$L$37,8,MATCH($D$2,'Development Program'!$C$30:$L$30,0))/INDEX('Development Program'!$L$9:$M$18,MATCH($D$2,'Development Program'!$L$9:$L$18,0),2))</f>
        <v>0</v>
      </c>
      <c r="J151" s="18"/>
      <c r="K151" s="18"/>
      <c r="M151" s="730" t="s">
        <v>165</v>
      </c>
      <c r="N151" s="732" t="s">
        <v>468</v>
      </c>
      <c r="O151" s="733">
        <f>IF(O133=0,0,-INDEX('Development Program'!$C$30:$L$37,8,MATCH($D$2,'Development Program'!$C$30:$L$30,0))/INDEX('Development Program'!$L$9:$M$18,MATCH($D$2,'Development Program'!$L$9:$L$18,0),2))</f>
        <v>0</v>
      </c>
      <c r="P151" s="18"/>
      <c r="Q151" s="18"/>
      <c r="S151" s="12"/>
      <c r="T151" s="346"/>
      <c r="U151" s="339"/>
      <c r="V151" s="347"/>
      <c r="W151" s="347"/>
    </row>
    <row r="152" spans="1:23" ht="12.75" customHeight="1">
      <c r="A152" s="426" t="s">
        <v>38</v>
      </c>
      <c r="B152" s="732">
        <f>Assumptions!$L$5</f>
        <v>5.0000000000000001E-3</v>
      </c>
      <c r="C152" s="741">
        <v>340000</v>
      </c>
      <c r="D152" s="18">
        <f>C152/B$157</f>
        <v>4.9556649418028139E-3</v>
      </c>
      <c r="E152" s="18"/>
      <c r="G152" s="426" t="s">
        <v>38</v>
      </c>
      <c r="H152" s="732">
        <f>Assumptions!$L$5</f>
        <v>5.0000000000000001E-3</v>
      </c>
      <c r="I152" s="741">
        <v>0</v>
      </c>
      <c r="J152" s="18" t="e">
        <f>I152/H$157</f>
        <v>#DIV/0!</v>
      </c>
      <c r="K152" s="18"/>
      <c r="M152" s="426" t="s">
        <v>38</v>
      </c>
      <c r="N152" s="732">
        <f>Assumptions!$L$5</f>
        <v>5.0000000000000001E-3</v>
      </c>
      <c r="O152" s="741">
        <v>0</v>
      </c>
      <c r="P152" s="18" t="e">
        <f>O152/N$157</f>
        <v>#DIV/0!</v>
      </c>
      <c r="Q152" s="18"/>
      <c r="S152" s="12"/>
      <c r="T152" s="346"/>
      <c r="U152" s="339"/>
      <c r="V152" s="347"/>
      <c r="W152" s="347"/>
    </row>
    <row r="153" spans="1:23" ht="12.75" customHeight="1">
      <c r="A153" s="426" t="s">
        <v>407</v>
      </c>
      <c r="B153" s="732">
        <f>Assumptions!$L$4</f>
        <v>0.08</v>
      </c>
      <c r="C153" s="741">
        <v>5490000</v>
      </c>
      <c r="D153" s="18">
        <f>C153/B$157</f>
        <v>8.0019413324992489E-2</v>
      </c>
      <c r="E153" s="18"/>
      <c r="G153" s="426" t="s">
        <v>407</v>
      </c>
      <c r="H153" s="732">
        <f>Assumptions!$L$4</f>
        <v>0.08</v>
      </c>
      <c r="I153" s="741">
        <v>0</v>
      </c>
      <c r="J153" s="18" t="e">
        <f>I153/H$157</f>
        <v>#DIV/0!</v>
      </c>
      <c r="K153" s="18"/>
      <c r="M153" s="426" t="s">
        <v>407</v>
      </c>
      <c r="N153" s="732">
        <f>Assumptions!$L$4</f>
        <v>0.08</v>
      </c>
      <c r="O153" s="741">
        <v>0</v>
      </c>
      <c r="P153" s="18" t="e">
        <f>O153/N$157</f>
        <v>#DIV/0!</v>
      </c>
      <c r="Q153" s="18"/>
      <c r="S153" s="12"/>
      <c r="T153" s="346"/>
      <c r="U153" s="339"/>
      <c r="V153" s="347"/>
      <c r="W153" s="347"/>
    </row>
    <row r="154" spans="1:23" ht="12.75" customHeight="1">
      <c r="A154" s="743" t="s">
        <v>408</v>
      </c>
      <c r="B154" s="744"/>
      <c r="C154" s="745">
        <f>SUM(C133:C153)</f>
        <v>110658630.72145</v>
      </c>
      <c r="D154" s="18"/>
      <c r="E154" s="18"/>
      <c r="G154" s="743" t="s">
        <v>408</v>
      </c>
      <c r="H154" s="744"/>
      <c r="I154" s="745">
        <f>SUM(I133:I153)</f>
        <v>0</v>
      </c>
      <c r="J154" s="18"/>
      <c r="K154" s="18"/>
      <c r="M154" s="743" t="s">
        <v>408</v>
      </c>
      <c r="N154" s="744"/>
      <c r="O154" s="745">
        <f>SUM(O133:O153)</f>
        <v>0</v>
      </c>
      <c r="P154" s="18"/>
      <c r="Q154" s="18"/>
    </row>
    <row r="155" spans="1:23" ht="12.75" customHeight="1" thickBot="1">
      <c r="A155" s="328"/>
      <c r="C155" s="167"/>
      <c r="D155" s="746"/>
      <c r="E155" s="18"/>
      <c r="G155" s="328"/>
      <c r="I155" s="167"/>
      <c r="J155" s="746"/>
      <c r="K155" s="18"/>
      <c r="M155" s="328"/>
      <c r="O155" s="167"/>
      <c r="P155" s="746"/>
      <c r="Q155" s="18"/>
    </row>
    <row r="156" spans="1:23" ht="12.75" customHeight="1">
      <c r="A156" s="1021" t="s">
        <v>23</v>
      </c>
      <c r="B156" s="1022"/>
      <c r="C156" s="167"/>
      <c r="D156" s="18"/>
      <c r="E156" s="18"/>
      <c r="G156" s="1021" t="s">
        <v>23</v>
      </c>
      <c r="H156" s="1022"/>
      <c r="I156" s="167"/>
      <c r="J156" s="18"/>
      <c r="K156" s="18"/>
      <c r="M156" s="1021" t="s">
        <v>23</v>
      </c>
      <c r="N156" s="1022"/>
      <c r="O156" s="167"/>
      <c r="P156" s="18"/>
      <c r="Q156" s="18"/>
    </row>
    <row r="157" spans="1:23" ht="12.75" customHeight="1">
      <c r="A157" s="840">
        <f>IFERROR(INDEX(Assumptions!$J$11:$L$23,MATCH('4-I Financial'!B$34,Assumptions!$J$11:$J$23,0),3),0)</f>
        <v>0.62</v>
      </c>
      <c r="B157" s="747">
        <f>C154*A157</f>
        <v>68608351.047298998</v>
      </c>
      <c r="C157" s="167"/>
      <c r="D157" s="18"/>
      <c r="E157" s="18"/>
      <c r="G157" s="840">
        <f>IFERROR(INDEX(Assumptions!$J$11:$L$23,MATCH('4-I Financial'!H$34,Assumptions!$J$11:$J$23,0),3),0)</f>
        <v>0</v>
      </c>
      <c r="H157" s="747">
        <f>I154*G157</f>
        <v>0</v>
      </c>
      <c r="I157" s="167"/>
      <c r="J157" s="18"/>
      <c r="K157" s="18"/>
      <c r="M157" s="840">
        <f>IFERROR(INDEX(Assumptions!$J$11:$L$23,MATCH('4-I Financial'!N$34,Assumptions!$J$11:$J$23,0),3),0)</f>
        <v>0</v>
      </c>
      <c r="N157" s="747">
        <f>O154*M157</f>
        <v>0</v>
      </c>
      <c r="O157" s="167"/>
      <c r="P157" s="18"/>
      <c r="Q157" s="18"/>
    </row>
    <row r="158" spans="1:23" ht="12.75" customHeight="1">
      <c r="A158" s="841">
        <f>1-A157</f>
        <v>0.38</v>
      </c>
      <c r="B158" s="747">
        <f>C154*A158</f>
        <v>42050279.674151003</v>
      </c>
      <c r="C158" s="167"/>
      <c r="D158" s="18"/>
      <c r="E158" s="18"/>
      <c r="G158" s="841">
        <f>1-G157</f>
        <v>1</v>
      </c>
      <c r="H158" s="747">
        <f>I154*G158</f>
        <v>0</v>
      </c>
      <c r="I158" s="167"/>
      <c r="J158" s="18"/>
      <c r="K158" s="18"/>
      <c r="M158" s="841">
        <f>1-M157</f>
        <v>1</v>
      </c>
      <c r="N158" s="747">
        <f>O154*M158</f>
        <v>0</v>
      </c>
      <c r="O158" s="167"/>
      <c r="P158" s="18"/>
      <c r="Q158" s="18"/>
    </row>
    <row r="159" spans="1:23" ht="12.75" customHeight="1" thickBot="1">
      <c r="S159" s="12"/>
      <c r="T159" s="349"/>
      <c r="U159" s="339"/>
      <c r="V159" s="347"/>
      <c r="W159" s="347"/>
    </row>
    <row r="160" spans="1:23" ht="13.5" thickBot="1">
      <c r="A160" s="1021" t="s">
        <v>469</v>
      </c>
      <c r="B160" s="1022"/>
      <c r="D160" s="18"/>
      <c r="G160" s="1021" t="s">
        <v>469</v>
      </c>
      <c r="H160" s="1022"/>
      <c r="J160" s="18"/>
      <c r="M160" s="1021" t="s">
        <v>469</v>
      </c>
      <c r="N160" s="1022"/>
      <c r="P160" s="18"/>
      <c r="S160" s="328"/>
      <c r="U160" s="167"/>
    </row>
    <row r="161" spans="1:22" ht="13.5" thickBot="1">
      <c r="A161" s="565" t="s">
        <v>470</v>
      </c>
      <c r="B161" s="566"/>
      <c r="C161" s="12"/>
      <c r="D161" s="346"/>
      <c r="E161" s="339"/>
      <c r="G161" s="565" t="s">
        <v>470</v>
      </c>
      <c r="H161" s="566"/>
      <c r="I161" s="12"/>
      <c r="J161" s="12"/>
      <c r="K161" s="346"/>
      <c r="L161" s="339"/>
      <c r="M161" s="565" t="s">
        <v>470</v>
      </c>
      <c r="N161" s="566"/>
      <c r="O161" s="12"/>
      <c r="P161" s="12"/>
      <c r="Q161" s="346"/>
      <c r="R161" s="339"/>
      <c r="S161" s="274"/>
      <c r="T161" s="274"/>
      <c r="V161" s="347"/>
    </row>
    <row r="162" spans="1:22" ht="12.95">
      <c r="A162" s="358" t="s">
        <v>471</v>
      </c>
      <c r="B162" s="359">
        <f>E63+E80+E101</f>
        <v>0</v>
      </c>
      <c r="D162" s="281"/>
      <c r="G162" s="358" t="s">
        <v>471</v>
      </c>
      <c r="H162" s="359">
        <f>K63+K80+K101</f>
        <v>0</v>
      </c>
      <c r="J162" s="281"/>
      <c r="M162" s="358" t="s">
        <v>471</v>
      </c>
      <c r="N162" s="359">
        <f>Q63+Q80+Q101</f>
        <v>0</v>
      </c>
      <c r="P162" s="281"/>
      <c r="S162" s="137"/>
      <c r="T162" s="281"/>
      <c r="V162" s="129"/>
    </row>
    <row r="163" spans="1:22" ht="12.95">
      <c r="A163" s="479">
        <v>0.03</v>
      </c>
      <c r="B163" s="480">
        <f>-B162*A163</f>
        <v>0</v>
      </c>
      <c r="D163" s="167"/>
      <c r="G163" s="479">
        <v>0.03</v>
      </c>
      <c r="H163" s="480">
        <f>-H162*G163</f>
        <v>0</v>
      </c>
      <c r="J163" s="167"/>
      <c r="M163" s="479">
        <v>0.03</v>
      </c>
      <c r="N163" s="480">
        <f>-N162*M163</f>
        <v>0</v>
      </c>
      <c r="P163" s="167"/>
      <c r="S163" s="277"/>
      <c r="T163" s="288"/>
      <c r="V163" s="281"/>
    </row>
    <row r="164" spans="1:22" ht="13.5" thickBot="1">
      <c r="A164" s="414" t="s">
        <v>472</v>
      </c>
      <c r="B164" s="481">
        <f>SUM(B162:B163)</f>
        <v>0</v>
      </c>
      <c r="G164" s="414" t="s">
        <v>472</v>
      </c>
      <c r="H164" s="481">
        <f>SUM(H162:H163)</f>
        <v>0</v>
      </c>
      <c r="M164" s="414" t="s">
        <v>472</v>
      </c>
      <c r="N164" s="481">
        <f>SUM(N162:N163)</f>
        <v>0</v>
      </c>
      <c r="S164" s="280"/>
      <c r="T164" s="350"/>
      <c r="V164" s="167"/>
    </row>
    <row r="165" spans="1:22" ht="13.5" thickBot="1">
      <c r="A165" s="1023" t="s">
        <v>473</v>
      </c>
      <c r="B165" s="1024"/>
      <c r="G165" s="1023" t="s">
        <v>473</v>
      </c>
      <c r="H165" s="1024"/>
      <c r="M165" s="1023" t="s">
        <v>473</v>
      </c>
      <c r="N165" s="1024"/>
      <c r="S165" s="277"/>
      <c r="T165" s="351"/>
    </row>
    <row r="166" spans="1:22" ht="12.95">
      <c r="A166" s="360" t="s">
        <v>474</v>
      </c>
      <c r="B166" s="567">
        <f>IFERROR(INDEX(Assumptions!$J$64:$L$76,MATCH('4-I Financial'!B$34,Assumptions!$J$64:$J$76,0),3),0)</f>
        <v>0.05</v>
      </c>
      <c r="G166" s="360" t="s">
        <v>474</v>
      </c>
      <c r="H166" s="567">
        <f>IFERROR(INDEX(Assumptions!$J$64:$L$76,MATCH('4-I Financial'!H$34,Assumptions!$J$64:$J$76,0),3),0)</f>
        <v>0</v>
      </c>
      <c r="M166" s="360" t="s">
        <v>474</v>
      </c>
      <c r="N166" s="567">
        <f>IFERROR(INDEX(Assumptions!$J$64:$L$76,MATCH('4-I Financial'!N$34,Assumptions!$J$64:$J$76,0),3),0)</f>
        <v>0</v>
      </c>
      <c r="S166" s="277"/>
      <c r="T166" s="351"/>
    </row>
    <row r="167" spans="1:22" ht="12.95">
      <c r="A167" s="482" t="s">
        <v>475</v>
      </c>
      <c r="B167" s="483">
        <f>IFERROR(E$129/B$166,0)</f>
        <v>127435571.03999998</v>
      </c>
      <c r="C167" s="279"/>
      <c r="G167" s="482" t="s">
        <v>475</v>
      </c>
      <c r="H167" s="483">
        <f>IFERROR(K$129/H$166,0)</f>
        <v>0</v>
      </c>
      <c r="I167" s="279"/>
      <c r="M167" s="482" t="s">
        <v>475</v>
      </c>
      <c r="N167" s="483">
        <f>IFERROR(Q$129/N$166,0)</f>
        <v>0</v>
      </c>
      <c r="O167" s="279"/>
      <c r="S167" s="277"/>
      <c r="T167" s="351"/>
    </row>
    <row r="168" spans="1:22" ht="12.95">
      <c r="A168" s="408" t="s">
        <v>476</v>
      </c>
      <c r="B168" s="484">
        <f>IFERROR(B166-1%,0)</f>
        <v>0.04</v>
      </c>
      <c r="C168" s="288"/>
      <c r="F168" s="18"/>
      <c r="G168" s="408" t="s">
        <v>476</v>
      </c>
      <c r="H168" s="484">
        <f>IFERROR(H166-1%,0)</f>
        <v>-0.01</v>
      </c>
      <c r="I168" s="288"/>
      <c r="L168" s="18"/>
      <c r="M168" s="408" t="s">
        <v>476</v>
      </c>
      <c r="N168" s="484">
        <f>IFERROR(N166-1%,0)</f>
        <v>-0.01</v>
      </c>
      <c r="O168" s="288"/>
      <c r="R168" s="18"/>
      <c r="S168" s="352"/>
      <c r="T168" s="281"/>
    </row>
    <row r="169" spans="1:22" ht="12.95">
      <c r="A169" s="408" t="s">
        <v>127</v>
      </c>
      <c r="B169" s="872">
        <f>IFERROR(INDEX(Assumptions!$J$48:$L$60,MATCH('4-I Financial'!B$34,Assumptions!$J$48:$J$60,0),3),0)</f>
        <v>0.03</v>
      </c>
      <c r="F169" s="18"/>
      <c r="G169" s="408" t="s">
        <v>127</v>
      </c>
      <c r="H169" s="872">
        <f>IFERROR(INDEX(Assumptions!$J$48:$L$60,MATCH('4-I Financial'!H$34,Assumptions!$J$48:$J$60,0),3),0)</f>
        <v>0</v>
      </c>
      <c r="L169" s="18"/>
      <c r="M169" s="408" t="s">
        <v>127</v>
      </c>
      <c r="N169" s="872">
        <f>IFERROR(INDEX(Assumptions!$J$48:$L$60,MATCH('4-I Financial'!N$34,Assumptions!$J$48:$J$60,0),3),0)</f>
        <v>0</v>
      </c>
      <c r="R169" s="18"/>
      <c r="S169" s="352"/>
      <c r="T169" s="281"/>
    </row>
    <row r="170" spans="1:22" ht="12.95">
      <c r="A170" s="408" t="s">
        <v>125</v>
      </c>
      <c r="B170" s="485">
        <f>Assumptions!$L$41</f>
        <v>5</v>
      </c>
      <c r="D170" s="279"/>
      <c r="F170" s="18"/>
      <c r="G170" s="408" t="s">
        <v>125</v>
      </c>
      <c r="H170" s="485">
        <f>Assumptions!$L$41</f>
        <v>5</v>
      </c>
      <c r="J170" s="279"/>
      <c r="L170" s="18"/>
      <c r="M170" s="408" t="s">
        <v>125</v>
      </c>
      <c r="N170" s="485">
        <f>Assumptions!$L$41</f>
        <v>5</v>
      </c>
      <c r="P170" s="279"/>
      <c r="R170" s="18"/>
      <c r="S170" s="352"/>
      <c r="T170" s="281"/>
    </row>
    <row r="171" spans="1:22" ht="12.95">
      <c r="A171" s="408" t="s">
        <v>386</v>
      </c>
      <c r="B171" s="419">
        <f>(E$129*(1+B$169)^(B$170+1))</f>
        <v>7608236.8129898245</v>
      </c>
      <c r="D171" s="279"/>
      <c r="F171" s="18"/>
      <c r="G171" s="408" t="s">
        <v>386</v>
      </c>
      <c r="H171" s="419">
        <f>(K$129*(1+H$169)^(H$170+1))</f>
        <v>0</v>
      </c>
      <c r="J171" s="279"/>
      <c r="L171" s="18"/>
      <c r="M171" s="408" t="s">
        <v>386</v>
      </c>
      <c r="N171" s="419">
        <f>(Q$129*(1+N$169)^(N$170+1))</f>
        <v>0</v>
      </c>
      <c r="P171" s="279"/>
      <c r="R171" s="18"/>
      <c r="S171" s="352"/>
      <c r="T171" s="281"/>
    </row>
    <row r="172" spans="1:22" ht="12.95">
      <c r="A172" s="418" t="s">
        <v>477</v>
      </c>
      <c r="B172" s="483">
        <f>IFERROR(B171/B$168,0)</f>
        <v>190205920.3247456</v>
      </c>
      <c r="C172" s="357"/>
      <c r="D172" s="279"/>
      <c r="F172" s="18"/>
      <c r="G172" s="418" t="s">
        <v>477</v>
      </c>
      <c r="H172" s="483">
        <f>IFERROR(H171/H$168,0)</f>
        <v>0</v>
      </c>
      <c r="I172" s="357"/>
      <c r="J172" s="279"/>
      <c r="L172" s="18"/>
      <c r="M172" s="418" t="s">
        <v>477</v>
      </c>
      <c r="N172" s="483">
        <f>IFERROR(N171/N$168,0)</f>
        <v>0</v>
      </c>
      <c r="O172" s="357"/>
      <c r="P172" s="279"/>
      <c r="R172" s="18"/>
      <c r="S172" s="352"/>
      <c r="T172" s="281"/>
    </row>
    <row r="173" spans="1:22" ht="12.95">
      <c r="A173" s="412" t="s">
        <v>471</v>
      </c>
      <c r="B173" s="486">
        <f>B172</f>
        <v>190205920.3247456</v>
      </c>
      <c r="F173" s="18"/>
      <c r="G173" s="412" t="s">
        <v>471</v>
      </c>
      <c r="H173" s="486">
        <f>H172</f>
        <v>0</v>
      </c>
      <c r="L173" s="18"/>
      <c r="M173" s="412" t="s">
        <v>471</v>
      </c>
      <c r="N173" s="486">
        <f>N172</f>
        <v>0</v>
      </c>
      <c r="R173" s="18"/>
      <c r="S173" s="352"/>
      <c r="T173" s="281"/>
    </row>
    <row r="174" spans="1:22" ht="12.95">
      <c r="A174" s="479">
        <v>0.03</v>
      </c>
      <c r="B174" s="413">
        <f>-A$174*B$167</f>
        <v>-3823067.1311999992</v>
      </c>
      <c r="D174" s="167"/>
      <c r="G174" s="479">
        <v>0.03</v>
      </c>
      <c r="H174" s="413">
        <f>-G$174*H$167</f>
        <v>0</v>
      </c>
      <c r="J174" s="167"/>
      <c r="M174" s="479">
        <v>0.03</v>
      </c>
      <c r="N174" s="413">
        <f>-M$174*N$167</f>
        <v>0</v>
      </c>
      <c r="P174" s="167"/>
      <c r="S174" s="353"/>
      <c r="T174" s="283"/>
    </row>
    <row r="175" spans="1:22" ht="13.5" thickBot="1">
      <c r="A175" s="414" t="s">
        <v>472</v>
      </c>
      <c r="B175" s="415">
        <f>SUM(B173:B174)</f>
        <v>186382853.19354561</v>
      </c>
      <c r="D175" s="283"/>
      <c r="E175" s="274"/>
      <c r="G175" s="414" t="s">
        <v>472</v>
      </c>
      <c r="H175" s="415">
        <f>SUM(H173:H174)</f>
        <v>0</v>
      </c>
      <c r="J175" s="283"/>
      <c r="K175" s="274"/>
      <c r="M175" s="414" t="s">
        <v>472</v>
      </c>
      <c r="N175" s="415">
        <f>SUM(N173:N174)</f>
        <v>0</v>
      </c>
      <c r="P175" s="283"/>
      <c r="Q175" s="274"/>
      <c r="S175" s="277"/>
      <c r="T175" s="288"/>
      <c r="V175" s="167"/>
    </row>
    <row r="176" spans="1:22" ht="13.5" thickBot="1">
      <c r="A176" s="1023" t="s">
        <v>478</v>
      </c>
      <c r="B176" s="566"/>
      <c r="D176" s="276"/>
      <c r="G176" s="1023" t="s">
        <v>478</v>
      </c>
      <c r="H176" s="566"/>
      <c r="J176" s="276"/>
      <c r="M176" s="1023" t="s">
        <v>478</v>
      </c>
      <c r="N176" s="566"/>
      <c r="P176" s="276"/>
      <c r="S176" s="280"/>
      <c r="T176" s="278"/>
    </row>
    <row r="177" spans="1:23" ht="12.95">
      <c r="A177" s="291" t="s">
        <v>479</v>
      </c>
      <c r="B177" s="292">
        <f>B162+B173</f>
        <v>190205920.3247456</v>
      </c>
      <c r="G177" s="291" t="s">
        <v>479</v>
      </c>
      <c r="H177" s="292">
        <f>H162+H173</f>
        <v>0</v>
      </c>
      <c r="M177" s="291" t="s">
        <v>479</v>
      </c>
      <c r="N177" s="292">
        <f>N162+N173</f>
        <v>0</v>
      </c>
      <c r="S177" s="277"/>
      <c r="T177" s="302"/>
      <c r="V177" s="276"/>
    </row>
    <row r="178" spans="1:23" ht="12.95">
      <c r="A178" s="418" t="s">
        <v>480</v>
      </c>
      <c r="B178" s="486">
        <f>SUM(B164,B175)</f>
        <v>186382853.19354561</v>
      </c>
      <c r="G178" s="418" t="s">
        <v>480</v>
      </c>
      <c r="H178" s="486">
        <f>SUM(H164,H175)</f>
        <v>0</v>
      </c>
      <c r="M178" s="418" t="s">
        <v>480</v>
      </c>
      <c r="N178" s="486">
        <f>SUM(N164,N175)</f>
        <v>0</v>
      </c>
      <c r="S178" s="277"/>
      <c r="T178" s="302"/>
      <c r="V178" s="276"/>
    </row>
    <row r="179" spans="1:23" ht="13.5" thickBot="1">
      <c r="A179" s="416" t="s">
        <v>481</v>
      </c>
      <c r="B179" s="417">
        <f>SUM(B178:B178)</f>
        <v>186382853.19354561</v>
      </c>
      <c r="G179" s="416" t="s">
        <v>481</v>
      </c>
      <c r="H179" s="417">
        <f>SUM(H178:H178)</f>
        <v>0</v>
      </c>
      <c r="M179" s="416" t="s">
        <v>481</v>
      </c>
      <c r="N179" s="417">
        <f>SUM(N178:N178)</f>
        <v>0</v>
      </c>
      <c r="S179" s="277"/>
      <c r="T179" s="302"/>
      <c r="V179" s="276"/>
    </row>
    <row r="180" spans="1:23" ht="23.25" customHeight="1">
      <c r="G180" s="284"/>
      <c r="H180" s="287"/>
      <c r="M180" s="284"/>
      <c r="N180" s="287"/>
      <c r="S180" s="283"/>
      <c r="T180" s="287"/>
      <c r="V180" s="276"/>
      <c r="W180" s="275"/>
    </row>
    <row r="181" spans="1:23" ht="23.25" customHeight="1">
      <c r="G181" s="355"/>
      <c r="H181" s="354"/>
      <c r="M181" s="355"/>
      <c r="N181" s="354"/>
      <c r="S181" s="284"/>
      <c r="T181" s="287"/>
    </row>
    <row r="182" spans="1:23" ht="23.25" customHeight="1">
      <c r="D182" s="277"/>
      <c r="G182" s="356"/>
      <c r="H182" s="288"/>
      <c r="J182" s="277"/>
      <c r="M182" s="356"/>
      <c r="N182" s="288"/>
      <c r="P182" s="277"/>
      <c r="S182" s="355"/>
      <c r="T182" s="354"/>
    </row>
    <row r="183" spans="1:23" ht="23.25" customHeight="1">
      <c r="S183" s="356"/>
      <c r="T183" s="288"/>
      <c r="V183" s="277"/>
    </row>
  </sheetData>
  <mergeCells count="9">
    <mergeCell ref="A118:E118"/>
    <mergeCell ref="G118:K118"/>
    <mergeCell ref="M118:Q118"/>
    <mergeCell ref="S118:W118"/>
    <mergeCell ref="D2:E2"/>
    <mergeCell ref="B116:C116"/>
    <mergeCell ref="H116:I116"/>
    <mergeCell ref="N116:O116"/>
    <mergeCell ref="T116:U116"/>
  </mergeCells>
  <conditionalFormatting sqref="C49 C66">
    <cfRule type="expression" dxfId="27" priority="8">
      <formula>C55&gt;D48</formula>
    </cfRule>
  </conditionalFormatting>
  <conditionalFormatting sqref="C58 C75 C83">
    <cfRule type="expression" dxfId="26" priority="7">
      <formula>C63&gt;D57</formula>
    </cfRule>
  </conditionalFormatting>
  <conditionalFormatting sqref="I49 I66">
    <cfRule type="expression" dxfId="25" priority="4">
      <formula>I55&gt;J48</formula>
    </cfRule>
  </conditionalFormatting>
  <conditionalFormatting sqref="I58 I75 I83">
    <cfRule type="expression" dxfId="24" priority="3">
      <formula>I63&gt;J57</formula>
    </cfRule>
  </conditionalFormatting>
  <conditionalFormatting sqref="O49 O66">
    <cfRule type="expression" dxfId="23" priority="2">
      <formula>O55&gt;P48</formula>
    </cfRule>
  </conditionalFormatting>
  <conditionalFormatting sqref="O58 O75 O83">
    <cfRule type="expression" dxfId="22" priority="1">
      <formula>O63&gt;P57</formula>
    </cfRule>
  </conditionalFormatting>
  <conditionalFormatting sqref="U49 U66">
    <cfRule type="expression" dxfId="21" priority="6">
      <formula>U55&gt;V48</formula>
    </cfRule>
  </conditionalFormatting>
  <conditionalFormatting sqref="U58 U75 U83">
    <cfRule type="expression" dxfId="20" priority="5">
      <formula>U63&gt;V57</formula>
    </cfRule>
  </conditionalFormatting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1" manualBreakCount="1">
    <brk id="111" max="4" man="1"/>
  </row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CBBE8-5B62-4714-9F02-E431D22212B8}">
  <sheetPr>
    <tabColor theme="2" tint="-9.9978637043366805E-2"/>
  </sheetPr>
  <dimension ref="A1:CI185"/>
  <sheetViews>
    <sheetView zoomScale="70" zoomScaleNormal="70" zoomScalePageLayoutView="125" workbookViewId="0">
      <pane xSplit="1" ySplit="9" topLeftCell="T38" activePane="bottomRight" state="frozen"/>
      <selection pane="bottomRight" activeCell="X44" sqref="X44"/>
      <selection pane="bottomLeft" activeCell="Y9" sqref="Y9"/>
      <selection pane="topRight" activeCell="Y9" sqref="Y9"/>
    </sheetView>
  </sheetViews>
  <sheetFormatPr defaultColWidth="8.85546875" defaultRowHeight="14.1"/>
  <cols>
    <col min="1" max="1" width="44" style="207" bestFit="1" customWidth="1"/>
    <col min="2" max="2" width="42.5703125" style="208" customWidth="1"/>
    <col min="3" max="4" width="17.85546875" style="207" hidden="1" customWidth="1"/>
    <col min="5" max="43" width="17.85546875" style="207" customWidth="1"/>
    <col min="44" max="44" width="17.85546875" style="208" customWidth="1"/>
    <col min="45" max="58" width="17.5703125" style="207" customWidth="1"/>
    <col min="59" max="59" width="20.42578125" style="207" customWidth="1"/>
    <col min="60" max="84" width="17" style="207" customWidth="1"/>
    <col min="85" max="85" width="16.42578125" style="207" customWidth="1"/>
    <col min="86" max="86" width="15" style="209" customWidth="1"/>
    <col min="87" max="87" width="17.85546875" style="209" bestFit="1" customWidth="1"/>
    <col min="88" max="88" width="9.42578125" style="207" bestFit="1" customWidth="1"/>
    <col min="89" max="89" width="11.85546875" style="207" bestFit="1" customWidth="1"/>
    <col min="90" max="91" width="9.42578125" style="207" bestFit="1" customWidth="1"/>
    <col min="92" max="16384" width="8.85546875" style="207"/>
  </cols>
  <sheetData>
    <row r="1" spans="1:87" ht="20.25" customHeight="1"/>
    <row r="2" spans="1:87" s="488" customFormat="1" ht="20.25" customHeight="1">
      <c r="A2" s="1081" t="str">
        <f>'4-I Financial'!D2</f>
        <v>4-I</v>
      </c>
      <c r="B2" s="775"/>
      <c r="C2" s="1092"/>
      <c r="D2" s="1092"/>
      <c r="E2" s="1082" t="str">
        <f>'Development Program'!C65</f>
        <v>Pre-Development</v>
      </c>
      <c r="F2" s="1083"/>
      <c r="G2" s="1083"/>
      <c r="H2" s="1082" t="str">
        <f>'Development Program'!F65</f>
        <v>Construction</v>
      </c>
      <c r="I2" s="1083"/>
      <c r="J2" s="1083"/>
      <c r="K2" s="1082" t="str">
        <f>'Development Program'!I65</f>
        <v>Close-Out</v>
      </c>
      <c r="L2" s="1083"/>
      <c r="M2" s="1084"/>
      <c r="N2" s="420" t="s">
        <v>202</v>
      </c>
      <c r="O2" s="1092"/>
      <c r="P2" s="1092"/>
      <c r="Q2" s="1092"/>
      <c r="R2" s="1092"/>
      <c r="S2" s="1092"/>
      <c r="T2" s="1092"/>
      <c r="U2" s="1092"/>
      <c r="V2" s="1092"/>
      <c r="W2" s="1092"/>
      <c r="X2" s="1092"/>
      <c r="Y2" s="1092"/>
      <c r="Z2" s="1092"/>
      <c r="AA2" s="1092"/>
      <c r="AB2" s="1092"/>
      <c r="AC2" s="1092"/>
      <c r="AD2" s="1092"/>
      <c r="AE2" s="1092"/>
      <c r="AF2" s="1092"/>
      <c r="AG2" s="1092"/>
      <c r="AH2" s="1092"/>
      <c r="AI2" s="1092"/>
      <c r="AJ2" s="1092"/>
      <c r="AK2" s="1092"/>
      <c r="AL2" s="1092"/>
      <c r="AM2" s="1092"/>
      <c r="AN2" s="1092"/>
      <c r="AO2" s="1092"/>
      <c r="AP2" s="1092"/>
      <c r="AQ2" s="1092"/>
      <c r="AR2" s="775"/>
      <c r="AS2" s="1092"/>
      <c r="AT2" s="1092"/>
      <c r="AU2" s="1092"/>
      <c r="AV2" s="1092"/>
      <c r="AW2" s="1092"/>
      <c r="AX2" s="1092"/>
      <c r="AY2" s="1092"/>
      <c r="AZ2" s="1092"/>
      <c r="BA2" s="1092"/>
      <c r="BB2" s="1092"/>
      <c r="BC2" s="1092"/>
      <c r="BD2" s="1092"/>
      <c r="BE2" s="1092"/>
      <c r="BF2" s="1092"/>
      <c r="BG2" s="1092"/>
      <c r="BH2" s="1092"/>
      <c r="BI2" s="1092"/>
      <c r="BJ2" s="1092"/>
      <c r="BK2" s="1092"/>
      <c r="BL2" s="1092"/>
      <c r="BM2" s="1092"/>
      <c r="BN2" s="1092"/>
      <c r="BO2" s="1092"/>
      <c r="BP2" s="1092"/>
      <c r="BQ2" s="1092"/>
      <c r="BR2" s="1092"/>
      <c r="BS2" s="1092"/>
      <c r="BT2" s="1092"/>
      <c r="BU2" s="1092"/>
      <c r="BV2" s="1092"/>
      <c r="BW2" s="1092"/>
      <c r="BX2" s="1092"/>
      <c r="BY2" s="1092"/>
      <c r="BZ2" s="1092"/>
      <c r="CA2" s="1092"/>
      <c r="CB2" s="1092"/>
      <c r="CC2" s="1092"/>
      <c r="CD2" s="1092"/>
      <c r="CE2" s="1092"/>
      <c r="CF2" s="1092"/>
      <c r="CG2" s="1092"/>
      <c r="CH2" s="1093"/>
      <c r="CI2" s="1093"/>
    </row>
    <row r="3" spans="1:87" ht="20.25" customHeight="1">
      <c r="A3" s="1081"/>
      <c r="B3" s="248" t="s">
        <v>482</v>
      </c>
      <c r="E3" s="765" t="str">
        <f>'Development Program'!C66</f>
        <v>PD Start</v>
      </c>
      <c r="F3" s="1094" t="str">
        <f>'Development Program'!D66</f>
        <v>PD End</v>
      </c>
      <c r="G3" s="766" t="str">
        <f>'Development Program'!E66</f>
        <v>PD Duration</v>
      </c>
      <c r="H3" s="765" t="str">
        <f>'Development Program'!F66</f>
        <v>CS Start</v>
      </c>
      <c r="I3" s="1094" t="str">
        <f>'Development Program'!G66</f>
        <v>CS End</v>
      </c>
      <c r="J3" s="766" t="str">
        <f>'Development Program'!H66</f>
        <v>CS Duration</v>
      </c>
      <c r="K3" s="1025" t="str">
        <f>'Development Program'!I66</f>
        <v>CO Start</v>
      </c>
      <c r="L3" s="767" t="str">
        <f>'Development Program'!J66</f>
        <v>CO End</v>
      </c>
      <c r="M3" s="266" t="str">
        <f>'Development Program'!K66</f>
        <v>CO Duration</v>
      </c>
      <c r="N3" s="262"/>
    </row>
    <row r="4" spans="1:87" s="768" customFormat="1" ht="20.25" customHeight="1">
      <c r="A4" s="1081"/>
      <c r="B4" s="776" t="s">
        <v>483</v>
      </c>
      <c r="E4" s="263">
        <f>INDEX('Development Program'!$B$66:$K$76,MATCH($A$2,'Development Program'!$B$66:$B$76,0),MATCH(E3,'Development Program'!$B$66:$K$66,0))</f>
        <v>48214</v>
      </c>
      <c r="F4" s="264">
        <f>INDEX('Development Program'!$B$66:$K$76,MATCH($A$2,'Development Program'!$B$66:$B$76,0),MATCH(F3,'Development Program'!$B$66:$K$66,0))</f>
        <v>48669</v>
      </c>
      <c r="G4" s="265">
        <f>INDEX('Development Program'!$B$66:$K$76,MATCH($A$2,'Development Program'!$B$66:$B$76,0),MATCH(G3,'Development Program'!$B$66:$K$66,0))</f>
        <v>15</v>
      </c>
      <c r="H4" s="263">
        <f>INDEX('Development Program'!$B$66:$K$76,MATCH($A$2,'Development Program'!$B$66:$B$76,0),MATCH(H3,'Development Program'!$B$66:$K$66,0))</f>
        <v>48670</v>
      </c>
      <c r="I4" s="264">
        <f>INDEX('Development Program'!$B$66:$K$76,MATCH($A$2,'Development Program'!$B$66:$B$76,0),MATCH(I3,'Development Program'!$B$66:$K$66,0))</f>
        <v>49765</v>
      </c>
      <c r="J4" s="265">
        <f>INDEX('Development Program'!$B$66:$K$76,MATCH($A$2,'Development Program'!$B$66:$B$76,0),MATCH(J3,'Development Program'!$B$66:$K$66,0))</f>
        <v>36</v>
      </c>
      <c r="K4" s="263">
        <f>INDEX('Development Program'!$B$66:$K$76,MATCH($A$2,'Development Program'!$B$66:$B$76,0),MATCH(K3,'Development Program'!$B$66:$K$66,0))</f>
        <v>49766</v>
      </c>
      <c r="L4" s="264">
        <f>INDEX('Development Program'!$B$66:$K$76,MATCH($A$2,'Development Program'!$B$66:$B$76,0),MATCH(L3,'Development Program'!$B$66:$K$66,0))</f>
        <v>49948</v>
      </c>
      <c r="M4" s="265">
        <f>INDEX('Development Program'!$B$66:$K$76,MATCH($A$2,'Development Program'!$B$66:$B$76,0),MATCH(M3,'Development Program'!$B$66:$K$66,0))</f>
        <v>6</v>
      </c>
      <c r="N4" s="265">
        <f>INDEX('Development Program'!$B$66:$L$76,MATCH($A$2,'Development Program'!$B$66:$B$76,0),MATCH(N2,'Development Program'!$B$65:$L$65,0))</f>
        <v>57</v>
      </c>
      <c r="O4" s="769"/>
      <c r="U4" s="770"/>
      <c r="AR4" s="771"/>
      <c r="AS4" s="772"/>
      <c r="AT4" s="772"/>
      <c r="AU4" s="772"/>
      <c r="BA4" s="1085" t="s">
        <v>484</v>
      </c>
      <c r="BB4" s="1085"/>
      <c r="BC4" s="1085"/>
      <c r="BD4" s="1085"/>
      <c r="BE4" s="1085"/>
      <c r="BF4" s="773"/>
      <c r="BG4" s="1080" t="s">
        <v>485</v>
      </c>
      <c r="BH4" s="1080"/>
      <c r="BI4" s="1080"/>
      <c r="CH4" s="774"/>
      <c r="CI4" s="774"/>
    </row>
    <row r="5" spans="1:87" s="210" customFormat="1" ht="20.25" customHeight="1">
      <c r="A5" s="261"/>
      <c r="B5" s="249"/>
      <c r="C5" s="258" t="str">
        <f>IFERROR(INDEX($E$2:$N$4,2,MATCH(#REF!+1,$E$4:$N$4,0)),"")</f>
        <v/>
      </c>
      <c r="D5" s="258" t="str">
        <f>IFERROR(INDEX($E$2:$N$4,2,MATCH(C9+1,$E$4:$N$4,0)),"")</f>
        <v/>
      </c>
      <c r="E5" s="258"/>
      <c r="F5" s="258" t="str">
        <f t="shared" ref="F5:X5" si="0">IFERROR(INDEX($E$2:$N$4,2,MATCH(E9+1,$E$4:$N$4,0)),"")</f>
        <v>PD Start</v>
      </c>
      <c r="G5" s="258" t="str">
        <f t="shared" si="0"/>
        <v/>
      </c>
      <c r="H5" s="258" t="str">
        <f t="shared" si="0"/>
        <v/>
      </c>
      <c r="I5" s="258" t="str">
        <f t="shared" si="0"/>
        <v/>
      </c>
      <c r="J5" s="258" t="str">
        <f t="shared" si="0"/>
        <v/>
      </c>
      <c r="K5" s="258" t="str">
        <f t="shared" si="0"/>
        <v>CS Start</v>
      </c>
      <c r="L5" s="258" t="str">
        <f t="shared" si="0"/>
        <v/>
      </c>
      <c r="M5" s="258" t="str">
        <f t="shared" si="0"/>
        <v/>
      </c>
      <c r="N5" s="258" t="str">
        <f t="shared" si="0"/>
        <v/>
      </c>
      <c r="O5" s="258" t="str">
        <f t="shared" si="0"/>
        <v/>
      </c>
      <c r="P5" s="258" t="str">
        <f t="shared" si="0"/>
        <v/>
      </c>
      <c r="Q5" s="258" t="str">
        <f t="shared" si="0"/>
        <v/>
      </c>
      <c r="R5" s="258" t="str">
        <f t="shared" si="0"/>
        <v/>
      </c>
      <c r="S5" s="258" t="str">
        <f t="shared" si="0"/>
        <v/>
      </c>
      <c r="T5" s="258" t="str">
        <f t="shared" si="0"/>
        <v/>
      </c>
      <c r="U5" s="258" t="str">
        <f t="shared" si="0"/>
        <v/>
      </c>
      <c r="V5" s="258" t="str">
        <f t="shared" si="0"/>
        <v/>
      </c>
      <c r="W5" s="258" t="str">
        <f t="shared" si="0"/>
        <v>CO Start</v>
      </c>
      <c r="X5" s="258" t="str">
        <f t="shared" si="0"/>
        <v/>
      </c>
      <c r="Y5" s="246">
        <v>1</v>
      </c>
      <c r="Z5" s="246">
        <v>1</v>
      </c>
      <c r="AA5" s="246">
        <v>1</v>
      </c>
      <c r="AB5" s="246">
        <v>1</v>
      </c>
      <c r="AC5" s="246">
        <v>2</v>
      </c>
      <c r="AD5" s="246">
        <v>2</v>
      </c>
      <c r="AE5" s="246">
        <v>2</v>
      </c>
      <c r="AF5" s="246">
        <v>2</v>
      </c>
      <c r="AG5" s="246">
        <v>3</v>
      </c>
      <c r="AH5" s="246">
        <v>3</v>
      </c>
      <c r="AI5" s="246">
        <v>3</v>
      </c>
      <c r="AJ5" s="246">
        <v>3</v>
      </c>
      <c r="AK5" s="246">
        <v>4</v>
      </c>
      <c r="AL5" s="246">
        <v>4</v>
      </c>
      <c r="AM5" s="246">
        <v>4</v>
      </c>
      <c r="AN5" s="246">
        <v>4</v>
      </c>
      <c r="AO5" s="246">
        <v>5</v>
      </c>
      <c r="AP5" s="246">
        <v>5</v>
      </c>
      <c r="AQ5" s="246">
        <v>5</v>
      </c>
      <c r="AR5" s="247">
        <v>5</v>
      </c>
      <c r="AS5" s="211"/>
      <c r="AT5" s="211"/>
      <c r="AU5" s="211"/>
      <c r="BA5" s="212"/>
      <c r="BB5" s="212"/>
      <c r="BC5" s="212"/>
      <c r="BD5" s="212"/>
      <c r="BE5" s="212"/>
      <c r="BF5" s="212"/>
      <c r="BG5" s="213"/>
      <c r="BH5" s="213"/>
      <c r="BI5" s="213"/>
      <c r="CH5" s="214"/>
      <c r="CI5" s="214"/>
    </row>
    <row r="6" spans="1:87" s="210" customFormat="1" ht="20.25" customHeight="1">
      <c r="A6" s="261"/>
      <c r="B6" s="249"/>
      <c r="C6" s="258"/>
      <c r="D6" s="258"/>
      <c r="E6" s="258" t="str">
        <f t="shared" ref="E6:X6" si="1">IFERROR(INDEX($E$2:$N$4,2,MATCH(E9,$E$4:$N$4,0)),"")</f>
        <v/>
      </c>
      <c r="F6" s="258" t="str">
        <f t="shared" si="1"/>
        <v/>
      </c>
      <c r="G6" s="258" t="str">
        <f t="shared" si="1"/>
        <v/>
      </c>
      <c r="H6" s="258" t="str">
        <f t="shared" si="1"/>
        <v/>
      </c>
      <c r="I6" s="258" t="str">
        <f t="shared" si="1"/>
        <v/>
      </c>
      <c r="J6" s="258" t="str">
        <f t="shared" si="1"/>
        <v>PD End</v>
      </c>
      <c r="K6" s="258" t="str">
        <f t="shared" si="1"/>
        <v/>
      </c>
      <c r="L6" s="258" t="str">
        <f t="shared" si="1"/>
        <v/>
      </c>
      <c r="M6" s="258" t="str">
        <f t="shared" si="1"/>
        <v/>
      </c>
      <c r="N6" s="258" t="str">
        <f t="shared" si="1"/>
        <v/>
      </c>
      <c r="O6" s="258" t="str">
        <f t="shared" si="1"/>
        <v/>
      </c>
      <c r="P6" s="258" t="str">
        <f t="shared" si="1"/>
        <v/>
      </c>
      <c r="Q6" s="258" t="str">
        <f t="shared" si="1"/>
        <v/>
      </c>
      <c r="R6" s="258" t="str">
        <f t="shared" si="1"/>
        <v/>
      </c>
      <c r="S6" s="258" t="str">
        <f t="shared" si="1"/>
        <v/>
      </c>
      <c r="T6" s="258" t="str">
        <f t="shared" si="1"/>
        <v/>
      </c>
      <c r="U6" s="258" t="str">
        <f t="shared" si="1"/>
        <v/>
      </c>
      <c r="V6" s="258" t="str">
        <f t="shared" si="1"/>
        <v>CS End</v>
      </c>
      <c r="W6" s="258" t="str">
        <f t="shared" si="1"/>
        <v/>
      </c>
      <c r="X6" s="258" t="str">
        <f t="shared" si="1"/>
        <v>CO End</v>
      </c>
      <c r="Y6" s="828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247"/>
      <c r="AS6" s="211"/>
      <c r="AT6" s="211"/>
      <c r="AU6" s="211"/>
      <c r="BA6" s="212"/>
      <c r="BB6" s="212"/>
      <c r="BC6" s="212"/>
      <c r="BD6" s="212"/>
      <c r="BE6" s="212"/>
      <c r="BF6" s="212"/>
      <c r="BG6" s="213"/>
      <c r="BH6" s="213"/>
      <c r="BI6" s="213"/>
      <c r="CH6" s="214"/>
      <c r="CI6" s="214"/>
    </row>
    <row r="7" spans="1:87" s="210" customFormat="1" ht="20.25" customHeight="1">
      <c r="A7" s="261"/>
      <c r="B7" s="249" t="s">
        <v>486</v>
      </c>
      <c r="C7" s="258"/>
      <c r="D7" s="258"/>
      <c r="E7" s="258">
        <v>0</v>
      </c>
      <c r="F7" s="258">
        <f t="shared" ref="F7:X7" si="2">IF(OR($H$4&gt;F9,$K$4&lt;F9),0,E7+1)</f>
        <v>0</v>
      </c>
      <c r="G7" s="258">
        <f t="shared" si="2"/>
        <v>0</v>
      </c>
      <c r="H7" s="258">
        <f t="shared" si="2"/>
        <v>0</v>
      </c>
      <c r="I7" s="258">
        <f t="shared" si="2"/>
        <v>0</v>
      </c>
      <c r="J7" s="258">
        <f t="shared" si="2"/>
        <v>0</v>
      </c>
      <c r="K7" s="258">
        <f t="shared" si="2"/>
        <v>1</v>
      </c>
      <c r="L7" s="258">
        <f t="shared" si="2"/>
        <v>2</v>
      </c>
      <c r="M7" s="258">
        <f t="shared" si="2"/>
        <v>3</v>
      </c>
      <c r="N7" s="258">
        <f t="shared" si="2"/>
        <v>4</v>
      </c>
      <c r="O7" s="258">
        <f t="shared" si="2"/>
        <v>5</v>
      </c>
      <c r="P7" s="258">
        <f t="shared" si="2"/>
        <v>6</v>
      </c>
      <c r="Q7" s="258">
        <f t="shared" si="2"/>
        <v>7</v>
      </c>
      <c r="R7" s="258">
        <f t="shared" si="2"/>
        <v>8</v>
      </c>
      <c r="S7" s="258">
        <f t="shared" si="2"/>
        <v>9</v>
      </c>
      <c r="T7" s="258">
        <f t="shared" si="2"/>
        <v>10</v>
      </c>
      <c r="U7" s="258">
        <f t="shared" si="2"/>
        <v>11</v>
      </c>
      <c r="V7" s="258">
        <f t="shared" si="2"/>
        <v>12</v>
      </c>
      <c r="W7" s="258">
        <f t="shared" si="2"/>
        <v>0</v>
      </c>
      <c r="X7" s="258">
        <f t="shared" si="2"/>
        <v>0</v>
      </c>
      <c r="Y7" s="829">
        <v>1</v>
      </c>
      <c r="Z7" s="829">
        <v>2</v>
      </c>
      <c r="AA7" s="829">
        <v>3</v>
      </c>
      <c r="AB7" s="829">
        <v>4</v>
      </c>
      <c r="AC7" s="829">
        <v>1</v>
      </c>
      <c r="AD7" s="829">
        <v>2</v>
      </c>
      <c r="AE7" s="829">
        <v>3</v>
      </c>
      <c r="AF7" s="829">
        <v>4</v>
      </c>
      <c r="AG7" s="829">
        <v>1</v>
      </c>
      <c r="AH7" s="829">
        <v>2</v>
      </c>
      <c r="AI7" s="829">
        <v>3</v>
      </c>
      <c r="AJ7" s="829">
        <v>4</v>
      </c>
      <c r="AK7" s="829">
        <v>1</v>
      </c>
      <c r="AL7" s="829">
        <v>2</v>
      </c>
      <c r="AM7" s="829">
        <v>3</v>
      </c>
      <c r="AN7" s="829">
        <v>4</v>
      </c>
      <c r="AO7" s="829">
        <v>1</v>
      </c>
      <c r="AP7" s="829">
        <v>2</v>
      </c>
      <c r="AQ7" s="829">
        <v>3</v>
      </c>
      <c r="AR7" s="830">
        <v>4</v>
      </c>
      <c r="AS7" s="211"/>
      <c r="AT7" s="211"/>
      <c r="AU7" s="211"/>
      <c r="BA7" s="212"/>
      <c r="BB7" s="212"/>
      <c r="BC7" s="212"/>
      <c r="BD7" s="212"/>
      <c r="BE7" s="212"/>
      <c r="BF7" s="212"/>
      <c r="BG7" s="213"/>
      <c r="BH7" s="213"/>
      <c r="BI7" s="213"/>
      <c r="CH7" s="214"/>
      <c r="CI7" s="214"/>
    </row>
    <row r="8" spans="1:87" s="210" customFormat="1" ht="20.25" customHeight="1">
      <c r="A8" s="261"/>
      <c r="B8" s="249" t="s">
        <v>487</v>
      </c>
      <c r="C8" s="258"/>
      <c r="D8" s="258"/>
      <c r="E8" s="258">
        <v>0</v>
      </c>
      <c r="F8" s="258">
        <f>IF(OR(G6=$I$3,F6=$I$3,F5=$K$3),1,0)</f>
        <v>0</v>
      </c>
      <c r="G8" s="258">
        <f t="shared" ref="G8:W8" si="3">IF(OR(H6=$I$3,G6=$I$3,G5=$K$3),1,0)</f>
        <v>0</v>
      </c>
      <c r="H8" s="258">
        <f t="shared" si="3"/>
        <v>0</v>
      </c>
      <c r="I8" s="258">
        <f t="shared" si="3"/>
        <v>0</v>
      </c>
      <c r="J8" s="258">
        <f t="shared" si="3"/>
        <v>0</v>
      </c>
      <c r="K8" s="258">
        <f t="shared" si="3"/>
        <v>0</v>
      </c>
      <c r="L8" s="258">
        <f t="shared" si="3"/>
        <v>0</v>
      </c>
      <c r="M8" s="258">
        <f t="shared" si="3"/>
        <v>0</v>
      </c>
      <c r="N8" s="258">
        <f t="shared" si="3"/>
        <v>0</v>
      </c>
      <c r="O8" s="258">
        <f t="shared" si="3"/>
        <v>0</v>
      </c>
      <c r="P8" s="258">
        <f t="shared" si="3"/>
        <v>0</v>
      </c>
      <c r="Q8" s="258">
        <f t="shared" si="3"/>
        <v>0</v>
      </c>
      <c r="R8" s="258">
        <f t="shared" si="3"/>
        <v>0</v>
      </c>
      <c r="S8" s="258">
        <f t="shared" si="3"/>
        <v>0</v>
      </c>
      <c r="T8" s="258">
        <f t="shared" si="3"/>
        <v>0</v>
      </c>
      <c r="U8" s="258">
        <f t="shared" si="3"/>
        <v>1</v>
      </c>
      <c r="V8" s="258">
        <f t="shared" si="3"/>
        <v>1</v>
      </c>
      <c r="W8" s="258">
        <f t="shared" si="3"/>
        <v>1</v>
      </c>
      <c r="X8" s="258">
        <f>IF(OR(Y6=$I$3,X6=$I$3,X5=$K$3),1,0)</f>
        <v>0</v>
      </c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7"/>
      <c r="AS8" s="211"/>
      <c r="AT8" s="211"/>
      <c r="AU8" s="211"/>
      <c r="BA8" s="212"/>
      <c r="BB8" s="212"/>
      <c r="BC8" s="212"/>
      <c r="BD8" s="212"/>
      <c r="BE8" s="212"/>
      <c r="BF8" s="212"/>
      <c r="BG8" s="213"/>
      <c r="BH8" s="213"/>
      <c r="BI8" s="213"/>
      <c r="CH8" s="214"/>
      <c r="CI8" s="214"/>
    </row>
    <row r="9" spans="1:87" s="215" customFormat="1" ht="20.25" customHeight="1">
      <c r="A9" s="261"/>
      <c r="B9" s="250" t="s">
        <v>373</v>
      </c>
      <c r="C9" s="218" t="s">
        <v>488</v>
      </c>
      <c r="D9" s="218" t="s">
        <v>489</v>
      </c>
      <c r="E9" s="216">
        <f>E4-1</f>
        <v>48213</v>
      </c>
      <c r="F9" s="216">
        <f>EOMONTH(E9,3)</f>
        <v>48304</v>
      </c>
      <c r="G9" s="216">
        <f t="shared" ref="G9:V9" si="4">EOMONTH(F9,3)</f>
        <v>48395</v>
      </c>
      <c r="H9" s="216">
        <f t="shared" si="4"/>
        <v>48487</v>
      </c>
      <c r="I9" s="216">
        <f t="shared" si="4"/>
        <v>48579</v>
      </c>
      <c r="J9" s="216">
        <f t="shared" si="4"/>
        <v>48669</v>
      </c>
      <c r="K9" s="216">
        <f t="shared" si="4"/>
        <v>48760</v>
      </c>
      <c r="L9" s="216">
        <f t="shared" si="4"/>
        <v>48852</v>
      </c>
      <c r="M9" s="216">
        <f t="shared" si="4"/>
        <v>48944</v>
      </c>
      <c r="N9" s="216">
        <f t="shared" si="4"/>
        <v>49034</v>
      </c>
      <c r="O9" s="216">
        <f t="shared" si="4"/>
        <v>49125</v>
      </c>
      <c r="P9" s="216">
        <f t="shared" si="4"/>
        <v>49217</v>
      </c>
      <c r="Q9" s="216">
        <f t="shared" si="4"/>
        <v>49309</v>
      </c>
      <c r="R9" s="216">
        <f t="shared" si="4"/>
        <v>49399</v>
      </c>
      <c r="S9" s="216">
        <f t="shared" si="4"/>
        <v>49490</v>
      </c>
      <c r="T9" s="216">
        <f t="shared" si="4"/>
        <v>49582</v>
      </c>
      <c r="U9" s="216">
        <f t="shared" si="4"/>
        <v>49674</v>
      </c>
      <c r="V9" s="216">
        <f t="shared" si="4"/>
        <v>49765</v>
      </c>
      <c r="W9" s="216">
        <f>EOMONTH(V9,3)</f>
        <v>49856</v>
      </c>
      <c r="X9" s="216">
        <f>EOMONTH(W9,3)</f>
        <v>49948</v>
      </c>
      <c r="Y9" s="216">
        <f>EOMONTH(X9,3)</f>
        <v>50040</v>
      </c>
      <c r="Z9" s="216">
        <f t="shared" ref="Z9:AR9" si="5">EOMONTH(Y9,3)</f>
        <v>50130</v>
      </c>
      <c r="AA9" s="216">
        <f t="shared" si="5"/>
        <v>50221</v>
      </c>
      <c r="AB9" s="216">
        <f t="shared" si="5"/>
        <v>50313</v>
      </c>
      <c r="AC9" s="216">
        <f t="shared" si="5"/>
        <v>50405</v>
      </c>
      <c r="AD9" s="216">
        <f t="shared" si="5"/>
        <v>50495</v>
      </c>
      <c r="AE9" s="216">
        <f t="shared" si="5"/>
        <v>50586</v>
      </c>
      <c r="AF9" s="216">
        <f t="shared" si="5"/>
        <v>50678</v>
      </c>
      <c r="AG9" s="216">
        <f t="shared" si="5"/>
        <v>50770</v>
      </c>
      <c r="AH9" s="216">
        <f t="shared" si="5"/>
        <v>50860</v>
      </c>
      <c r="AI9" s="216">
        <f t="shared" si="5"/>
        <v>50951</v>
      </c>
      <c r="AJ9" s="216">
        <f t="shared" si="5"/>
        <v>51043</v>
      </c>
      <c r="AK9" s="216">
        <f t="shared" si="5"/>
        <v>51135</v>
      </c>
      <c r="AL9" s="216">
        <f t="shared" si="5"/>
        <v>51226</v>
      </c>
      <c r="AM9" s="216">
        <f t="shared" si="5"/>
        <v>51317</v>
      </c>
      <c r="AN9" s="216">
        <f t="shared" si="5"/>
        <v>51409</v>
      </c>
      <c r="AO9" s="216">
        <f t="shared" si="5"/>
        <v>51501</v>
      </c>
      <c r="AP9" s="216">
        <f t="shared" si="5"/>
        <v>51591</v>
      </c>
      <c r="AQ9" s="216">
        <f t="shared" si="5"/>
        <v>51682</v>
      </c>
      <c r="AR9" s="217">
        <f t="shared" si="5"/>
        <v>51774</v>
      </c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</row>
    <row r="10" spans="1:87" ht="20.25" customHeight="1">
      <c r="A10" s="207" t="s">
        <v>490</v>
      </c>
      <c r="B10" s="251"/>
      <c r="C10" s="220"/>
      <c r="D10" s="222"/>
      <c r="E10" s="271">
        <f>IF(E7&gt;0,NORMSDIST((E7-(($J$4)/6))/1.8),0)</f>
        <v>0</v>
      </c>
      <c r="F10" s="220">
        <f t="shared" ref="F10:X10" si="6">IF(F7&gt;0,NORMSDIST((F7-(($J$4)/6))/1.8),0)</f>
        <v>0</v>
      </c>
      <c r="G10" s="220">
        <f t="shared" si="6"/>
        <v>0</v>
      </c>
      <c r="H10" s="220">
        <f t="shared" si="6"/>
        <v>0</v>
      </c>
      <c r="I10" s="220">
        <f t="shared" si="6"/>
        <v>0</v>
      </c>
      <c r="J10" s="220">
        <f t="shared" si="6"/>
        <v>0</v>
      </c>
      <c r="K10" s="220">
        <f t="shared" si="6"/>
        <v>2.7366017862441431E-3</v>
      </c>
      <c r="L10" s="220">
        <f t="shared" si="6"/>
        <v>1.3134145691021117E-2</v>
      </c>
      <c r="M10" s="220">
        <f t="shared" si="6"/>
        <v>4.7790352272814703E-2</v>
      </c>
      <c r="N10" s="220">
        <f t="shared" si="6"/>
        <v>0.13326026290250542</v>
      </c>
      <c r="O10" s="220">
        <f t="shared" si="6"/>
        <v>0.28925736075397196</v>
      </c>
      <c r="P10" s="220">
        <f t="shared" si="6"/>
        <v>0.5</v>
      </c>
      <c r="Q10" s="220">
        <f t="shared" si="6"/>
        <v>0.7107426392460281</v>
      </c>
      <c r="R10" s="220">
        <f t="shared" si="6"/>
        <v>0.86673973709749452</v>
      </c>
      <c r="S10" s="220">
        <f t="shared" si="6"/>
        <v>0.9522096477271853</v>
      </c>
      <c r="T10" s="220">
        <f t="shared" si="6"/>
        <v>0.98686585430897888</v>
      </c>
      <c r="U10" s="220">
        <f t="shared" si="6"/>
        <v>0.99726339821375587</v>
      </c>
      <c r="V10" s="220">
        <f t="shared" si="6"/>
        <v>0.99957093966680322</v>
      </c>
      <c r="W10" s="220">
        <f t="shared" si="6"/>
        <v>0</v>
      </c>
      <c r="X10" s="220">
        <f t="shared" si="6"/>
        <v>0</v>
      </c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1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CH10" s="207"/>
      <c r="CI10" s="207"/>
    </row>
    <row r="11" spans="1:87" ht="20.25" customHeight="1">
      <c r="A11" s="207" t="s">
        <v>491</v>
      </c>
      <c r="B11" s="268">
        <f>SUM(E11:W11)</f>
        <v>0.99957093966680322</v>
      </c>
      <c r="C11" s="220">
        <f>SUM(E11:X11)</f>
        <v>0.99957093966680322</v>
      </c>
      <c r="D11" s="222"/>
      <c r="E11" s="271">
        <f>IF(E10-B10&lt;0,0,E10-B10)</f>
        <v>0</v>
      </c>
      <c r="F11" s="220">
        <f t="shared" ref="F11:X11" si="7">IF(F10-E10&lt;0,0,F10-E10)</f>
        <v>0</v>
      </c>
      <c r="G11" s="220">
        <f t="shared" si="7"/>
        <v>0</v>
      </c>
      <c r="H11" s="220">
        <f t="shared" si="7"/>
        <v>0</v>
      </c>
      <c r="I11" s="220">
        <f t="shared" si="7"/>
        <v>0</v>
      </c>
      <c r="J11" s="220">
        <f t="shared" si="7"/>
        <v>0</v>
      </c>
      <c r="K11" s="220">
        <f t="shared" si="7"/>
        <v>2.7366017862441431E-3</v>
      </c>
      <c r="L11" s="220">
        <f t="shared" si="7"/>
        <v>1.0397543904776974E-2</v>
      </c>
      <c r="M11" s="220">
        <f t="shared" si="7"/>
        <v>3.4656206581793587E-2</v>
      </c>
      <c r="N11" s="220">
        <f t="shared" si="7"/>
        <v>8.5469910629690726E-2</v>
      </c>
      <c r="O11" s="220">
        <f t="shared" si="7"/>
        <v>0.15599709785146654</v>
      </c>
      <c r="P11" s="220">
        <f t="shared" si="7"/>
        <v>0.21074263924602804</v>
      </c>
      <c r="Q11" s="220">
        <f t="shared" si="7"/>
        <v>0.2107426392460281</v>
      </c>
      <c r="R11" s="220">
        <f t="shared" si="7"/>
        <v>0.15599709785146643</v>
      </c>
      <c r="S11" s="220">
        <f t="shared" si="7"/>
        <v>8.5469910629690782E-2</v>
      </c>
      <c r="T11" s="220">
        <f t="shared" si="7"/>
        <v>3.465620658179358E-2</v>
      </c>
      <c r="U11" s="220">
        <f t="shared" si="7"/>
        <v>1.0397543904776985E-2</v>
      </c>
      <c r="V11" s="220">
        <f t="shared" si="7"/>
        <v>2.3075414530473459E-3</v>
      </c>
      <c r="W11" s="220">
        <f t="shared" si="7"/>
        <v>0</v>
      </c>
      <c r="X11" s="220">
        <f t="shared" si="7"/>
        <v>0</v>
      </c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1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CH11" s="207"/>
      <c r="CI11" s="207"/>
    </row>
    <row r="12" spans="1:87" ht="20.25" customHeight="1">
      <c r="A12" s="207" t="s">
        <v>492</v>
      </c>
      <c r="B12" s="268">
        <f>SUM(E12:W12)</f>
        <v>4.290603331967846E-4</v>
      </c>
      <c r="C12" s="220">
        <f>SUM(E12:X12)</f>
        <v>4.290603331967846E-4</v>
      </c>
      <c r="D12" s="487">
        <f>B12-C12</f>
        <v>0</v>
      </c>
      <c r="E12" s="269">
        <f t="shared" ref="E12:X12" si="8">IF(E6=$I$3,100%-E10,0)</f>
        <v>0</v>
      </c>
      <c r="F12" s="267">
        <f t="shared" si="8"/>
        <v>0</v>
      </c>
      <c r="G12" s="267">
        <f t="shared" si="8"/>
        <v>0</v>
      </c>
      <c r="H12" s="267">
        <f t="shared" si="8"/>
        <v>0</v>
      </c>
      <c r="I12" s="267">
        <f t="shared" si="8"/>
        <v>0</v>
      </c>
      <c r="J12" s="267">
        <f t="shared" si="8"/>
        <v>0</v>
      </c>
      <c r="K12" s="267">
        <f t="shared" si="8"/>
        <v>0</v>
      </c>
      <c r="L12" s="267">
        <f t="shared" si="8"/>
        <v>0</v>
      </c>
      <c r="M12" s="267">
        <f t="shared" si="8"/>
        <v>0</v>
      </c>
      <c r="N12" s="267">
        <f t="shared" si="8"/>
        <v>0</v>
      </c>
      <c r="O12" s="267">
        <f t="shared" si="8"/>
        <v>0</v>
      </c>
      <c r="P12" s="267">
        <f t="shared" si="8"/>
        <v>0</v>
      </c>
      <c r="Q12" s="267">
        <f t="shared" si="8"/>
        <v>0</v>
      </c>
      <c r="R12" s="267">
        <f t="shared" si="8"/>
        <v>0</v>
      </c>
      <c r="S12" s="267">
        <f t="shared" si="8"/>
        <v>0</v>
      </c>
      <c r="T12" s="267">
        <f t="shared" si="8"/>
        <v>0</v>
      </c>
      <c r="U12" s="267">
        <f t="shared" si="8"/>
        <v>0</v>
      </c>
      <c r="V12" s="267">
        <f t="shared" si="8"/>
        <v>4.290603331967846E-4</v>
      </c>
      <c r="W12" s="267">
        <f t="shared" si="8"/>
        <v>0</v>
      </c>
      <c r="X12" s="267">
        <f t="shared" si="8"/>
        <v>0</v>
      </c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1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CH12" s="207"/>
      <c r="CI12" s="207"/>
    </row>
    <row r="13" spans="1:87" ht="20.25" customHeight="1">
      <c r="A13" s="207" t="s">
        <v>491</v>
      </c>
      <c r="B13" s="251">
        <f>SUM(E13:W13)</f>
        <v>1</v>
      </c>
      <c r="C13" s="220">
        <f>SUM(E13:X13)</f>
        <v>1</v>
      </c>
      <c r="D13" s="222"/>
      <c r="E13" s="269">
        <f t="shared" ref="E13:X13" si="9">SUM(E11:E12)</f>
        <v>0</v>
      </c>
      <c r="F13" s="267">
        <f t="shared" si="9"/>
        <v>0</v>
      </c>
      <c r="G13" s="267">
        <f t="shared" si="9"/>
        <v>0</v>
      </c>
      <c r="H13" s="267">
        <f t="shared" si="9"/>
        <v>0</v>
      </c>
      <c r="I13" s="267">
        <f t="shared" si="9"/>
        <v>0</v>
      </c>
      <c r="J13" s="267">
        <f t="shared" si="9"/>
        <v>0</v>
      </c>
      <c r="K13" s="267">
        <f t="shared" si="9"/>
        <v>2.7366017862441431E-3</v>
      </c>
      <c r="L13" s="267">
        <f t="shared" si="9"/>
        <v>1.0397543904776974E-2</v>
      </c>
      <c r="M13" s="267">
        <f t="shared" si="9"/>
        <v>3.4656206581793587E-2</v>
      </c>
      <c r="N13" s="267">
        <f t="shared" si="9"/>
        <v>8.5469910629690726E-2</v>
      </c>
      <c r="O13" s="267">
        <f t="shared" si="9"/>
        <v>0.15599709785146654</v>
      </c>
      <c r="P13" s="267">
        <f t="shared" si="9"/>
        <v>0.21074263924602804</v>
      </c>
      <c r="Q13" s="267">
        <f t="shared" si="9"/>
        <v>0.2107426392460281</v>
      </c>
      <c r="R13" s="267">
        <f t="shared" si="9"/>
        <v>0.15599709785146643</v>
      </c>
      <c r="S13" s="267">
        <f t="shared" si="9"/>
        <v>8.5469910629690782E-2</v>
      </c>
      <c r="T13" s="267">
        <f t="shared" si="9"/>
        <v>3.465620658179358E-2</v>
      </c>
      <c r="U13" s="267">
        <f t="shared" si="9"/>
        <v>1.0397543904776985E-2</v>
      </c>
      <c r="V13" s="267">
        <f t="shared" si="9"/>
        <v>2.7366017862441305E-3</v>
      </c>
      <c r="W13" s="267">
        <f t="shared" si="9"/>
        <v>0</v>
      </c>
      <c r="X13" s="267">
        <f t="shared" si="9"/>
        <v>0</v>
      </c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1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CH13" s="207"/>
      <c r="CI13" s="207"/>
    </row>
    <row r="14" spans="1:87" s="488" customFormat="1" ht="20.25" customHeight="1">
      <c r="A14" s="1092" t="s">
        <v>387</v>
      </c>
      <c r="B14" s="764">
        <f t="shared" ref="B14:B31" si="10">SUM(E14:X14)</f>
        <v>84774466.000000015</v>
      </c>
      <c r="C14" s="1095">
        <f>'4-I Financial'!$B7</f>
        <v>84774466.000000015</v>
      </c>
      <c r="D14" s="1095">
        <f t="shared" ref="D14:D31" si="11">B14-C14</f>
        <v>0</v>
      </c>
      <c r="E14" s="1096">
        <v>0</v>
      </c>
      <c r="F14" s="1095">
        <f>$C$14*F13</f>
        <v>0</v>
      </c>
      <c r="G14" s="1095">
        <f t="shared" ref="G14:X14" si="12">$C$14*G13</f>
        <v>0</v>
      </c>
      <c r="H14" s="1095">
        <f t="shared" si="12"/>
        <v>0</v>
      </c>
      <c r="I14" s="1095">
        <f t="shared" si="12"/>
        <v>0</v>
      </c>
      <c r="J14" s="1095">
        <f t="shared" si="12"/>
        <v>0</v>
      </c>
      <c r="K14" s="1095">
        <f t="shared" si="12"/>
        <v>231993.95508349341</v>
      </c>
      <c r="L14" s="1095">
        <f t="shared" si="12"/>
        <v>881446.23223902297</v>
      </c>
      <c r="M14" s="1095">
        <f t="shared" si="12"/>
        <v>2937961.4065572373</v>
      </c>
      <c r="N14" s="1095">
        <f t="shared" si="12"/>
        <v>7245666.0326997563</v>
      </c>
      <c r="O14" s="1095">
        <f t="shared" si="12"/>
        <v>13224570.667907825</v>
      </c>
      <c r="P14" s="1095">
        <f t="shared" si="12"/>
        <v>17865594.705512673</v>
      </c>
      <c r="Q14" s="1095">
        <f t="shared" si="12"/>
        <v>17865594.705512676</v>
      </c>
      <c r="R14" s="1095">
        <f t="shared" si="12"/>
        <v>13224570.667907815</v>
      </c>
      <c r="S14" s="1095">
        <f t="shared" si="12"/>
        <v>7245666.032699761</v>
      </c>
      <c r="T14" s="1095">
        <f t="shared" si="12"/>
        <v>2937961.4065572368</v>
      </c>
      <c r="U14" s="1095">
        <f t="shared" si="12"/>
        <v>881446.2322390239</v>
      </c>
      <c r="V14" s="1095">
        <f t="shared" si="12"/>
        <v>231993.95508349236</v>
      </c>
      <c r="W14" s="1095">
        <f t="shared" si="12"/>
        <v>0</v>
      </c>
      <c r="X14" s="1095">
        <f t="shared" si="12"/>
        <v>0</v>
      </c>
      <c r="Y14" s="1095"/>
      <c r="Z14" s="1095"/>
      <c r="AA14" s="1095"/>
      <c r="AB14" s="1095"/>
      <c r="AC14" s="1095"/>
      <c r="AD14" s="1095"/>
      <c r="AE14" s="1095"/>
      <c r="AF14" s="1095"/>
      <c r="AG14" s="1095"/>
      <c r="AH14" s="1095"/>
      <c r="AI14" s="1095"/>
      <c r="AJ14" s="1095"/>
      <c r="AK14" s="1095"/>
      <c r="AL14" s="1095"/>
      <c r="AM14" s="1095"/>
      <c r="AN14" s="1095"/>
      <c r="AO14" s="1095"/>
      <c r="AP14" s="1095"/>
      <c r="AQ14" s="1095"/>
      <c r="AR14" s="764"/>
      <c r="AS14" s="1092"/>
      <c r="AT14" s="1092"/>
      <c r="AU14" s="1092"/>
      <c r="AV14" s="1093"/>
      <c r="AW14" s="1093"/>
      <c r="AX14" s="1093"/>
      <c r="AY14" s="1093"/>
      <c r="AZ14" s="1093"/>
      <c r="BA14" s="1093"/>
      <c r="BB14" s="1093"/>
      <c r="BC14" s="1093"/>
      <c r="BD14" s="1093"/>
      <c r="BE14" s="1093"/>
      <c r="BF14" s="1093"/>
      <c r="BG14" s="1093"/>
      <c r="BH14" s="1093"/>
      <c r="BI14" s="1093"/>
      <c r="BJ14" s="1093"/>
      <c r="BK14" s="1093"/>
      <c r="BL14" s="1093"/>
      <c r="BM14" s="1093"/>
      <c r="BN14" s="1093"/>
      <c r="BO14" s="1093"/>
      <c r="BP14" s="1093"/>
      <c r="BQ14" s="1093"/>
      <c r="BR14" s="1093"/>
      <c r="BS14" s="1093"/>
      <c r="BT14" s="1093"/>
      <c r="BU14" s="1093"/>
      <c r="BV14" s="1092"/>
      <c r="BW14" s="1092"/>
      <c r="BX14" s="1092"/>
      <c r="BY14" s="1092"/>
      <c r="BZ14" s="1092"/>
      <c r="CA14" s="1092"/>
      <c r="CB14" s="1092"/>
      <c r="CC14" s="1092"/>
      <c r="CD14" s="1092"/>
      <c r="CE14" s="1092"/>
      <c r="CF14" s="1092"/>
      <c r="CG14" s="1092"/>
      <c r="CH14" s="1092"/>
      <c r="CI14" s="1092"/>
    </row>
    <row r="15" spans="1:87" ht="20.25" customHeight="1">
      <c r="A15" s="207" t="s">
        <v>77</v>
      </c>
      <c r="B15" s="224">
        <f t="shared" si="10"/>
        <v>4238723.3</v>
      </c>
      <c r="C15" s="223">
        <f>'4-I Financial'!$B8</f>
        <v>4238723.3000000007</v>
      </c>
      <c r="D15" s="223">
        <f t="shared" si="11"/>
        <v>0</v>
      </c>
      <c r="E15" s="270">
        <v>0</v>
      </c>
      <c r="F15" s="223">
        <f>$C15*F$13</f>
        <v>0</v>
      </c>
      <c r="G15" s="223">
        <f t="shared" ref="G15:X15" si="13">$C15*G$13</f>
        <v>0</v>
      </c>
      <c r="H15" s="223">
        <f t="shared" si="13"/>
        <v>0</v>
      </c>
      <c r="I15" s="223">
        <f t="shared" si="13"/>
        <v>0</v>
      </c>
      <c r="J15" s="223">
        <f t="shared" si="13"/>
        <v>0</v>
      </c>
      <c r="K15" s="223">
        <f t="shared" si="13"/>
        <v>11599.697754174671</v>
      </c>
      <c r="L15" s="223">
        <f t="shared" si="13"/>
        <v>44072.311611951147</v>
      </c>
      <c r="M15" s="223">
        <f t="shared" si="13"/>
        <v>146898.07032786187</v>
      </c>
      <c r="N15" s="223">
        <f t="shared" si="13"/>
        <v>362283.30163498782</v>
      </c>
      <c r="O15" s="223">
        <f t="shared" si="13"/>
        <v>661228.53339539131</v>
      </c>
      <c r="P15" s="223">
        <f t="shared" si="13"/>
        <v>893279.73527563363</v>
      </c>
      <c r="Q15" s="223">
        <f t="shared" si="13"/>
        <v>893279.73527563387</v>
      </c>
      <c r="R15" s="223">
        <f t="shared" si="13"/>
        <v>661228.53339539084</v>
      </c>
      <c r="S15" s="223">
        <f t="shared" si="13"/>
        <v>362283.30163498805</v>
      </c>
      <c r="T15" s="223">
        <f t="shared" si="13"/>
        <v>146898.07032786185</v>
      </c>
      <c r="U15" s="223">
        <f t="shared" si="13"/>
        <v>44072.311611951191</v>
      </c>
      <c r="V15" s="223">
        <f t="shared" si="13"/>
        <v>11599.697754174618</v>
      </c>
      <c r="W15" s="223">
        <f t="shared" si="13"/>
        <v>0</v>
      </c>
      <c r="X15" s="223">
        <f t="shared" si="13"/>
        <v>0</v>
      </c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4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CH15" s="207"/>
      <c r="CI15" s="207"/>
    </row>
    <row r="16" spans="1:87" ht="20.25" customHeight="1">
      <c r="A16" s="207" t="s">
        <v>389</v>
      </c>
      <c r="B16" s="224">
        <f t="shared" si="10"/>
        <v>0</v>
      </c>
      <c r="C16" s="223">
        <f>'4-I Financial'!$B9</f>
        <v>0</v>
      </c>
      <c r="D16" s="223">
        <f t="shared" si="11"/>
        <v>0</v>
      </c>
      <c r="E16" s="270">
        <v>0</v>
      </c>
      <c r="F16" s="223">
        <f>IF(AND(F$9&gt;$E$4,F$9&lt;$H$4),$C16/(($G$4)/3),0)</f>
        <v>0</v>
      </c>
      <c r="G16" s="223">
        <f t="shared" ref="G16:X16" si="14">IF(AND(G$9&gt;$E$4,G$9&lt;$H$4),$C16/(($G$4)/3),0)</f>
        <v>0</v>
      </c>
      <c r="H16" s="223">
        <f t="shared" si="14"/>
        <v>0</v>
      </c>
      <c r="I16" s="223">
        <f t="shared" si="14"/>
        <v>0</v>
      </c>
      <c r="J16" s="223">
        <f t="shared" si="14"/>
        <v>0</v>
      </c>
      <c r="K16" s="223">
        <f t="shared" si="14"/>
        <v>0</v>
      </c>
      <c r="L16" s="223">
        <f t="shared" si="14"/>
        <v>0</v>
      </c>
      <c r="M16" s="223">
        <f t="shared" si="14"/>
        <v>0</v>
      </c>
      <c r="N16" s="223">
        <f t="shared" si="14"/>
        <v>0</v>
      </c>
      <c r="O16" s="223">
        <f t="shared" si="14"/>
        <v>0</v>
      </c>
      <c r="P16" s="223">
        <f t="shared" si="14"/>
        <v>0</v>
      </c>
      <c r="Q16" s="223">
        <f t="shared" si="14"/>
        <v>0</v>
      </c>
      <c r="R16" s="223">
        <f t="shared" si="14"/>
        <v>0</v>
      </c>
      <c r="S16" s="223">
        <f t="shared" si="14"/>
        <v>0</v>
      </c>
      <c r="T16" s="223">
        <f t="shared" si="14"/>
        <v>0</v>
      </c>
      <c r="U16" s="223">
        <f t="shared" si="14"/>
        <v>0</v>
      </c>
      <c r="V16" s="223">
        <f t="shared" si="14"/>
        <v>0</v>
      </c>
      <c r="W16" s="223">
        <f t="shared" si="14"/>
        <v>0</v>
      </c>
      <c r="X16" s="223">
        <f t="shared" si="14"/>
        <v>0</v>
      </c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4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CH16" s="207"/>
      <c r="CI16" s="207"/>
    </row>
    <row r="17" spans="1:87" ht="20.25" customHeight="1">
      <c r="A17" s="207" t="s">
        <v>391</v>
      </c>
      <c r="B17" s="224">
        <f t="shared" si="10"/>
        <v>1617818.4</v>
      </c>
      <c r="C17" s="223">
        <f>'4-I Financial'!$B10</f>
        <v>1617818.4</v>
      </c>
      <c r="D17" s="223">
        <f t="shared" si="11"/>
        <v>0</v>
      </c>
      <c r="E17" s="270">
        <v>0</v>
      </c>
      <c r="F17" s="223">
        <f>IF(F6=$F$3,$C$17,0)</f>
        <v>0</v>
      </c>
      <c r="G17" s="223">
        <f t="shared" ref="G17:X17" si="15">IF(G6=$F$3,$C$17,0)</f>
        <v>0</v>
      </c>
      <c r="H17" s="223">
        <f t="shared" si="15"/>
        <v>0</v>
      </c>
      <c r="I17" s="223">
        <f t="shared" si="15"/>
        <v>0</v>
      </c>
      <c r="J17" s="223">
        <f t="shared" si="15"/>
        <v>1617818.4</v>
      </c>
      <c r="K17" s="223">
        <f t="shared" si="15"/>
        <v>0</v>
      </c>
      <c r="L17" s="223">
        <f t="shared" si="15"/>
        <v>0</v>
      </c>
      <c r="M17" s="223">
        <f t="shared" si="15"/>
        <v>0</v>
      </c>
      <c r="N17" s="223">
        <f t="shared" si="15"/>
        <v>0</v>
      </c>
      <c r="O17" s="223">
        <f t="shared" si="15"/>
        <v>0</v>
      </c>
      <c r="P17" s="223">
        <f t="shared" si="15"/>
        <v>0</v>
      </c>
      <c r="Q17" s="223">
        <f t="shared" si="15"/>
        <v>0</v>
      </c>
      <c r="R17" s="223">
        <f t="shared" si="15"/>
        <v>0</v>
      </c>
      <c r="S17" s="223">
        <f t="shared" si="15"/>
        <v>0</v>
      </c>
      <c r="T17" s="223">
        <f t="shared" si="15"/>
        <v>0</v>
      </c>
      <c r="U17" s="223">
        <f t="shared" si="15"/>
        <v>0</v>
      </c>
      <c r="V17" s="223">
        <f t="shared" si="15"/>
        <v>0</v>
      </c>
      <c r="W17" s="223">
        <f t="shared" si="15"/>
        <v>0</v>
      </c>
      <c r="X17" s="223">
        <f t="shared" si="15"/>
        <v>0</v>
      </c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4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CH17" s="207"/>
      <c r="CI17" s="207"/>
    </row>
    <row r="18" spans="1:87" ht="20.25" customHeight="1">
      <c r="A18" s="207" t="s">
        <v>393</v>
      </c>
      <c r="B18" s="224">
        <f t="shared" si="10"/>
        <v>4146666.6666666665</v>
      </c>
      <c r="C18" s="223">
        <f>'4-I Financial'!$B11</f>
        <v>4146666.666666667</v>
      </c>
      <c r="D18" s="223">
        <f t="shared" si="11"/>
        <v>0</v>
      </c>
      <c r="E18" s="270">
        <v>0</v>
      </c>
      <c r="F18" s="223">
        <f>$C18*F$13</f>
        <v>0</v>
      </c>
      <c r="G18" s="223">
        <f t="shared" ref="G18:X19" si="16">$C18*G$13</f>
        <v>0</v>
      </c>
      <c r="H18" s="223">
        <f t="shared" si="16"/>
        <v>0</v>
      </c>
      <c r="I18" s="223">
        <f t="shared" si="16"/>
        <v>0</v>
      </c>
      <c r="J18" s="223">
        <f t="shared" si="16"/>
        <v>0</v>
      </c>
      <c r="K18" s="223">
        <f t="shared" si="16"/>
        <v>11347.775406959048</v>
      </c>
      <c r="L18" s="223">
        <f t="shared" si="16"/>
        <v>43115.148725141858</v>
      </c>
      <c r="M18" s="223">
        <f t="shared" si="16"/>
        <v>143707.73662583742</v>
      </c>
      <c r="N18" s="223">
        <f t="shared" si="16"/>
        <v>354415.22941111756</v>
      </c>
      <c r="O18" s="223">
        <f t="shared" si="16"/>
        <v>646867.96575741458</v>
      </c>
      <c r="P18" s="223">
        <f t="shared" si="16"/>
        <v>873879.47740686301</v>
      </c>
      <c r="Q18" s="223">
        <f t="shared" si="16"/>
        <v>873879.47740686324</v>
      </c>
      <c r="R18" s="223">
        <f t="shared" si="16"/>
        <v>646867.96575741412</v>
      </c>
      <c r="S18" s="223">
        <f t="shared" si="16"/>
        <v>354415.22941111779</v>
      </c>
      <c r="T18" s="223">
        <f t="shared" si="16"/>
        <v>143707.73662583739</v>
      </c>
      <c r="U18" s="223">
        <f t="shared" si="16"/>
        <v>43115.148725141902</v>
      </c>
      <c r="V18" s="223">
        <f t="shared" si="16"/>
        <v>11347.775406958996</v>
      </c>
      <c r="W18" s="223">
        <f t="shared" si="16"/>
        <v>0</v>
      </c>
      <c r="X18" s="223">
        <f t="shared" si="16"/>
        <v>0</v>
      </c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4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CH18" s="207"/>
      <c r="CI18" s="207"/>
    </row>
    <row r="19" spans="1:87" ht="20.25" customHeight="1">
      <c r="A19" s="207" t="s">
        <v>79</v>
      </c>
      <c r="B19" s="224">
        <f t="shared" si="10"/>
        <v>1695489.3200000005</v>
      </c>
      <c r="C19" s="223">
        <f>'4-I Financial'!$B12</f>
        <v>1695489.3200000003</v>
      </c>
      <c r="D19" s="223">
        <f t="shared" si="11"/>
        <v>0</v>
      </c>
      <c r="E19" s="270">
        <v>0</v>
      </c>
      <c r="F19" s="223">
        <f>$C19*F$13</f>
        <v>0</v>
      </c>
      <c r="G19" s="223">
        <f t="shared" si="16"/>
        <v>0</v>
      </c>
      <c r="H19" s="223">
        <f t="shared" si="16"/>
        <v>0</v>
      </c>
      <c r="I19" s="223">
        <f t="shared" si="16"/>
        <v>0</v>
      </c>
      <c r="J19" s="223">
        <f t="shared" si="16"/>
        <v>0</v>
      </c>
      <c r="K19" s="223">
        <f t="shared" si="16"/>
        <v>4639.8791016698688</v>
      </c>
      <c r="L19" s="223">
        <f t="shared" si="16"/>
        <v>17628.924644780462</v>
      </c>
      <c r="M19" s="223">
        <f t="shared" si="16"/>
        <v>58759.228131144744</v>
      </c>
      <c r="N19" s="223">
        <f t="shared" si="16"/>
        <v>144913.32065399512</v>
      </c>
      <c r="O19" s="223">
        <f t="shared" si="16"/>
        <v>264491.41335815651</v>
      </c>
      <c r="P19" s="223">
        <f t="shared" si="16"/>
        <v>357311.89411025343</v>
      </c>
      <c r="Q19" s="223">
        <f t="shared" si="16"/>
        <v>357311.89411025355</v>
      </c>
      <c r="R19" s="223">
        <f t="shared" si="16"/>
        <v>264491.41335815634</v>
      </c>
      <c r="S19" s="223">
        <f t="shared" si="16"/>
        <v>144913.32065399521</v>
      </c>
      <c r="T19" s="223">
        <f t="shared" si="16"/>
        <v>58759.22813114473</v>
      </c>
      <c r="U19" s="223">
        <f t="shared" si="16"/>
        <v>17628.924644780476</v>
      </c>
      <c r="V19" s="223">
        <f t="shared" si="16"/>
        <v>4639.8791016698469</v>
      </c>
      <c r="W19" s="223">
        <f t="shared" si="16"/>
        <v>0</v>
      </c>
      <c r="X19" s="223">
        <f t="shared" si="16"/>
        <v>0</v>
      </c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4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CH19" s="207"/>
      <c r="CI19" s="207"/>
    </row>
    <row r="20" spans="1:87" ht="20.25" customHeight="1">
      <c r="A20" s="207" t="s">
        <v>83</v>
      </c>
      <c r="B20" s="224">
        <f t="shared" si="10"/>
        <v>1271616.9900000002</v>
      </c>
      <c r="C20" s="223">
        <f>'4-I Financial'!$B13</f>
        <v>1271616.9900000002</v>
      </c>
      <c r="D20" s="223">
        <f t="shared" si="11"/>
        <v>0</v>
      </c>
      <c r="E20" s="270">
        <v>0</v>
      </c>
      <c r="F20" s="223">
        <f>IF(AND(F9&gt;$E$4,F9&lt;$H$4), (($C20)*60%/(($G$4)/3)),IF(OR(F7=1,F7=2,F7=3,F7=4,F7=5,F7=6),(($C20)*40%/6),0))</f>
        <v>152594.03880000004</v>
      </c>
      <c r="G20" s="223">
        <f t="shared" ref="G20:X20" si="17">IF(AND(G9&gt;$E$4,G9&lt;$H$4), (($C20)*60%/(($G$4)/3)),IF(OR(G7=1,G7=2,G7=3,G7=4,G7=5,G7=6),(($C20)*40%/6),0))</f>
        <v>152594.03880000004</v>
      </c>
      <c r="H20" s="223">
        <f t="shared" si="17"/>
        <v>152594.03880000004</v>
      </c>
      <c r="I20" s="223">
        <f t="shared" si="17"/>
        <v>152594.03880000004</v>
      </c>
      <c r="J20" s="223">
        <f t="shared" si="17"/>
        <v>152594.03880000004</v>
      </c>
      <c r="K20" s="223">
        <f t="shared" si="17"/>
        <v>84774.466000000015</v>
      </c>
      <c r="L20" s="223">
        <f t="shared" si="17"/>
        <v>84774.466000000015</v>
      </c>
      <c r="M20" s="223">
        <f t="shared" si="17"/>
        <v>84774.466000000015</v>
      </c>
      <c r="N20" s="223">
        <f t="shared" si="17"/>
        <v>84774.466000000015</v>
      </c>
      <c r="O20" s="223">
        <f t="shared" si="17"/>
        <v>84774.466000000015</v>
      </c>
      <c r="P20" s="223">
        <f t="shared" si="17"/>
        <v>84774.466000000015</v>
      </c>
      <c r="Q20" s="223">
        <f t="shared" si="17"/>
        <v>0</v>
      </c>
      <c r="R20" s="223">
        <f t="shared" si="17"/>
        <v>0</v>
      </c>
      <c r="S20" s="223">
        <f t="shared" si="17"/>
        <v>0</v>
      </c>
      <c r="T20" s="223">
        <f t="shared" si="17"/>
        <v>0</v>
      </c>
      <c r="U20" s="223">
        <f t="shared" si="17"/>
        <v>0</v>
      </c>
      <c r="V20" s="223">
        <f t="shared" si="17"/>
        <v>0</v>
      </c>
      <c r="W20" s="223">
        <f t="shared" si="17"/>
        <v>0</v>
      </c>
      <c r="X20" s="223">
        <f t="shared" si="17"/>
        <v>0</v>
      </c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4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CH20" s="207"/>
      <c r="CI20" s="207"/>
    </row>
    <row r="21" spans="1:87" ht="20.25" customHeight="1">
      <c r="A21" s="207" t="s">
        <v>84</v>
      </c>
      <c r="B21" s="224">
        <f t="shared" si="10"/>
        <v>40445.46</v>
      </c>
      <c r="C21" s="223">
        <f>'4-I Financial'!$B14</f>
        <v>40445.46</v>
      </c>
      <c r="D21" s="223">
        <f t="shared" si="11"/>
        <v>0</v>
      </c>
      <c r="E21" s="270">
        <v>0</v>
      </c>
      <c r="F21" s="223">
        <f>IF(F17=0,0,$C$21)</f>
        <v>0</v>
      </c>
      <c r="G21" s="223">
        <f t="shared" ref="G21:X21" si="18">IF(G17=0,0,$C$21)</f>
        <v>0</v>
      </c>
      <c r="H21" s="223">
        <f t="shared" si="18"/>
        <v>0</v>
      </c>
      <c r="I21" s="223">
        <f t="shared" si="18"/>
        <v>0</v>
      </c>
      <c r="J21" s="223">
        <f t="shared" si="18"/>
        <v>40445.46</v>
      </c>
      <c r="K21" s="223">
        <f t="shared" si="18"/>
        <v>0</v>
      </c>
      <c r="L21" s="223">
        <f t="shared" si="18"/>
        <v>0</v>
      </c>
      <c r="M21" s="223">
        <f t="shared" si="18"/>
        <v>0</v>
      </c>
      <c r="N21" s="223">
        <f t="shared" si="18"/>
        <v>0</v>
      </c>
      <c r="O21" s="223">
        <f t="shared" si="18"/>
        <v>0</v>
      </c>
      <c r="P21" s="223">
        <f t="shared" si="18"/>
        <v>0</v>
      </c>
      <c r="Q21" s="223">
        <f t="shared" si="18"/>
        <v>0</v>
      </c>
      <c r="R21" s="223">
        <f t="shared" si="18"/>
        <v>0</v>
      </c>
      <c r="S21" s="223">
        <f t="shared" si="18"/>
        <v>0</v>
      </c>
      <c r="T21" s="223">
        <f t="shared" si="18"/>
        <v>0</v>
      </c>
      <c r="U21" s="223">
        <f t="shared" si="18"/>
        <v>0</v>
      </c>
      <c r="V21" s="223">
        <f t="shared" si="18"/>
        <v>0</v>
      </c>
      <c r="W21" s="223">
        <f t="shared" si="18"/>
        <v>0</v>
      </c>
      <c r="X21" s="223">
        <f t="shared" si="18"/>
        <v>0</v>
      </c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4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CH21" s="207"/>
      <c r="CI21" s="207"/>
    </row>
    <row r="22" spans="1:87" ht="20.25" customHeight="1">
      <c r="A22" s="207" t="s">
        <v>85</v>
      </c>
      <c r="B22" s="224">
        <f t="shared" si="10"/>
        <v>1695489.3200000008</v>
      </c>
      <c r="C22" s="223">
        <f>'4-I Financial'!$B15</f>
        <v>1695489.3200000003</v>
      </c>
      <c r="D22" s="223">
        <f t="shared" si="11"/>
        <v>0</v>
      </c>
      <c r="E22" s="270">
        <v>0</v>
      </c>
      <c r="F22" s="223">
        <f>IF(AND(F9&gt;$E$4,F9&lt;$H$4), (($C22)*60%/(($G$4)/3)),IF(OR(F7=1,F7=2,F7=3,F7=4,F7=5,F7=6),(($C22)*40%/6),0))</f>
        <v>203458.71840000004</v>
      </c>
      <c r="G22" s="223">
        <f t="shared" ref="G22:X22" si="19">IF(AND(G9&gt;$E$4,G9&lt;$H$4), (($C22)*60%/(($G$4)/3)),IF(OR(G7=1,G7=2,G7=3,G7=4,G7=5,G7=6),(($C22)*40%/6),0))</f>
        <v>203458.71840000004</v>
      </c>
      <c r="H22" s="223">
        <f t="shared" si="19"/>
        <v>203458.71840000004</v>
      </c>
      <c r="I22" s="223">
        <f t="shared" si="19"/>
        <v>203458.71840000004</v>
      </c>
      <c r="J22" s="223">
        <f t="shared" si="19"/>
        <v>203458.71840000004</v>
      </c>
      <c r="K22" s="223">
        <f t="shared" si="19"/>
        <v>113032.62133333336</v>
      </c>
      <c r="L22" s="223">
        <f t="shared" si="19"/>
        <v>113032.62133333336</v>
      </c>
      <c r="M22" s="223">
        <f t="shared" si="19"/>
        <v>113032.62133333336</v>
      </c>
      <c r="N22" s="223">
        <f t="shared" si="19"/>
        <v>113032.62133333336</v>
      </c>
      <c r="O22" s="223">
        <f t="shared" si="19"/>
        <v>113032.62133333336</v>
      </c>
      <c r="P22" s="223">
        <f t="shared" si="19"/>
        <v>113032.62133333336</v>
      </c>
      <c r="Q22" s="223">
        <f t="shared" si="19"/>
        <v>0</v>
      </c>
      <c r="R22" s="223">
        <f t="shared" si="19"/>
        <v>0</v>
      </c>
      <c r="S22" s="223">
        <f t="shared" si="19"/>
        <v>0</v>
      </c>
      <c r="T22" s="223">
        <f t="shared" si="19"/>
        <v>0</v>
      </c>
      <c r="U22" s="223">
        <f t="shared" si="19"/>
        <v>0</v>
      </c>
      <c r="V22" s="223">
        <f t="shared" si="19"/>
        <v>0</v>
      </c>
      <c r="W22" s="223">
        <f t="shared" si="19"/>
        <v>0</v>
      </c>
      <c r="X22" s="223">
        <f t="shared" si="19"/>
        <v>0</v>
      </c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4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CH22" s="207"/>
      <c r="CI22" s="207"/>
    </row>
    <row r="23" spans="1:87" ht="20.25" customHeight="1">
      <c r="A23" s="207" t="s">
        <v>86</v>
      </c>
      <c r="B23" s="224">
        <f t="shared" si="10"/>
        <v>2967106.3100000019</v>
      </c>
      <c r="C23" s="223">
        <f>'4-I Financial'!$B16</f>
        <v>2967106.310000001</v>
      </c>
      <c r="D23" s="223">
        <f t="shared" si="11"/>
        <v>0</v>
      </c>
      <c r="E23" s="270">
        <v>0</v>
      </c>
      <c r="F23" s="223">
        <f>IF(AND(F$9&gt;$F$4,F9&lt;$K$4),$C23/(($J$4)/3),0)</f>
        <v>0</v>
      </c>
      <c r="G23" s="223">
        <f t="shared" ref="G23:X23" si="20">IF(AND(G$9&gt;$F$4,G9&lt;$K$4),$C23/(($J$4)/3),0)</f>
        <v>0</v>
      </c>
      <c r="H23" s="223">
        <f t="shared" si="20"/>
        <v>0</v>
      </c>
      <c r="I23" s="223">
        <f t="shared" si="20"/>
        <v>0</v>
      </c>
      <c r="J23" s="223">
        <f t="shared" si="20"/>
        <v>0</v>
      </c>
      <c r="K23" s="223">
        <f t="shared" si="20"/>
        <v>247258.85916666675</v>
      </c>
      <c r="L23" s="223">
        <f t="shared" si="20"/>
        <v>247258.85916666675</v>
      </c>
      <c r="M23" s="223">
        <f t="shared" si="20"/>
        <v>247258.85916666675</v>
      </c>
      <c r="N23" s="223">
        <f t="shared" si="20"/>
        <v>247258.85916666675</v>
      </c>
      <c r="O23" s="223">
        <f t="shared" si="20"/>
        <v>247258.85916666675</v>
      </c>
      <c r="P23" s="223">
        <f t="shared" si="20"/>
        <v>247258.85916666675</v>
      </c>
      <c r="Q23" s="223">
        <f t="shared" si="20"/>
        <v>247258.85916666675</v>
      </c>
      <c r="R23" s="223">
        <f t="shared" si="20"/>
        <v>247258.85916666675</v>
      </c>
      <c r="S23" s="223">
        <f t="shared" si="20"/>
        <v>247258.85916666675</v>
      </c>
      <c r="T23" s="223">
        <f t="shared" si="20"/>
        <v>247258.85916666675</v>
      </c>
      <c r="U23" s="223">
        <f t="shared" si="20"/>
        <v>247258.85916666675</v>
      </c>
      <c r="V23" s="223">
        <f t="shared" si="20"/>
        <v>247258.85916666675</v>
      </c>
      <c r="W23" s="223">
        <f t="shared" si="20"/>
        <v>0</v>
      </c>
      <c r="X23" s="223">
        <f t="shared" si="20"/>
        <v>0</v>
      </c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4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CH23" s="207"/>
      <c r="CI23" s="207"/>
    </row>
    <row r="24" spans="1:87" ht="20.25" customHeight="1">
      <c r="A24" s="207" t="s">
        <v>88</v>
      </c>
      <c r="B24" s="224">
        <f t="shared" si="10"/>
        <v>1695489.32</v>
      </c>
      <c r="C24" s="223">
        <f>'4-I Financial'!$B17</f>
        <v>1695489.3200000003</v>
      </c>
      <c r="D24" s="223">
        <f t="shared" si="11"/>
        <v>0</v>
      </c>
      <c r="E24" s="270">
        <v>0</v>
      </c>
      <c r="F24" s="223">
        <f>IF(AND(F$9&gt;$F$4,F$9&lt;$K$4),$C24/(($J$4)/3),0)</f>
        <v>0</v>
      </c>
      <c r="G24" s="223">
        <f t="shared" ref="G24:X24" si="21">IF(AND(G$9&gt;$F$4,G$9&lt;$K$4),$C24/(($J$4)/3),0)</f>
        <v>0</v>
      </c>
      <c r="H24" s="223">
        <f t="shared" si="21"/>
        <v>0</v>
      </c>
      <c r="I24" s="223">
        <f t="shared" si="21"/>
        <v>0</v>
      </c>
      <c r="J24" s="223">
        <f t="shared" si="21"/>
        <v>0</v>
      </c>
      <c r="K24" s="223">
        <f t="shared" si="21"/>
        <v>141290.7766666667</v>
      </c>
      <c r="L24" s="223">
        <f t="shared" si="21"/>
        <v>141290.7766666667</v>
      </c>
      <c r="M24" s="223">
        <f t="shared" si="21"/>
        <v>141290.7766666667</v>
      </c>
      <c r="N24" s="223">
        <f t="shared" si="21"/>
        <v>141290.7766666667</v>
      </c>
      <c r="O24" s="223">
        <f t="shared" si="21"/>
        <v>141290.7766666667</v>
      </c>
      <c r="P24" s="223">
        <f t="shared" si="21"/>
        <v>141290.7766666667</v>
      </c>
      <c r="Q24" s="223">
        <f t="shared" si="21"/>
        <v>141290.7766666667</v>
      </c>
      <c r="R24" s="223">
        <f t="shared" si="21"/>
        <v>141290.7766666667</v>
      </c>
      <c r="S24" s="223">
        <f t="shared" si="21"/>
        <v>141290.7766666667</v>
      </c>
      <c r="T24" s="223">
        <f t="shared" si="21"/>
        <v>141290.7766666667</v>
      </c>
      <c r="U24" s="223">
        <f t="shared" si="21"/>
        <v>141290.7766666667</v>
      </c>
      <c r="V24" s="223">
        <f t="shared" si="21"/>
        <v>141290.7766666667</v>
      </c>
      <c r="W24" s="223">
        <f t="shared" si="21"/>
        <v>0</v>
      </c>
      <c r="X24" s="223">
        <f t="shared" si="21"/>
        <v>0</v>
      </c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4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CH24" s="207"/>
      <c r="CI24" s="207"/>
    </row>
    <row r="25" spans="1:87" ht="20.25" customHeight="1">
      <c r="A25" s="207" t="s">
        <v>93</v>
      </c>
      <c r="B25" s="224">
        <f t="shared" si="10"/>
        <v>4238723.3</v>
      </c>
      <c r="C25" s="223">
        <f>'4-I Financial'!$B18</f>
        <v>4238723.3000000007</v>
      </c>
      <c r="D25" s="223">
        <f t="shared" si="11"/>
        <v>0</v>
      </c>
      <c r="E25" s="270">
        <v>0</v>
      </c>
      <c r="F25" s="223">
        <f>$C25*F$13</f>
        <v>0</v>
      </c>
      <c r="G25" s="223">
        <f t="shared" ref="G25:X25" si="22">$C25*G$13</f>
        <v>0</v>
      </c>
      <c r="H25" s="223">
        <f t="shared" si="22"/>
        <v>0</v>
      </c>
      <c r="I25" s="223">
        <f t="shared" si="22"/>
        <v>0</v>
      </c>
      <c r="J25" s="223">
        <f t="shared" si="22"/>
        <v>0</v>
      </c>
      <c r="K25" s="223">
        <f t="shared" si="22"/>
        <v>11599.697754174671</v>
      </c>
      <c r="L25" s="223">
        <f t="shared" si="22"/>
        <v>44072.311611951147</v>
      </c>
      <c r="M25" s="223">
        <f t="shared" si="22"/>
        <v>146898.07032786187</v>
      </c>
      <c r="N25" s="223">
        <f t="shared" si="22"/>
        <v>362283.30163498782</v>
      </c>
      <c r="O25" s="223">
        <f t="shared" si="22"/>
        <v>661228.53339539131</v>
      </c>
      <c r="P25" s="223">
        <f t="shared" si="22"/>
        <v>893279.73527563363</v>
      </c>
      <c r="Q25" s="223">
        <f t="shared" si="22"/>
        <v>893279.73527563387</v>
      </c>
      <c r="R25" s="223">
        <f t="shared" si="22"/>
        <v>661228.53339539084</v>
      </c>
      <c r="S25" s="223">
        <f t="shared" si="22"/>
        <v>362283.30163498805</v>
      </c>
      <c r="T25" s="223">
        <f t="shared" si="22"/>
        <v>146898.07032786185</v>
      </c>
      <c r="U25" s="223">
        <f t="shared" si="22"/>
        <v>44072.311611951191</v>
      </c>
      <c r="V25" s="223">
        <f t="shared" si="22"/>
        <v>11599.697754174618</v>
      </c>
      <c r="W25" s="223">
        <f t="shared" si="22"/>
        <v>0</v>
      </c>
      <c r="X25" s="223">
        <f t="shared" si="22"/>
        <v>0</v>
      </c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4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CH25" s="207"/>
      <c r="CI25" s="207"/>
    </row>
    <row r="26" spans="1:87" ht="20.25" customHeight="1">
      <c r="A26" s="207" t="s">
        <v>97</v>
      </c>
      <c r="B26" s="224">
        <f t="shared" si="10"/>
        <v>1271616.9900000002</v>
      </c>
      <c r="C26" s="223">
        <f>'4-I Financial'!$B19</f>
        <v>1271616.9900000002</v>
      </c>
      <c r="D26" s="223">
        <f t="shared" si="11"/>
        <v>0</v>
      </c>
      <c r="E26" s="270">
        <v>0</v>
      </c>
      <c r="F26" s="273">
        <f>IF(AND(F9&gt;$E$4,F9&lt;$H$4),(($C26)*20%/(($G$4)/3)),IF((F7=1),(($C26)*80%),0))</f>
        <v>50864.67960000001</v>
      </c>
      <c r="G26" s="273">
        <f t="shared" ref="G26:X26" si="23">IF(AND(G9&gt;$E$4,G9&lt;$H$4),(($C26)*20%/(($G$4)/3)),IF((G7=1),(($C26)*80%),0))</f>
        <v>50864.67960000001</v>
      </c>
      <c r="H26" s="273">
        <f t="shared" si="23"/>
        <v>50864.67960000001</v>
      </c>
      <c r="I26" s="273">
        <f t="shared" si="23"/>
        <v>50864.67960000001</v>
      </c>
      <c r="J26" s="273">
        <f t="shared" si="23"/>
        <v>50864.67960000001</v>
      </c>
      <c r="K26" s="273">
        <f t="shared" si="23"/>
        <v>1017293.5920000002</v>
      </c>
      <c r="L26" s="273">
        <f t="shared" si="23"/>
        <v>0</v>
      </c>
      <c r="M26" s="273">
        <f t="shared" si="23"/>
        <v>0</v>
      </c>
      <c r="N26" s="273">
        <f t="shared" si="23"/>
        <v>0</v>
      </c>
      <c r="O26" s="273">
        <f t="shared" si="23"/>
        <v>0</v>
      </c>
      <c r="P26" s="273">
        <f t="shared" si="23"/>
        <v>0</v>
      </c>
      <c r="Q26" s="273">
        <f t="shared" si="23"/>
        <v>0</v>
      </c>
      <c r="R26" s="273">
        <f t="shared" si="23"/>
        <v>0</v>
      </c>
      <c r="S26" s="273">
        <f t="shared" si="23"/>
        <v>0</v>
      </c>
      <c r="T26" s="273">
        <f t="shared" si="23"/>
        <v>0</v>
      </c>
      <c r="U26" s="273">
        <f t="shared" si="23"/>
        <v>0</v>
      </c>
      <c r="V26" s="273">
        <f t="shared" si="23"/>
        <v>0</v>
      </c>
      <c r="W26" s="273">
        <f t="shared" si="23"/>
        <v>0</v>
      </c>
      <c r="X26" s="273">
        <f t="shared" si="23"/>
        <v>0</v>
      </c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4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CH26" s="207"/>
      <c r="CI26" s="207"/>
    </row>
    <row r="27" spans="1:87" ht="20.25" customHeight="1">
      <c r="A27" s="207" t="s">
        <v>100</v>
      </c>
      <c r="B27" s="224">
        <f t="shared" si="10"/>
        <v>500000</v>
      </c>
      <c r="C27" s="223">
        <f>'4-I Financial'!$B20</f>
        <v>500000</v>
      </c>
      <c r="D27" s="223">
        <f t="shared" si="11"/>
        <v>0</v>
      </c>
      <c r="E27" s="270">
        <v>0</v>
      </c>
      <c r="F27" s="223">
        <f>IF(F$8=1,$C27/COUNTIF($E$8:$X$8,"1"),0)</f>
        <v>0</v>
      </c>
      <c r="G27" s="223">
        <f t="shared" ref="G27:X27" si="24">IF(G$8=1,$C27/COUNTIF($E$8:$X$8,"1"),0)</f>
        <v>0</v>
      </c>
      <c r="H27" s="223">
        <f>IF(H$8=1,$C27/COUNTIF($E$8:$X$8,"1"),0)</f>
        <v>0</v>
      </c>
      <c r="I27" s="223">
        <f t="shared" si="24"/>
        <v>0</v>
      </c>
      <c r="J27" s="223">
        <f t="shared" si="24"/>
        <v>0</v>
      </c>
      <c r="K27" s="223">
        <f t="shared" si="24"/>
        <v>0</v>
      </c>
      <c r="L27" s="223">
        <f t="shared" si="24"/>
        <v>0</v>
      </c>
      <c r="M27" s="223">
        <f t="shared" si="24"/>
        <v>0</v>
      </c>
      <c r="N27" s="223">
        <f t="shared" si="24"/>
        <v>0</v>
      </c>
      <c r="O27" s="223">
        <f t="shared" si="24"/>
        <v>0</v>
      </c>
      <c r="P27" s="223">
        <f t="shared" si="24"/>
        <v>0</v>
      </c>
      <c r="Q27" s="223">
        <f t="shared" si="24"/>
        <v>0</v>
      </c>
      <c r="R27" s="223">
        <f t="shared" si="24"/>
        <v>0</v>
      </c>
      <c r="S27" s="223">
        <f t="shared" si="24"/>
        <v>0</v>
      </c>
      <c r="T27" s="223">
        <f t="shared" si="24"/>
        <v>0</v>
      </c>
      <c r="U27" s="223">
        <f t="shared" si="24"/>
        <v>166666.66666666666</v>
      </c>
      <c r="V27" s="223">
        <f t="shared" si="24"/>
        <v>166666.66666666666</v>
      </c>
      <c r="W27" s="223">
        <f t="shared" si="24"/>
        <v>166666.66666666666</v>
      </c>
      <c r="X27" s="223">
        <f t="shared" si="24"/>
        <v>0</v>
      </c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4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CH27" s="207"/>
      <c r="CI27" s="207"/>
    </row>
    <row r="28" spans="1:87" ht="20.25" customHeight="1">
      <c r="A28" s="207" t="s">
        <v>103</v>
      </c>
      <c r="B28" s="224">
        <f t="shared" si="10"/>
        <v>2486262.42</v>
      </c>
      <c r="C28" s="223">
        <f>'4-I Financial'!$B21</f>
        <v>2486262.42</v>
      </c>
      <c r="D28" s="223">
        <f t="shared" si="11"/>
        <v>0</v>
      </c>
      <c r="E28" s="270">
        <v>0</v>
      </c>
      <c r="F28" s="223">
        <f>IF(AND(F9&gt;$I$4,F9&lt;=$L$4),$C28/(($M$4)/3),0)</f>
        <v>0</v>
      </c>
      <c r="G28" s="223">
        <f t="shared" ref="G28:X28" si="25">IF(AND(G9&gt;$I$4,G9&lt;=$L$4),$C28/(($M$4)/3),0)</f>
        <v>0</v>
      </c>
      <c r="H28" s="223">
        <f t="shared" si="25"/>
        <v>0</v>
      </c>
      <c r="I28" s="223">
        <f t="shared" si="25"/>
        <v>0</v>
      </c>
      <c r="J28" s="223">
        <f t="shared" si="25"/>
        <v>0</v>
      </c>
      <c r="K28" s="223">
        <f t="shared" si="25"/>
        <v>0</v>
      </c>
      <c r="L28" s="223">
        <f t="shared" si="25"/>
        <v>0</v>
      </c>
      <c r="M28" s="223">
        <f t="shared" si="25"/>
        <v>0</v>
      </c>
      <c r="N28" s="223">
        <f t="shared" si="25"/>
        <v>0</v>
      </c>
      <c r="O28" s="223">
        <f t="shared" si="25"/>
        <v>0</v>
      </c>
      <c r="P28" s="223">
        <f t="shared" si="25"/>
        <v>0</v>
      </c>
      <c r="Q28" s="223">
        <f t="shared" si="25"/>
        <v>0</v>
      </c>
      <c r="R28" s="223">
        <f t="shared" si="25"/>
        <v>0</v>
      </c>
      <c r="S28" s="223">
        <f t="shared" si="25"/>
        <v>0</v>
      </c>
      <c r="T28" s="223">
        <f t="shared" si="25"/>
        <v>0</v>
      </c>
      <c r="U28" s="223">
        <f t="shared" si="25"/>
        <v>0</v>
      </c>
      <c r="V28" s="223">
        <f t="shared" si="25"/>
        <v>0</v>
      </c>
      <c r="W28" s="223">
        <f t="shared" si="25"/>
        <v>1243131.21</v>
      </c>
      <c r="X28" s="223">
        <f t="shared" si="25"/>
        <v>1243131.21</v>
      </c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4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CH28" s="207"/>
      <c r="CI28" s="207"/>
    </row>
    <row r="29" spans="1:87" ht="20.25" customHeight="1">
      <c r="A29" s="207" t="s">
        <v>106</v>
      </c>
      <c r="B29" s="224">
        <f t="shared" si="10"/>
        <v>0</v>
      </c>
      <c r="C29" s="223">
        <f>'4-I Financial'!$B22</f>
        <v>0</v>
      </c>
      <c r="D29" s="223">
        <f t="shared" si="11"/>
        <v>0</v>
      </c>
      <c r="E29" s="270">
        <v>0</v>
      </c>
      <c r="F29" s="223">
        <f>IF(F$8=1,$C29/COUNTIF($E$8:$X$8,"1"),0)</f>
        <v>0</v>
      </c>
      <c r="G29" s="223">
        <f t="shared" ref="G29:X29" si="26">IF(G$8=1,$C29/COUNTIF($E$8:$X$8,"1"),0)</f>
        <v>0</v>
      </c>
      <c r="H29" s="223">
        <f t="shared" si="26"/>
        <v>0</v>
      </c>
      <c r="I29" s="223">
        <f t="shared" si="26"/>
        <v>0</v>
      </c>
      <c r="J29" s="223">
        <f t="shared" si="26"/>
        <v>0</v>
      </c>
      <c r="K29" s="223">
        <f t="shared" si="26"/>
        <v>0</v>
      </c>
      <c r="L29" s="223">
        <f t="shared" si="26"/>
        <v>0</v>
      </c>
      <c r="M29" s="223">
        <f t="shared" si="26"/>
        <v>0</v>
      </c>
      <c r="N29" s="223">
        <f t="shared" si="26"/>
        <v>0</v>
      </c>
      <c r="O29" s="223">
        <f t="shared" si="26"/>
        <v>0</v>
      </c>
      <c r="P29" s="223">
        <f t="shared" si="26"/>
        <v>0</v>
      </c>
      <c r="Q29" s="223">
        <f t="shared" si="26"/>
        <v>0</v>
      </c>
      <c r="R29" s="223">
        <f t="shared" si="26"/>
        <v>0</v>
      </c>
      <c r="S29" s="223">
        <f t="shared" si="26"/>
        <v>0</v>
      </c>
      <c r="T29" s="223">
        <f t="shared" si="26"/>
        <v>0</v>
      </c>
      <c r="U29" s="223">
        <f t="shared" si="26"/>
        <v>0</v>
      </c>
      <c r="V29" s="223">
        <f t="shared" si="26"/>
        <v>0</v>
      </c>
      <c r="W29" s="223">
        <f t="shared" si="26"/>
        <v>0</v>
      </c>
      <c r="X29" s="223">
        <f t="shared" si="26"/>
        <v>0</v>
      </c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4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CH29" s="207"/>
      <c r="CI29" s="207"/>
    </row>
    <row r="30" spans="1:87" ht="20.25" customHeight="1">
      <c r="A30" s="207" t="s">
        <v>403</v>
      </c>
      <c r="B30" s="224">
        <f t="shared" si="10"/>
        <v>0</v>
      </c>
      <c r="C30" s="223">
        <f>'4-I Financial'!$B23</f>
        <v>0</v>
      </c>
      <c r="D30" s="223">
        <f t="shared" si="11"/>
        <v>0</v>
      </c>
      <c r="E30" s="270">
        <v>0</v>
      </c>
      <c r="F30" s="223">
        <f>IF(AND(F$9&gt;$I$4,F$9&lt;$L$4),$C30,0)</f>
        <v>0</v>
      </c>
      <c r="G30" s="223">
        <f t="shared" ref="G30:X30" si="27">IF(AND(G$9&gt;$I$4,G$9&lt;$L$4),$C30,0)</f>
        <v>0</v>
      </c>
      <c r="H30" s="223">
        <f t="shared" si="27"/>
        <v>0</v>
      </c>
      <c r="I30" s="223">
        <f t="shared" si="27"/>
        <v>0</v>
      </c>
      <c r="J30" s="223">
        <f t="shared" si="27"/>
        <v>0</v>
      </c>
      <c r="K30" s="223">
        <f t="shared" si="27"/>
        <v>0</v>
      </c>
      <c r="L30" s="223">
        <f t="shared" si="27"/>
        <v>0</v>
      </c>
      <c r="M30" s="223">
        <f t="shared" si="27"/>
        <v>0</v>
      </c>
      <c r="N30" s="223">
        <f t="shared" si="27"/>
        <v>0</v>
      </c>
      <c r="O30" s="223">
        <f t="shared" si="27"/>
        <v>0</v>
      </c>
      <c r="P30" s="223">
        <f t="shared" si="27"/>
        <v>0</v>
      </c>
      <c r="Q30" s="223">
        <f t="shared" si="27"/>
        <v>0</v>
      </c>
      <c r="R30" s="223">
        <f t="shared" si="27"/>
        <v>0</v>
      </c>
      <c r="S30" s="223">
        <f t="shared" si="27"/>
        <v>0</v>
      </c>
      <c r="T30" s="223">
        <f t="shared" si="27"/>
        <v>0</v>
      </c>
      <c r="U30" s="223">
        <f t="shared" si="27"/>
        <v>0</v>
      </c>
      <c r="V30" s="223">
        <f t="shared" si="27"/>
        <v>0</v>
      </c>
      <c r="W30" s="223">
        <f t="shared" si="27"/>
        <v>0</v>
      </c>
      <c r="X30" s="223">
        <f t="shared" si="27"/>
        <v>0</v>
      </c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4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CH30" s="207"/>
      <c r="CI30" s="207"/>
    </row>
    <row r="31" spans="1:87" ht="20.25" customHeight="1">
      <c r="A31" s="207" t="s">
        <v>112</v>
      </c>
      <c r="B31" s="224">
        <f t="shared" si="10"/>
        <v>355383.59144999995</v>
      </c>
      <c r="C31" s="223">
        <f>'4-I Financial'!$B24</f>
        <v>355383.59145000007</v>
      </c>
      <c r="D31" s="223">
        <f t="shared" si="11"/>
        <v>0</v>
      </c>
      <c r="E31" s="270">
        <v>0</v>
      </c>
      <c r="F31" s="223">
        <f t="shared" ref="F31:X31" si="28">IF(F$13&gt;0,$C31/(($J$4)/3),0)</f>
        <v>0</v>
      </c>
      <c r="G31" s="223">
        <f t="shared" si="28"/>
        <v>0</v>
      </c>
      <c r="H31" s="223">
        <f t="shared" si="28"/>
        <v>0</v>
      </c>
      <c r="I31" s="223">
        <f t="shared" si="28"/>
        <v>0</v>
      </c>
      <c r="J31" s="223">
        <f t="shared" si="28"/>
        <v>0</v>
      </c>
      <c r="K31" s="223">
        <f t="shared" si="28"/>
        <v>29615.299287500005</v>
      </c>
      <c r="L31" s="223">
        <f t="shared" si="28"/>
        <v>29615.299287500005</v>
      </c>
      <c r="M31" s="223">
        <f t="shared" si="28"/>
        <v>29615.299287500005</v>
      </c>
      <c r="N31" s="223">
        <f t="shared" si="28"/>
        <v>29615.299287500005</v>
      </c>
      <c r="O31" s="223">
        <f t="shared" si="28"/>
        <v>29615.299287500005</v>
      </c>
      <c r="P31" s="223">
        <f t="shared" si="28"/>
        <v>29615.299287500005</v>
      </c>
      <c r="Q31" s="223">
        <f t="shared" si="28"/>
        <v>29615.299287500005</v>
      </c>
      <c r="R31" s="223">
        <f t="shared" si="28"/>
        <v>29615.299287500005</v>
      </c>
      <c r="S31" s="223">
        <f t="shared" si="28"/>
        <v>29615.299287500005</v>
      </c>
      <c r="T31" s="223">
        <f t="shared" si="28"/>
        <v>29615.299287500005</v>
      </c>
      <c r="U31" s="223">
        <f t="shared" si="28"/>
        <v>29615.299287500005</v>
      </c>
      <c r="V31" s="223">
        <f t="shared" si="28"/>
        <v>29615.299287500005</v>
      </c>
      <c r="W31" s="223">
        <f t="shared" si="28"/>
        <v>0</v>
      </c>
      <c r="X31" s="223">
        <f t="shared" si="28"/>
        <v>0</v>
      </c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CH31" s="207"/>
      <c r="CI31" s="207"/>
    </row>
    <row r="32" spans="1:87" ht="20.25" customHeight="1">
      <c r="A32" s="207" t="s">
        <v>165</v>
      </c>
      <c r="B32" s="224">
        <f>SUM(E32:X32)</f>
        <v>-8166666.666666667</v>
      </c>
      <c r="C32" s="223">
        <f>'4-I Financial'!$B25</f>
        <v>-8166666.666666667</v>
      </c>
      <c r="D32" s="223">
        <f>B32-C32</f>
        <v>0</v>
      </c>
      <c r="E32" s="270">
        <v>0</v>
      </c>
      <c r="F32" s="223">
        <f>$C32*F$13</f>
        <v>0</v>
      </c>
      <c r="G32" s="223">
        <f t="shared" ref="G32:X32" si="29">$C32*G$13</f>
        <v>0</v>
      </c>
      <c r="H32" s="223">
        <f t="shared" si="29"/>
        <v>0</v>
      </c>
      <c r="I32" s="223">
        <f t="shared" si="29"/>
        <v>0</v>
      </c>
      <c r="J32" s="223">
        <f t="shared" si="29"/>
        <v>0</v>
      </c>
      <c r="K32" s="223">
        <f t="shared" si="29"/>
        <v>-22348.914587660503</v>
      </c>
      <c r="L32" s="223">
        <f t="shared" si="29"/>
        <v>-84913.275222345299</v>
      </c>
      <c r="M32" s="223">
        <f t="shared" si="29"/>
        <v>-283025.68708464765</v>
      </c>
      <c r="N32" s="223">
        <f t="shared" si="29"/>
        <v>-698004.27014247433</v>
      </c>
      <c r="O32" s="223">
        <f t="shared" si="29"/>
        <v>-1273976.29912031</v>
      </c>
      <c r="P32" s="223">
        <f t="shared" si="29"/>
        <v>-1721064.8871758957</v>
      </c>
      <c r="Q32" s="223">
        <f t="shared" si="29"/>
        <v>-1721064.8871758962</v>
      </c>
      <c r="R32" s="223">
        <f t="shared" si="29"/>
        <v>-1273976.2991203093</v>
      </c>
      <c r="S32" s="223">
        <f t="shared" si="29"/>
        <v>-698004.27014247479</v>
      </c>
      <c r="T32" s="223">
        <f t="shared" si="29"/>
        <v>-283025.68708464759</v>
      </c>
      <c r="U32" s="223">
        <f t="shared" si="29"/>
        <v>-84913.275222345372</v>
      </c>
      <c r="V32" s="223">
        <f t="shared" si="29"/>
        <v>-22348.914587660402</v>
      </c>
      <c r="W32" s="223">
        <f t="shared" si="29"/>
        <v>0</v>
      </c>
      <c r="X32" s="223">
        <f t="shared" si="29"/>
        <v>0</v>
      </c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4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CH32" s="207"/>
      <c r="CI32" s="207"/>
    </row>
    <row r="33" spans="1:87" ht="20.25" customHeight="1">
      <c r="A33" s="207" t="s">
        <v>38</v>
      </c>
      <c r="B33" s="224">
        <f ca="1">SUM(E33:X33)</f>
        <v>340000</v>
      </c>
      <c r="C33" s="223">
        <f>'4-I Financial'!$B26</f>
        <v>340000</v>
      </c>
      <c r="D33" s="223">
        <f ca="1">B33-C33</f>
        <v>0</v>
      </c>
      <c r="E33" s="270">
        <v>0</v>
      </c>
      <c r="F33" s="223">
        <f t="shared" ref="F33:X33" ca="1" si="30">IF(AND(G39&gt;0,F39=0),$C$33,0)</f>
        <v>0</v>
      </c>
      <c r="G33" s="223">
        <f t="shared" ca="1" si="30"/>
        <v>0</v>
      </c>
      <c r="H33" s="223">
        <f t="shared" ca="1" si="30"/>
        <v>0</v>
      </c>
      <c r="I33" s="223">
        <f t="shared" ca="1" si="30"/>
        <v>0</v>
      </c>
      <c r="J33" s="223">
        <f t="shared" ca="1" si="30"/>
        <v>0</v>
      </c>
      <c r="K33" s="223">
        <f t="shared" ca="1" si="30"/>
        <v>0</v>
      </c>
      <c r="L33" s="223">
        <f t="shared" ca="1" si="30"/>
        <v>0</v>
      </c>
      <c r="M33" s="223">
        <f t="shared" ca="1" si="30"/>
        <v>0</v>
      </c>
      <c r="N33" s="223">
        <f t="shared" ca="1" si="30"/>
        <v>0</v>
      </c>
      <c r="O33" s="223">
        <f t="shared" ca="1" si="30"/>
        <v>340000</v>
      </c>
      <c r="P33" s="223">
        <f t="shared" ca="1" si="30"/>
        <v>0</v>
      </c>
      <c r="Q33" s="223">
        <f t="shared" ca="1" si="30"/>
        <v>0</v>
      </c>
      <c r="R33" s="223">
        <f t="shared" ca="1" si="30"/>
        <v>0</v>
      </c>
      <c r="S33" s="223">
        <f t="shared" ca="1" si="30"/>
        <v>0</v>
      </c>
      <c r="T33" s="223">
        <f t="shared" ca="1" si="30"/>
        <v>0</v>
      </c>
      <c r="U33" s="223">
        <f t="shared" ca="1" si="30"/>
        <v>0</v>
      </c>
      <c r="V33" s="223">
        <f t="shared" ca="1" si="30"/>
        <v>0</v>
      </c>
      <c r="W33" s="223">
        <f t="shared" ca="1" si="30"/>
        <v>0</v>
      </c>
      <c r="X33" s="223">
        <f t="shared" ca="1" si="30"/>
        <v>0</v>
      </c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4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CH33" s="207"/>
      <c r="CI33" s="207"/>
    </row>
    <row r="34" spans="1:87" ht="20.25" customHeight="1">
      <c r="A34" s="207" t="s">
        <v>407</v>
      </c>
      <c r="B34" s="224">
        <f>SUM(E34:X34)</f>
        <v>5490000</v>
      </c>
      <c r="C34" s="223">
        <f>'4-I Financial'!$B27</f>
        <v>5490000</v>
      </c>
      <c r="D34" s="223">
        <f>B34-C34</f>
        <v>0</v>
      </c>
      <c r="E34" s="270">
        <v>0</v>
      </c>
      <c r="F34" s="223">
        <f>IF(F7&lt;&gt;0,$C$34/($J$4/3),0)</f>
        <v>0</v>
      </c>
      <c r="G34" s="223">
        <f t="shared" ref="G34:X34" si="31">IF(G7&lt;&gt;0,$C$34/($J$4/3),0)</f>
        <v>0</v>
      </c>
      <c r="H34" s="223">
        <f t="shared" si="31"/>
        <v>0</v>
      </c>
      <c r="I34" s="223">
        <f t="shared" si="31"/>
        <v>0</v>
      </c>
      <c r="J34" s="223">
        <f t="shared" si="31"/>
        <v>0</v>
      </c>
      <c r="K34" s="223">
        <f t="shared" si="31"/>
        <v>457500</v>
      </c>
      <c r="L34" s="223">
        <f t="shared" si="31"/>
        <v>457500</v>
      </c>
      <c r="M34" s="223">
        <f t="shared" si="31"/>
        <v>457500</v>
      </c>
      <c r="N34" s="223">
        <f t="shared" si="31"/>
        <v>457500</v>
      </c>
      <c r="O34" s="223">
        <f t="shared" si="31"/>
        <v>457500</v>
      </c>
      <c r="P34" s="223">
        <f t="shared" si="31"/>
        <v>457500</v>
      </c>
      <c r="Q34" s="223">
        <f t="shared" si="31"/>
        <v>457500</v>
      </c>
      <c r="R34" s="223">
        <f t="shared" si="31"/>
        <v>457500</v>
      </c>
      <c r="S34" s="223">
        <f t="shared" si="31"/>
        <v>457500</v>
      </c>
      <c r="T34" s="223">
        <f t="shared" si="31"/>
        <v>457500</v>
      </c>
      <c r="U34" s="223">
        <f t="shared" si="31"/>
        <v>457500</v>
      </c>
      <c r="V34" s="223">
        <f t="shared" si="31"/>
        <v>457500</v>
      </c>
      <c r="W34" s="223">
        <f t="shared" si="31"/>
        <v>0</v>
      </c>
      <c r="X34" s="223">
        <f t="shared" si="31"/>
        <v>0</v>
      </c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4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CH34" s="207"/>
      <c r="CI34" s="207"/>
    </row>
    <row r="35" spans="1:87" ht="20.25" customHeight="1">
      <c r="B35" s="252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CH35" s="207"/>
      <c r="CI35" s="207"/>
    </row>
    <row r="36" spans="1:87" s="254" customFormat="1" ht="30" customHeight="1">
      <c r="A36" s="254" t="s">
        <v>408</v>
      </c>
      <c r="B36" s="256">
        <f ca="1">SUM(E36:X36)</f>
        <v>110658630.72145003</v>
      </c>
      <c r="C36" s="255">
        <f>SUM(C14:C34)</f>
        <v>110658630.72145</v>
      </c>
      <c r="D36" s="255">
        <f ca="1">B36-C36</f>
        <v>0</v>
      </c>
      <c r="E36" s="255">
        <f>SUM(E14:E34)</f>
        <v>0</v>
      </c>
      <c r="F36" s="255">
        <f ca="1">SUM(F14:F34)</f>
        <v>406917.43680000014</v>
      </c>
      <c r="G36" s="255">
        <f t="shared" ref="G36:X36" ca="1" si="32">SUM(G14:G34)</f>
        <v>406917.43680000014</v>
      </c>
      <c r="H36" s="255">
        <f t="shared" ca="1" si="32"/>
        <v>406917.43680000014</v>
      </c>
      <c r="I36" s="255">
        <f t="shared" ca="1" si="32"/>
        <v>406917.43680000014</v>
      </c>
      <c r="J36" s="255">
        <f t="shared" ca="1" si="32"/>
        <v>2065181.2967999999</v>
      </c>
      <c r="K36" s="255">
        <f t="shared" ca="1" si="32"/>
        <v>2339597.7049669782</v>
      </c>
      <c r="L36" s="255">
        <f t="shared" ca="1" si="32"/>
        <v>2018893.6760646689</v>
      </c>
      <c r="M36" s="255">
        <f t="shared" ca="1" si="32"/>
        <v>4224670.8473394625</v>
      </c>
      <c r="N36" s="255">
        <f t="shared" ca="1" si="32"/>
        <v>8845028.9383465387</v>
      </c>
      <c r="O36" s="255">
        <f t="shared" ca="1" si="32"/>
        <v>15597882.837148033</v>
      </c>
      <c r="P36" s="255">
        <f t="shared" ca="1" si="32"/>
        <v>20235752.682859335</v>
      </c>
      <c r="Q36" s="255">
        <f t="shared" ca="1" si="32"/>
        <v>20037945.595526002</v>
      </c>
      <c r="R36" s="255">
        <f t="shared" ca="1" si="32"/>
        <v>15060075.749814693</v>
      </c>
      <c r="S36" s="255">
        <f t="shared" ca="1" si="32"/>
        <v>8647221.8510132078</v>
      </c>
      <c r="T36" s="255">
        <f t="shared" ca="1" si="32"/>
        <v>4026863.7600061288</v>
      </c>
      <c r="U36" s="255">
        <f t="shared" ca="1" si="32"/>
        <v>1987753.2553980034</v>
      </c>
      <c r="V36" s="255">
        <f t="shared" ca="1" si="32"/>
        <v>1291163.6923003101</v>
      </c>
      <c r="W36" s="255">
        <f t="shared" ca="1" si="32"/>
        <v>1409797.8766666667</v>
      </c>
      <c r="X36" s="255">
        <f t="shared" ca="1" si="32"/>
        <v>1243131.21</v>
      </c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6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</row>
    <row r="37" spans="1:87" s="227" customFormat="1" ht="20.25" customHeight="1">
      <c r="A37" s="227" t="s">
        <v>493</v>
      </c>
      <c r="B37" s="369">
        <f ca="1">SUM(E37:X37)</f>
        <v>42050279.674151003</v>
      </c>
      <c r="C37" s="228"/>
      <c r="D37" s="230"/>
      <c r="E37" s="228">
        <f>E36</f>
        <v>0</v>
      </c>
      <c r="F37" s="228">
        <f t="shared" ref="F37:X37" ca="1" si="33">IF(((E38+F36)&lt;=$B$38),F36,($B$38-E38))</f>
        <v>406917.43680000014</v>
      </c>
      <c r="G37" s="228">
        <f t="shared" ca="1" si="33"/>
        <v>406917.43680000014</v>
      </c>
      <c r="H37" s="228">
        <f t="shared" ca="1" si="33"/>
        <v>406917.43680000014</v>
      </c>
      <c r="I37" s="228">
        <f t="shared" ca="1" si="33"/>
        <v>406917.43680000014</v>
      </c>
      <c r="J37" s="228">
        <f t="shared" ca="1" si="33"/>
        <v>2065181.2967999999</v>
      </c>
      <c r="K37" s="228">
        <f t="shared" ca="1" si="33"/>
        <v>2339597.7049669782</v>
      </c>
      <c r="L37" s="228">
        <f t="shared" ca="1" si="33"/>
        <v>2018893.6760646689</v>
      </c>
      <c r="M37" s="228">
        <f t="shared" ca="1" si="33"/>
        <v>4224670.8473394625</v>
      </c>
      <c r="N37" s="228">
        <f t="shared" ca="1" si="33"/>
        <v>8845028.9383465387</v>
      </c>
      <c r="O37" s="228">
        <f t="shared" ca="1" si="33"/>
        <v>15597882.837148033</v>
      </c>
      <c r="P37" s="228">
        <f t="shared" ca="1" si="33"/>
        <v>5331354.626285322</v>
      </c>
      <c r="Q37" s="228">
        <f t="shared" ca="1" si="33"/>
        <v>0</v>
      </c>
      <c r="R37" s="228">
        <f t="shared" ca="1" si="33"/>
        <v>0</v>
      </c>
      <c r="S37" s="228">
        <f t="shared" ca="1" si="33"/>
        <v>0</v>
      </c>
      <c r="T37" s="228">
        <f t="shared" ca="1" si="33"/>
        <v>0</v>
      </c>
      <c r="U37" s="228">
        <f t="shared" ca="1" si="33"/>
        <v>0</v>
      </c>
      <c r="V37" s="228">
        <f t="shared" ca="1" si="33"/>
        <v>0</v>
      </c>
      <c r="W37" s="228">
        <f t="shared" ca="1" si="33"/>
        <v>0</v>
      </c>
      <c r="X37" s="228">
        <f t="shared" ca="1" si="33"/>
        <v>0</v>
      </c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9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</row>
    <row r="38" spans="1:87" ht="20.25" customHeight="1">
      <c r="A38" s="207" t="s">
        <v>494</v>
      </c>
      <c r="B38" s="224">
        <f>'4-I Financial'!$D$15</f>
        <v>42050279.674151003</v>
      </c>
      <c r="C38" s="223"/>
      <c r="D38" s="223"/>
      <c r="E38" s="223">
        <f>IF(OR(E9&lt;$E$4,E9&gt;$L$4),0,IF(SUM($E$37:E37)&lt;=$B38,SUM($E$37:E37),$B$38))</f>
        <v>0</v>
      </c>
      <c r="F38" s="223">
        <f ca="1">IF(OR(F9&lt;$E$4,F9&gt;$L$4),0,IF(SUM($E$37:F37)&lt;=$B38,SUM($E$37:F37),$B$38))</f>
        <v>406917.43680000014</v>
      </c>
      <c r="G38" s="223">
        <f ca="1">IF(OR(G9&lt;$E$4,G9&gt;$L$4),0,IF(SUM($E$37:G37)&lt;=$B38,SUM($E$37:G37),$B$38))</f>
        <v>813834.87360000028</v>
      </c>
      <c r="H38" s="223">
        <f ca="1">IF(OR(H9&lt;$E$4,H9&gt;$L$4),0,IF(SUM($E$37:H37)&lt;=$B38,SUM($E$37:H37),$B$38))</f>
        <v>1220752.3104000003</v>
      </c>
      <c r="I38" s="223">
        <f ca="1">IF(OR(I9&lt;$E$4,I9&gt;$L$4),0,IF(SUM($E$37:I37)&lt;=$B38,SUM($E$37:I37),$B$38))</f>
        <v>1627669.7472000006</v>
      </c>
      <c r="J38" s="223">
        <f ca="1">IF(OR(J9&lt;$E$4,J9&gt;$L$4),0,IF(SUM($E$37:J37)&lt;=$B38,SUM($E$37:J37),$B$38))</f>
        <v>3692851.0440000007</v>
      </c>
      <c r="K38" s="223">
        <f ca="1">IF(OR(K9&lt;$E$4,K9&gt;$L$4),0,IF(SUM($E$37:K37)&lt;=$B38,SUM($E$37:K37),$B$38))</f>
        <v>6032448.7489669789</v>
      </c>
      <c r="L38" s="223">
        <f ca="1">IF(OR(L9&lt;$E$4,L9&gt;$L$4),0,IF(SUM($E$37:L37)&lt;=$B38,SUM($E$37:L37),$B$38))</f>
        <v>8051342.425031648</v>
      </c>
      <c r="M38" s="223">
        <f ca="1">IF(OR(M9&lt;$E$4,M9&gt;$L$4),0,IF(SUM($E$37:M37)&lt;=$B38,SUM($E$37:M37),$B$38))</f>
        <v>12276013.27237111</v>
      </c>
      <c r="N38" s="223">
        <f ca="1">IF(OR(N9&lt;$E$4,N9&gt;$L$4),0,IF(SUM($E$37:N37)&lt;=$B38,SUM($E$37:N37),$B$38))</f>
        <v>21121042.210717648</v>
      </c>
      <c r="O38" s="223">
        <f ca="1">IF(OR(O9&lt;$E$4,O9&gt;$L$4),0,IF(SUM($E$37:O37)&lt;=$B38,SUM($E$37:O37),$B$38))</f>
        <v>36718925.047865681</v>
      </c>
      <c r="P38" s="223">
        <f ca="1">IF(OR(P9&lt;$E$4,P9&gt;$L$4),0,IF(SUM($E$37:P37)&lt;=$B38,SUM($E$37:P37),$B$38))</f>
        <v>42050279.674151003</v>
      </c>
      <c r="Q38" s="223">
        <f ca="1">IF(OR(Q9&lt;$E$4,Q9&gt;$L$4),0,IF(SUM($E$37:Q37)&lt;=$B38,SUM($E$37:Q37),$B$38))</f>
        <v>42050279.674151003</v>
      </c>
      <c r="R38" s="223">
        <f ca="1">IF(OR(R9&lt;$E$4,R9&gt;$L$4),0,IF(SUM($E$37:R37)&lt;=$B38,SUM($E$37:R37),$B$38))</f>
        <v>42050279.674151003</v>
      </c>
      <c r="S38" s="223">
        <f ca="1">IF(OR(S9&lt;$E$4,S9&gt;$L$4),0,IF(SUM($E$37:S37)&lt;=$B38,SUM($E$37:S37),$B$38))</f>
        <v>42050279.674151003</v>
      </c>
      <c r="T38" s="223">
        <f ca="1">IF(OR(T9&lt;$E$4,T9&gt;$L$4),0,IF(SUM($E$37:T37)&lt;=$B38,SUM($E$37:T37),$B$38))</f>
        <v>42050279.674151003</v>
      </c>
      <c r="U38" s="223">
        <f ca="1">IF(OR(U9&lt;$E$4,U9&gt;$L$4),0,IF(SUM($E$37:U37)&lt;=$B38,SUM($E$37:U37),$B$38))</f>
        <v>42050279.674151003</v>
      </c>
      <c r="V38" s="223">
        <f ca="1">IF(OR(V9&lt;$E$4,V9&gt;$L$4),0,IF(SUM($E$37:V37)&lt;=$B38,SUM($E$37:V37),$B$38))</f>
        <v>42050279.674151003</v>
      </c>
      <c r="W38" s="223">
        <f ca="1">IF(OR(W9&lt;$E$4,W9&gt;$L$4),0,IF(SUM($E$37:W37)&lt;=$B38,SUM($E$37:W37),$B$38))</f>
        <v>42050279.674151003</v>
      </c>
      <c r="X38" s="223">
        <f ca="1">IF(OR(X9&lt;$E$4,X9&gt;$L$4),0,IF(SUM($E$37:X37)&lt;=$B38,SUM($E$37:X37),$B$38))</f>
        <v>42050279.674151003</v>
      </c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4"/>
      <c r="AS38" s="223"/>
      <c r="AT38" s="223"/>
      <c r="AU38" s="223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CH38" s="207"/>
      <c r="CI38" s="207"/>
    </row>
    <row r="39" spans="1:87" ht="20.25" customHeight="1">
      <c r="A39" s="207" t="s">
        <v>495</v>
      </c>
      <c r="B39" s="365">
        <f ca="1">SUM(E39:X39)</f>
        <v>68608351.047299013</v>
      </c>
      <c r="C39" s="223"/>
      <c r="D39" s="223"/>
      <c r="E39" s="223">
        <f t="shared" ref="E39:X39" si="34">IF(E36&gt;E37,E36-E37,0)</f>
        <v>0</v>
      </c>
      <c r="F39" s="223">
        <f t="shared" ca="1" si="34"/>
        <v>0</v>
      </c>
      <c r="G39" s="223">
        <f t="shared" ca="1" si="34"/>
        <v>0</v>
      </c>
      <c r="H39" s="223">
        <f t="shared" ca="1" si="34"/>
        <v>0</v>
      </c>
      <c r="I39" s="223">
        <f t="shared" ca="1" si="34"/>
        <v>0</v>
      </c>
      <c r="J39" s="223">
        <f t="shared" ca="1" si="34"/>
        <v>0</v>
      </c>
      <c r="K39" s="223">
        <f t="shared" ca="1" si="34"/>
        <v>0</v>
      </c>
      <c r="L39" s="223">
        <f t="shared" ca="1" si="34"/>
        <v>0</v>
      </c>
      <c r="M39" s="223">
        <f t="shared" ca="1" si="34"/>
        <v>0</v>
      </c>
      <c r="N39" s="223">
        <f t="shared" ca="1" si="34"/>
        <v>0</v>
      </c>
      <c r="O39" s="223">
        <f t="shared" ca="1" si="34"/>
        <v>0</v>
      </c>
      <c r="P39" s="223">
        <f t="shared" ca="1" si="34"/>
        <v>14904398.056574013</v>
      </c>
      <c r="Q39" s="223">
        <f t="shared" ca="1" si="34"/>
        <v>20037945.595526002</v>
      </c>
      <c r="R39" s="223">
        <f t="shared" ca="1" si="34"/>
        <v>15060075.749814693</v>
      </c>
      <c r="S39" s="223">
        <f t="shared" ca="1" si="34"/>
        <v>8647221.8510132078</v>
      </c>
      <c r="T39" s="223">
        <f t="shared" ca="1" si="34"/>
        <v>4026863.7600061288</v>
      </c>
      <c r="U39" s="223">
        <f t="shared" ca="1" si="34"/>
        <v>1987753.2553980034</v>
      </c>
      <c r="V39" s="223">
        <f t="shared" ca="1" si="34"/>
        <v>1291163.6923003101</v>
      </c>
      <c r="W39" s="223">
        <f t="shared" ca="1" si="34"/>
        <v>1409797.8766666667</v>
      </c>
      <c r="X39" s="223">
        <f t="shared" ca="1" si="34"/>
        <v>1243131.21</v>
      </c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4"/>
      <c r="AS39" s="245"/>
      <c r="AT39" s="223"/>
      <c r="AU39" s="223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CH39" s="207"/>
      <c r="CI39" s="207"/>
    </row>
    <row r="40" spans="1:87" s="227" customFormat="1" ht="20.25" customHeight="1">
      <c r="A40" s="227" t="s">
        <v>496</v>
      </c>
      <c r="B40" s="229">
        <f ca="1">-B39</f>
        <v>-68608351.047299013</v>
      </c>
      <c r="C40" s="228"/>
      <c r="D40" s="228"/>
      <c r="E40" s="228">
        <f>IF(E6=$K$3,$B$40,0)</f>
        <v>0</v>
      </c>
      <c r="F40" s="228">
        <f t="shared" ref="F40:X40" si="35">IF(F6=$L$3,$B$40,0)</f>
        <v>0</v>
      </c>
      <c r="G40" s="228">
        <f t="shared" si="35"/>
        <v>0</v>
      </c>
      <c r="H40" s="228">
        <f t="shared" si="35"/>
        <v>0</v>
      </c>
      <c r="I40" s="228">
        <f t="shared" si="35"/>
        <v>0</v>
      </c>
      <c r="J40" s="228">
        <f t="shared" si="35"/>
        <v>0</v>
      </c>
      <c r="K40" s="228">
        <f t="shared" si="35"/>
        <v>0</v>
      </c>
      <c r="L40" s="228">
        <f t="shared" si="35"/>
        <v>0</v>
      </c>
      <c r="M40" s="228">
        <f t="shared" si="35"/>
        <v>0</v>
      </c>
      <c r="N40" s="228">
        <f t="shared" si="35"/>
        <v>0</v>
      </c>
      <c r="O40" s="228">
        <f t="shared" si="35"/>
        <v>0</v>
      </c>
      <c r="P40" s="228">
        <f t="shared" si="35"/>
        <v>0</v>
      </c>
      <c r="Q40" s="228">
        <f t="shared" si="35"/>
        <v>0</v>
      </c>
      <c r="R40" s="228">
        <f t="shared" si="35"/>
        <v>0</v>
      </c>
      <c r="S40" s="228">
        <f t="shared" si="35"/>
        <v>0</v>
      </c>
      <c r="T40" s="228">
        <f t="shared" si="35"/>
        <v>0</v>
      </c>
      <c r="U40" s="228">
        <f t="shared" si="35"/>
        <v>0</v>
      </c>
      <c r="V40" s="228">
        <f t="shared" si="35"/>
        <v>0</v>
      </c>
      <c r="W40" s="228">
        <f t="shared" si="35"/>
        <v>0</v>
      </c>
      <c r="X40" s="228">
        <f t="shared" ca="1" si="35"/>
        <v>-68608351.047299013</v>
      </c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9"/>
      <c r="AS40" s="228"/>
      <c r="AT40" s="228"/>
      <c r="AU40" s="228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</row>
    <row r="41" spans="1:87" s="366" customFormat="1" ht="20.25" customHeight="1">
      <c r="A41" s="371" t="s">
        <v>497</v>
      </c>
      <c r="B41" s="372">
        <f>'4-I Financial'!$D$9</f>
        <v>0</v>
      </c>
      <c r="C41" s="373"/>
      <c r="D41" s="373"/>
      <c r="E41" s="373">
        <f t="shared" ref="E41:X41" si="36">IF(E6=$L$3,$B41,0)</f>
        <v>0</v>
      </c>
      <c r="F41" s="373">
        <f t="shared" si="36"/>
        <v>0</v>
      </c>
      <c r="G41" s="373">
        <f t="shared" si="36"/>
        <v>0</v>
      </c>
      <c r="H41" s="373">
        <f t="shared" si="36"/>
        <v>0</v>
      </c>
      <c r="I41" s="373">
        <f t="shared" si="36"/>
        <v>0</v>
      </c>
      <c r="J41" s="373">
        <f t="shared" si="36"/>
        <v>0</v>
      </c>
      <c r="K41" s="373">
        <f t="shared" si="36"/>
        <v>0</v>
      </c>
      <c r="L41" s="373">
        <f t="shared" si="36"/>
        <v>0</v>
      </c>
      <c r="M41" s="373">
        <f t="shared" si="36"/>
        <v>0</v>
      </c>
      <c r="N41" s="373">
        <f t="shared" si="36"/>
        <v>0</v>
      </c>
      <c r="O41" s="373">
        <f t="shared" si="36"/>
        <v>0</v>
      </c>
      <c r="P41" s="373">
        <f t="shared" si="36"/>
        <v>0</v>
      </c>
      <c r="Q41" s="373">
        <f t="shared" si="36"/>
        <v>0</v>
      </c>
      <c r="R41" s="373">
        <f t="shared" si="36"/>
        <v>0</v>
      </c>
      <c r="S41" s="373">
        <f t="shared" si="36"/>
        <v>0</v>
      </c>
      <c r="T41" s="373">
        <f t="shared" si="36"/>
        <v>0</v>
      </c>
      <c r="U41" s="373">
        <f t="shared" si="36"/>
        <v>0</v>
      </c>
      <c r="V41" s="373">
        <f t="shared" si="36"/>
        <v>0</v>
      </c>
      <c r="W41" s="373">
        <f t="shared" si="36"/>
        <v>0</v>
      </c>
      <c r="X41" s="373">
        <f t="shared" si="36"/>
        <v>0</v>
      </c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2"/>
      <c r="AS41" s="373"/>
      <c r="AT41" s="373"/>
      <c r="AU41" s="373"/>
      <c r="AV41" s="374"/>
      <c r="AW41" s="374"/>
      <c r="AX41" s="374"/>
      <c r="AY41" s="374"/>
      <c r="AZ41" s="374"/>
      <c r="BA41" s="374"/>
      <c r="BB41" s="374"/>
      <c r="BC41" s="374"/>
      <c r="BD41" s="374"/>
      <c r="BE41" s="374"/>
      <c r="BF41" s="374"/>
      <c r="BG41" s="374"/>
      <c r="BH41" s="374"/>
      <c r="BI41" s="374"/>
      <c r="BJ41" s="374"/>
      <c r="BK41" s="374"/>
      <c r="BL41" s="374"/>
      <c r="BM41" s="374"/>
      <c r="BN41" s="374"/>
      <c r="BO41" s="374"/>
      <c r="BP41" s="374"/>
      <c r="BQ41" s="374"/>
      <c r="BR41" s="374"/>
      <c r="BS41" s="374"/>
      <c r="BT41" s="374"/>
      <c r="BU41" s="374"/>
      <c r="BV41" s="371"/>
      <c r="BW41" s="371"/>
      <c r="BX41" s="371"/>
      <c r="BY41" s="371"/>
      <c r="BZ41" s="371"/>
      <c r="CA41" s="371"/>
      <c r="CB41" s="371"/>
      <c r="CC41" s="371"/>
      <c r="CD41" s="371"/>
      <c r="CE41" s="371"/>
      <c r="CF41" s="371"/>
      <c r="CG41" s="371"/>
      <c r="CH41" s="371"/>
      <c r="CI41" s="371"/>
    </row>
    <row r="42" spans="1:87" s="488" customFormat="1" ht="20.25" customHeight="1">
      <c r="A42" s="1092" t="s">
        <v>498</v>
      </c>
      <c r="B42" s="838">
        <f ca="1">SUM(E42:AR42)</f>
        <v>74553141.277418241</v>
      </c>
      <c r="C42" s="1095"/>
      <c r="D42" s="1095"/>
      <c r="E42" s="1095">
        <f ca="1">IF(E41&gt;$B$39,0,IF('4-I Financial'!$D$11="NO",IF(E6&lt;&gt;$L$3,0,'4-I Amortization'!$E$4),IF(E6=$L$3,'4-I Amortization'!$E$4,0)))</f>
        <v>0</v>
      </c>
      <c r="F42" s="1095">
        <f ca="1">IF(F41&gt;$B$39,0,IF('4-I Financial'!$D$11="NO",IF(F6&lt;&gt;$L$3,0,'4-I Amortization'!$E$4),IF(F6=$L$3,'4-I Amortization'!$E$4,0)))</f>
        <v>0</v>
      </c>
      <c r="G42" s="1095">
        <f ca="1">IF(G41&gt;$B$39,0,IF('4-I Financial'!$D$11="NO",IF(G6&lt;&gt;$L$3,0,'4-I Amortization'!$E$4),IF(G6=$L$3,'4-I Amortization'!$E$4,0)))</f>
        <v>0</v>
      </c>
      <c r="H42" s="1095">
        <f ca="1">IF(H41&gt;$B$39,0,IF('4-I Financial'!$D$11="NO",IF(H6&lt;&gt;$L$3,0,'4-I Amortization'!$E$4),IF(H6=$L$3,'4-I Amortization'!$E$4,0)))</f>
        <v>0</v>
      </c>
      <c r="I42" s="1095">
        <f ca="1">IF(I41&gt;$B$39,0,IF('4-I Financial'!$D$11="NO",IF(I6&lt;&gt;$L$3,0,'4-I Amortization'!$E$4),IF(I6=$L$3,'4-I Amortization'!$E$4,0)))</f>
        <v>0</v>
      </c>
      <c r="J42" s="1095">
        <f ca="1">IF(J41&gt;$B$39,0,IF('4-I Financial'!$D$11="NO",IF(J6&lt;&gt;$L$3,0,'4-I Amortization'!$E$4),IF(J6=$L$3,'4-I Amortization'!$E$4,0)))</f>
        <v>0</v>
      </c>
      <c r="K42" s="1095">
        <f ca="1">IF(K41&gt;$B$39,0,IF('4-I Financial'!$D$11="NO",IF(K6&lt;&gt;$L$3,0,'4-I Amortization'!$E$4),IF(K6=$L$3,'4-I Amortization'!$E$4,0)))</f>
        <v>0</v>
      </c>
      <c r="L42" s="1095">
        <f ca="1">IF(L41&gt;$B$39,0,IF('4-I Financial'!$D$11="NO",IF(L6&lt;&gt;$L$3,0,'4-I Amortization'!$E$4),IF(L6=$L$3,'4-I Amortization'!$E$4,0)))</f>
        <v>0</v>
      </c>
      <c r="M42" s="1095">
        <f ca="1">IF(M41&gt;$B$39,0,IF('4-I Financial'!$D$11="NO",IF(M6&lt;&gt;$L$3,0,'4-I Amortization'!$E$4),IF(M6=$L$3,'4-I Amortization'!$E$4,0)))</f>
        <v>0</v>
      </c>
      <c r="N42" s="1095">
        <f ca="1">IF(N41&gt;$B$39,0,IF('4-I Financial'!$D$11="NO",IF(N6&lt;&gt;$L$3,0,'4-I Amortization'!$E$4),IF(N6=$L$3,'4-I Amortization'!$E$4,0)))</f>
        <v>0</v>
      </c>
      <c r="O42" s="1095">
        <f ca="1">IF(O41&gt;$B$39,0,IF('4-I Financial'!$D$11="NO",IF(O6&lt;&gt;$L$3,0,'4-I Amortization'!$E$4),IF(O6=$L$3,'4-I Amortization'!$E$4,0)))</f>
        <v>0</v>
      </c>
      <c r="P42" s="1095">
        <f ca="1">IF(P41&gt;$B$39,0,IF('4-I Financial'!$D$11="NO",IF(P6&lt;&gt;$L$3,0,'4-I Amortization'!$E$4),IF(P6=$L$3,'4-I Amortization'!$E$4,0)))</f>
        <v>0</v>
      </c>
      <c r="Q42" s="1095">
        <f ca="1">IF(Q41&gt;$B$39,0,IF('4-I Financial'!$D$11="NO",IF(Q6&lt;&gt;$L$3,0,'4-I Amortization'!$E$4),IF(Q6=$L$3,'4-I Amortization'!$E$4,0)))</f>
        <v>0</v>
      </c>
      <c r="R42" s="1095">
        <f ca="1">IF(R41&gt;$B$39,0,IF('4-I Financial'!$D$11="NO",IF(R6&lt;&gt;$L$3,0,'4-I Amortization'!$E$4),IF(R6=$L$3,'4-I Amortization'!$E$4,0)))</f>
        <v>0</v>
      </c>
      <c r="S42" s="1095">
        <f ca="1">IF(S41&gt;$B$39,0,IF('4-I Financial'!$D$11="NO",IF(S6&lt;&gt;$L$3,0,'4-I Amortization'!$E$4),IF(S6=$L$3,'4-I Amortization'!$E$4,0)))</f>
        <v>0</v>
      </c>
      <c r="T42" s="1095">
        <f ca="1">IF(T41&gt;$B$39,0,IF('4-I Financial'!$D$11="NO",IF(T6&lt;&gt;$L$3,0,'4-I Amortization'!$E$4),IF(T6=$L$3,'4-I Amortization'!$E$4,0)))</f>
        <v>0</v>
      </c>
      <c r="U42" s="1095">
        <f ca="1">IF(U41&gt;$B$39,0,IF('4-I Financial'!$D$11="NO",IF(U6&lt;&gt;$L$3,0,'4-I Amortization'!$E$4),IF(U6=$L$3,'4-I Amortization'!$E$4,0)))</f>
        <v>0</v>
      </c>
      <c r="V42" s="1095">
        <f ca="1">IF(V41&gt;$B$39,0,IF('4-I Financial'!$D$11="NO",IF(V6&lt;&gt;$L$3,0,'4-I Amortization'!$E$4),IF(V6=$L$3,'4-I Amortization'!$E$4,0)))</f>
        <v>0</v>
      </c>
      <c r="W42" s="1095">
        <f ca="1">IF(W41&gt;$B$39,0,IF('4-I Financial'!$D$11="NO",IF(W6&lt;&gt;$L$3,0,'4-I Amortization'!$E$4),IF(W6=$L$3,'4-I Amortization'!$E$4,0)))</f>
        <v>0</v>
      </c>
      <c r="X42" s="1095">
        <f ca="1">IF(X41&gt;$B$39,0,IF('4-I Financial'!$D$11="NO",IF(X6&lt;&gt;$L$3,0,'4-I Amortization'!$E$4),IF(X6=$L$3,'4-I Amortization'!$E$4,0)))</f>
        <v>74553141.277418241</v>
      </c>
      <c r="Y42" s="1095"/>
      <c r="Z42" s="1095"/>
      <c r="AA42" s="1095"/>
      <c r="AB42" s="1095"/>
      <c r="AC42" s="1095"/>
      <c r="AD42" s="1095"/>
      <c r="AE42" s="1095"/>
      <c r="AF42" s="1095"/>
      <c r="AG42" s="1095"/>
      <c r="AH42" s="1095"/>
      <c r="AI42" s="1095"/>
      <c r="AJ42" s="1095"/>
      <c r="AK42" s="1095"/>
      <c r="AL42" s="1095"/>
      <c r="AM42" s="1095"/>
      <c r="AN42" s="1095"/>
      <c r="AO42" s="1095"/>
      <c r="AP42" s="1095"/>
      <c r="AQ42" s="1095"/>
      <c r="AR42" s="764"/>
      <c r="AS42" s="1095"/>
      <c r="AT42" s="1095"/>
      <c r="AU42" s="1095"/>
      <c r="AV42" s="1093"/>
      <c r="AW42" s="1093"/>
      <c r="AX42" s="1093"/>
      <c r="AY42" s="1093"/>
      <c r="AZ42" s="1093"/>
      <c r="BA42" s="1093"/>
      <c r="BB42" s="1093"/>
      <c r="BC42" s="1093"/>
      <c r="BD42" s="1093"/>
      <c r="BE42" s="1093"/>
      <c r="BF42" s="1093"/>
      <c r="BG42" s="1093"/>
      <c r="BH42" s="1093"/>
      <c r="BI42" s="1093"/>
      <c r="BJ42" s="1093"/>
      <c r="BK42" s="1093"/>
      <c r="BL42" s="1093"/>
      <c r="BM42" s="1093"/>
      <c r="BN42" s="1093"/>
      <c r="BO42" s="1093"/>
      <c r="BP42" s="1093"/>
      <c r="BQ42" s="1093"/>
      <c r="BR42" s="1093"/>
      <c r="BS42" s="1093"/>
      <c r="BT42" s="1093"/>
      <c r="BU42" s="1093"/>
      <c r="BV42" s="1092"/>
      <c r="BW42" s="1092"/>
      <c r="BX42" s="1092"/>
      <c r="BY42" s="1092"/>
      <c r="BZ42" s="1092"/>
      <c r="CA42" s="1092"/>
      <c r="CB42" s="1092"/>
      <c r="CC42" s="1092"/>
      <c r="CD42" s="1092"/>
      <c r="CE42" s="1092"/>
      <c r="CF42" s="1092"/>
      <c r="CG42" s="1092"/>
      <c r="CH42" s="1092"/>
      <c r="CI42" s="1092"/>
    </row>
    <row r="43" spans="1:87" ht="20.25" customHeight="1">
      <c r="A43" s="207" t="s">
        <v>517</v>
      </c>
      <c r="B43" s="224">
        <f ca="1">SUM(E43:AR43)</f>
        <v>-372765.7063870912</v>
      </c>
      <c r="C43" s="223"/>
      <c r="D43" s="223"/>
      <c r="E43" s="223">
        <f ca="1">IF(E42&gt;0,-'4-I Amortization'!$F$11,0)</f>
        <v>0</v>
      </c>
      <c r="F43" s="223">
        <f ca="1">IF(F42&gt;0,-'4-I Amortization'!$F$11,0)</f>
        <v>0</v>
      </c>
      <c r="G43" s="223">
        <f ca="1">IF(G42&gt;0,-'4-I Amortization'!$F$11,0)</f>
        <v>0</v>
      </c>
      <c r="H43" s="223">
        <f ca="1">IF(H42&gt;0,-'4-I Amortization'!$F$11,0)</f>
        <v>0</v>
      </c>
      <c r="I43" s="223">
        <f ca="1">IF(I42&gt;0,-'4-I Amortization'!$F$11,0)</f>
        <v>0</v>
      </c>
      <c r="J43" s="223">
        <f ca="1">IF(J42&gt;0,-'4-I Amortization'!$F$11,0)</f>
        <v>0</v>
      </c>
      <c r="K43" s="223">
        <f ca="1">IF(K42&gt;0,-'4-I Amortization'!$F$11,0)</f>
        <v>0</v>
      </c>
      <c r="L43" s="223">
        <f ca="1">IF(L42&gt;0,-'4-I Amortization'!$F$11,0)</f>
        <v>0</v>
      </c>
      <c r="M43" s="223">
        <f ca="1">IF(M42&gt;0,-'4-I Amortization'!$F$11,0)</f>
        <v>0</v>
      </c>
      <c r="N43" s="223">
        <f ca="1">IF(N42&gt;0,-'4-I Amortization'!$F$11,0)</f>
        <v>0</v>
      </c>
      <c r="O43" s="223">
        <f ca="1">IF(O42&gt;0,-'4-I Amortization'!$F$11,0)</f>
        <v>0</v>
      </c>
      <c r="P43" s="223">
        <f ca="1">IF(P42&gt;0,-'4-I Amortization'!$F$11,0)</f>
        <v>0</v>
      </c>
      <c r="Q43" s="223">
        <f ca="1">IF(Q42&gt;0,-'4-I Amortization'!$F$11,0)</f>
        <v>0</v>
      </c>
      <c r="R43" s="223">
        <f ca="1">IF(R42&gt;0,-'4-I Amortization'!$F$11,0)</f>
        <v>0</v>
      </c>
      <c r="S43" s="223">
        <f ca="1">IF(S42&gt;0,-'4-I Amortization'!$F$11,0)</f>
        <v>0</v>
      </c>
      <c r="T43" s="223">
        <f ca="1">IF(T42&gt;0,-'4-I Amortization'!$F$11,0)</f>
        <v>0</v>
      </c>
      <c r="U43" s="223">
        <f ca="1">IF(U42&gt;0,-'4-I Amortization'!$F$11,0)</f>
        <v>0</v>
      </c>
      <c r="V43" s="223">
        <f ca="1">IF(V42&gt;0,-'4-I Amortization'!$F$11,0)</f>
        <v>0</v>
      </c>
      <c r="W43" s="223">
        <f ca="1">IF(W42&gt;0,-'4-I Amortization'!$F$11,0)</f>
        <v>0</v>
      </c>
      <c r="X43" s="223">
        <f ca="1">IF(X42&gt;0,-'4-I Amortization'!$F$11,0)</f>
        <v>-372765.7063870912</v>
      </c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4"/>
      <c r="AS43" s="223"/>
      <c r="AT43" s="223"/>
      <c r="AU43" s="223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CH43" s="207"/>
      <c r="CI43" s="207"/>
    </row>
    <row r="44" spans="1:87" s="227" customFormat="1" ht="20.25" customHeight="1">
      <c r="A44" s="227" t="s">
        <v>499</v>
      </c>
      <c r="B44" s="369">
        <f ca="1">SUM(E44:AR44)</f>
        <v>5572024.5237321369</v>
      </c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>
        <f ca="1">X40+X41+X42+X43</f>
        <v>5572024.5237321369</v>
      </c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9"/>
      <c r="AS44" s="228"/>
      <c r="AT44" s="228"/>
      <c r="AU44" s="228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</row>
    <row r="45" spans="1:87" s="227" customFormat="1" ht="20.25" customHeight="1">
      <c r="A45" s="227" t="s">
        <v>500</v>
      </c>
      <c r="B45" s="369">
        <f>SUM(E45:AR45)</f>
        <v>33828637.683813147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>
        <f>'4-I Financial'!$D$5*(1+'4-I Financial'!$D$7)^(Y5-1)/4</f>
        <v>1592944.6379999998</v>
      </c>
      <c r="Z45" s="228">
        <f>'4-I Financial'!$D$5*(1+'4-I Financial'!$D$7)^(Z5-1)/4</f>
        <v>1592944.6379999998</v>
      </c>
      <c r="AA45" s="228">
        <f>'4-I Financial'!$D$5*(1+'4-I Financial'!$D$7)^(AA5-1)/4</f>
        <v>1592944.6379999998</v>
      </c>
      <c r="AB45" s="228">
        <f>'4-I Financial'!$D$5*(1+'4-I Financial'!$D$7)^(AB5-1)/4</f>
        <v>1592944.6379999998</v>
      </c>
      <c r="AC45" s="228">
        <f>'4-I Financial'!$D$5*(1+'4-I Financial'!$D$7)^(AC5-1)/4</f>
        <v>1640732.9771399999</v>
      </c>
      <c r="AD45" s="228">
        <f>'4-I Financial'!$D$5*(1+'4-I Financial'!$D$7)^(AD5-1)/4</f>
        <v>1640732.9771399999</v>
      </c>
      <c r="AE45" s="228">
        <f>'4-I Financial'!$D$5*(1+'4-I Financial'!$D$7)^(AE5-1)/4</f>
        <v>1640732.9771399999</v>
      </c>
      <c r="AF45" s="228">
        <f>'4-I Financial'!$D$5*(1+'4-I Financial'!$D$7)^(AF5-1)/4</f>
        <v>1640732.9771399999</v>
      </c>
      <c r="AG45" s="228">
        <f>'4-I Financial'!$D$5*(1+'4-I Financial'!$D$7)^(AG5-1)/4</f>
        <v>1689954.9664541997</v>
      </c>
      <c r="AH45" s="228">
        <f>'4-I Financial'!$D$5*(1+'4-I Financial'!$D$7)^(AH5-1)/4</f>
        <v>1689954.9664541997</v>
      </c>
      <c r="AI45" s="228">
        <f>'4-I Financial'!$D$5*(1+'4-I Financial'!$D$7)^(AI5-1)/4</f>
        <v>1689954.9664541997</v>
      </c>
      <c r="AJ45" s="228">
        <f>'4-I Financial'!$D$5*(1+'4-I Financial'!$D$7)^(AJ5-1)/4</f>
        <v>1689954.9664541997</v>
      </c>
      <c r="AK45" s="228">
        <f>'4-I Financial'!$D$5*(1+'4-I Financial'!$D$7)^(AK5-1)/4</f>
        <v>1740653.6154478258</v>
      </c>
      <c r="AL45" s="228">
        <f>'4-I Financial'!$D$5*(1+'4-I Financial'!$D$7)^(AL5-1)/4</f>
        <v>1740653.6154478258</v>
      </c>
      <c r="AM45" s="228">
        <f>'4-I Financial'!$D$5*(1+'4-I Financial'!$D$7)^(AM5-1)/4</f>
        <v>1740653.6154478258</v>
      </c>
      <c r="AN45" s="228">
        <f>'4-I Financial'!$D$5*(1+'4-I Financial'!$D$7)^(AN5-1)/4</f>
        <v>1740653.6154478258</v>
      </c>
      <c r="AO45" s="228">
        <f>'4-I Financial'!$D$5*(1+'4-I Financial'!$D$7)^(AO5-1)/4</f>
        <v>1792873.2239112605</v>
      </c>
      <c r="AP45" s="228">
        <f>'4-I Financial'!$D$5*(1+'4-I Financial'!$D$7)^(AP5-1)/4</f>
        <v>1792873.2239112605</v>
      </c>
      <c r="AQ45" s="228">
        <f>'4-I Financial'!$D$5*(1+'4-I Financial'!$D$7)^(AQ5-1)/4</f>
        <v>1792873.2239112605</v>
      </c>
      <c r="AR45" s="229">
        <f>'4-I Financial'!$D$5*(1+'4-I Financial'!$D$7)^(AR5-1)/4</f>
        <v>1792873.2239112605</v>
      </c>
      <c r="AS45" s="228"/>
      <c r="AT45" s="228"/>
      <c r="AU45" s="228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  <c r="BH45" s="230"/>
      <c r="BI45" s="230"/>
      <c r="BJ45" s="230"/>
      <c r="BK45" s="230"/>
      <c r="BL45" s="230"/>
      <c r="BM45" s="230"/>
      <c r="BN45" s="230"/>
      <c r="BO45" s="230"/>
      <c r="BP45" s="230"/>
      <c r="BQ45" s="230"/>
      <c r="BR45" s="230"/>
      <c r="BS45" s="230"/>
      <c r="BT45" s="230"/>
      <c r="BU45" s="230"/>
    </row>
    <row r="46" spans="1:87" ht="20.25" customHeight="1">
      <c r="A46" s="207" t="s">
        <v>501</v>
      </c>
      <c r="B46" s="224">
        <f>SUM(E46:AR46)</f>
        <v>-25170256.637260858</v>
      </c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 cm="1">
        <f t="array" ref="Y46">INDEX('4-I Amortization'!$J$4:$J$23,MATCH(1,('4-I Amortization'!$I$4:$I$23=Y7)*('4-I Amortization'!$H$4:$H$23=Y5),0),0)</f>
        <v>-1071701.4058628872</v>
      </c>
      <c r="Z46" s="223" cm="1">
        <f t="array" ref="Z46">INDEX('4-I Amortization'!$J$4:$J$23,MATCH(1,('4-I Amortization'!$I$4:$I$23=Z7)*('4-I Amortization'!$H$4:$H$23=Z5),0),0)</f>
        <v>-1071701.4058628872</v>
      </c>
      <c r="AA46" s="223" cm="1">
        <f t="array" ref="AA46">INDEX('4-I Amortization'!$J$4:$J$23,MATCH(1,('4-I Amortization'!$I$4:$I$23=AA7)*('4-I Amortization'!$H$4:$H$23=AA5),0),0)</f>
        <v>-1071701.4058628872</v>
      </c>
      <c r="AB46" s="223" cm="1">
        <f t="array" ref="AB46">INDEX('4-I Amortization'!$J$4:$J$23,MATCH(1,('4-I Amortization'!$I$4:$I$23=AB7)*('4-I Amortization'!$H$4:$H$23=AB5),0),0)</f>
        <v>-1071701.4058628872</v>
      </c>
      <c r="AC46" s="223" cm="1">
        <f t="array" ref="AC46">INDEX('4-I Amortization'!$J$4:$J$23,MATCH(1,('4-I Amortization'!$I$4:$I$23=AC7)*('4-I Amortization'!$H$4:$H$23=AC5),0),0)</f>
        <v>-1305215.6883630815</v>
      </c>
      <c r="AD46" s="223" cm="1">
        <f t="array" ref="AD46">INDEX('4-I Amortization'!$J$4:$J$23,MATCH(1,('4-I Amortization'!$I$4:$I$23=AD7)*('4-I Amortization'!$H$4:$H$23=AD5),0),0)</f>
        <v>-1305215.6883630815</v>
      </c>
      <c r="AE46" s="223" cm="1">
        <f t="array" ref="AE46">INDEX('4-I Amortization'!$J$4:$J$23,MATCH(1,('4-I Amortization'!$I$4:$I$23=AE7)*('4-I Amortization'!$H$4:$H$23=AE5),0),0)</f>
        <v>-1305215.6883630813</v>
      </c>
      <c r="AF46" s="223" cm="1">
        <f t="array" ref="AF46">INDEX('4-I Amortization'!$J$4:$J$23,MATCH(1,('4-I Amortization'!$I$4:$I$23=AF7)*('4-I Amortization'!$H$4:$H$23=AF5),0),0)</f>
        <v>-1305215.6883630813</v>
      </c>
      <c r="AG46" s="223" cm="1">
        <f t="array" ref="AG46">INDEX('4-I Amortization'!$J$4:$J$23,MATCH(1,('4-I Amortization'!$I$4:$I$23=AG7)*('4-I Amortization'!$H$4:$H$23=AG5),0),0)</f>
        <v>-1305215.6883630813</v>
      </c>
      <c r="AH46" s="223" cm="1">
        <f t="array" ref="AH46">INDEX('4-I Amortization'!$J$4:$J$23,MATCH(1,('4-I Amortization'!$I$4:$I$23=AH7)*('4-I Amortization'!$H$4:$H$23=AH5),0),0)</f>
        <v>-1305215.6883630813</v>
      </c>
      <c r="AI46" s="223" cm="1">
        <f t="array" ref="AI46">INDEX('4-I Amortization'!$J$4:$J$23,MATCH(1,('4-I Amortization'!$I$4:$I$23=AI7)*('4-I Amortization'!$H$4:$H$23=AI5),0),0)</f>
        <v>-1305215.6883630813</v>
      </c>
      <c r="AJ46" s="223" cm="1">
        <f t="array" ref="AJ46">INDEX('4-I Amortization'!$J$4:$J$23,MATCH(1,('4-I Amortization'!$I$4:$I$23=AJ7)*('4-I Amortization'!$H$4:$H$23=AJ5),0),0)</f>
        <v>-1305215.6883630811</v>
      </c>
      <c r="AK46" s="223" cm="1">
        <f t="array" ref="AK46">INDEX('4-I Amortization'!$J$4:$J$23,MATCH(1,('4-I Amortization'!$I$4:$I$23=AK7)*('4-I Amortization'!$H$4:$H$23=AK5),0),0)</f>
        <v>-1305215.6883630811</v>
      </c>
      <c r="AL46" s="223" cm="1">
        <f t="array" ref="AL46">INDEX('4-I Amortization'!$J$4:$J$23,MATCH(1,('4-I Amortization'!$I$4:$I$23=AL7)*('4-I Amortization'!$H$4:$H$23=AL5),0),0)</f>
        <v>-1305215.6883630811</v>
      </c>
      <c r="AM46" s="223" cm="1">
        <f t="array" ref="AM46">INDEX('4-I Amortization'!$J$4:$J$23,MATCH(1,('4-I Amortization'!$I$4:$I$23=AM7)*('4-I Amortization'!$H$4:$H$23=AM5),0),0)</f>
        <v>-1305215.6883630811</v>
      </c>
      <c r="AN46" s="223" cm="1">
        <f t="array" ref="AN46">INDEX('4-I Amortization'!$J$4:$J$23,MATCH(1,('4-I Amortization'!$I$4:$I$23=AN7)*('4-I Amortization'!$H$4:$H$23=AN5),0),0)</f>
        <v>-1305215.6883630813</v>
      </c>
      <c r="AO46" s="223" cm="1">
        <f t="array" ref="AO46">INDEX('4-I Amortization'!$J$4:$J$23,MATCH(1,('4-I Amortization'!$I$4:$I$23=AO7)*('4-I Amortization'!$H$4:$H$23=AO5),0),0)</f>
        <v>-1305215.6883630813</v>
      </c>
      <c r="AP46" s="223" cm="1">
        <f t="array" ref="AP46">INDEX('4-I Amortization'!$J$4:$J$23,MATCH(1,('4-I Amortization'!$I$4:$I$23=AP7)*('4-I Amortization'!$H$4:$H$23=AP5),0),0)</f>
        <v>-1305215.6883630813</v>
      </c>
      <c r="AQ46" s="223" cm="1">
        <f t="array" ref="AQ46">INDEX('4-I Amortization'!$J$4:$J$23,MATCH(1,('4-I Amortization'!$I$4:$I$23=AQ7)*('4-I Amortization'!$H$4:$H$23=AQ5),0),0)</f>
        <v>-1305215.6883630813</v>
      </c>
      <c r="AR46" s="224" cm="1">
        <f t="array" ref="AR46">INDEX('4-I Amortization'!$J$4:$J$23,MATCH(1,('4-I Amortization'!$I$4:$I$23=AR7)*('4-I Amortization'!$H$4:$H$23=AR5),0),0)</f>
        <v>-1305215.6883630811</v>
      </c>
      <c r="AS46" s="223"/>
      <c r="AT46" s="223"/>
      <c r="AU46" s="223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CH46" s="207"/>
      <c r="CI46" s="207"/>
    </row>
    <row r="47" spans="1:87" ht="20.25" customHeight="1">
      <c r="A47" s="207" t="s">
        <v>502</v>
      </c>
      <c r="B47" s="224">
        <f ca="1">-B42</f>
        <v>-74553141.277418241</v>
      </c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N47" s="223"/>
      <c r="AO47" s="223"/>
      <c r="AP47" s="223"/>
      <c r="AQ47" s="223"/>
      <c r="AR47" s="224">
        <f>-'4-I Amortization'!$E$13</f>
        <v>-70363547.965675861</v>
      </c>
      <c r="AS47" s="223"/>
      <c r="AT47" s="223"/>
      <c r="AU47" s="223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CH47" s="207"/>
      <c r="CI47" s="207"/>
    </row>
    <row r="48" spans="1:87" ht="20.25" customHeight="1">
      <c r="A48" s="207" t="s">
        <v>503</v>
      </c>
      <c r="B48" s="224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837">
        <f t="shared" ref="Y48:AR48" si="37">Y45/(-Y46)</f>
        <v>1.4863698314526614</v>
      </c>
      <c r="Z48" s="837">
        <f t="shared" si="37"/>
        <v>1.4863698314526614</v>
      </c>
      <c r="AA48" s="837">
        <f t="shared" si="37"/>
        <v>1.4863698314526614</v>
      </c>
      <c r="AB48" s="837">
        <f t="shared" si="37"/>
        <v>1.4863698314526614</v>
      </c>
      <c r="AC48" s="837">
        <f t="shared" si="37"/>
        <v>1.2570588844190975</v>
      </c>
      <c r="AD48" s="837">
        <f t="shared" si="37"/>
        <v>1.2570588844190975</v>
      </c>
      <c r="AE48" s="837">
        <f t="shared" si="37"/>
        <v>1.2570588844190977</v>
      </c>
      <c r="AF48" s="837">
        <f t="shared" si="37"/>
        <v>1.2570588844190977</v>
      </c>
      <c r="AG48" s="837">
        <f t="shared" si="37"/>
        <v>1.2947706509516708</v>
      </c>
      <c r="AH48" s="837">
        <f t="shared" si="37"/>
        <v>1.2947706509516708</v>
      </c>
      <c r="AI48" s="837">
        <f t="shared" si="37"/>
        <v>1.2947706509516708</v>
      </c>
      <c r="AJ48" s="837">
        <f t="shared" si="37"/>
        <v>1.294770650951671</v>
      </c>
      <c r="AK48" s="837">
        <f t="shared" si="37"/>
        <v>1.3336137704802211</v>
      </c>
      <c r="AL48" s="837">
        <f t="shared" si="37"/>
        <v>1.3336137704802211</v>
      </c>
      <c r="AM48" s="837">
        <f t="shared" si="37"/>
        <v>1.3336137704802211</v>
      </c>
      <c r="AN48" s="837">
        <f t="shared" si="37"/>
        <v>1.3336137704802209</v>
      </c>
      <c r="AO48" s="837">
        <f t="shared" si="37"/>
        <v>1.3736221835946274</v>
      </c>
      <c r="AP48" s="837">
        <f t="shared" si="37"/>
        <v>1.3736221835946274</v>
      </c>
      <c r="AQ48" s="837">
        <f t="shared" si="37"/>
        <v>1.3736221835946274</v>
      </c>
      <c r="AR48" s="839">
        <f t="shared" si="37"/>
        <v>1.3736221835946276</v>
      </c>
      <c r="AS48" s="223"/>
      <c r="AT48" s="223"/>
      <c r="AU48" s="223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CH48" s="207"/>
      <c r="CI48" s="207"/>
    </row>
    <row r="49" spans="1:87" s="371" customFormat="1" ht="20.25" customHeight="1">
      <c r="A49" s="371" t="s">
        <v>504</v>
      </c>
      <c r="B49" s="372">
        <f>'4-I Financial'!$D$10</f>
        <v>186382853.19354561</v>
      </c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N49" s="373"/>
      <c r="AO49" s="373"/>
      <c r="AP49" s="373"/>
      <c r="AQ49" s="373"/>
      <c r="AR49" s="372">
        <f>B49</f>
        <v>186382853.19354561</v>
      </c>
      <c r="AS49" s="373"/>
      <c r="AT49" s="373"/>
      <c r="AU49" s="373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</row>
    <row r="50" spans="1:87" s="367" customFormat="1" ht="20.25" customHeight="1">
      <c r="A50" s="1092" t="s">
        <v>505</v>
      </c>
      <c r="B50" s="224">
        <f ca="1">SUM(E50:AR50)</f>
        <v>130249710.79815418</v>
      </c>
      <c r="C50" s="1095"/>
      <c r="D50" s="1095"/>
      <c r="E50" s="1095"/>
      <c r="F50" s="1095"/>
      <c r="G50" s="1095"/>
      <c r="H50" s="1095"/>
      <c r="I50" s="1095"/>
      <c r="J50" s="1095"/>
      <c r="K50" s="1095"/>
      <c r="L50" s="1095"/>
      <c r="M50" s="1095"/>
      <c r="N50" s="1095"/>
      <c r="O50" s="1095"/>
      <c r="P50" s="1095"/>
      <c r="Q50" s="1095"/>
      <c r="R50" s="1095"/>
      <c r="S50" s="1095"/>
      <c r="T50" s="1095"/>
      <c r="U50" s="1095"/>
      <c r="V50" s="1095"/>
      <c r="W50" s="1095"/>
      <c r="X50" s="1095">
        <f ca="1">SUM(X45,X44,X46,X47,X49)</f>
        <v>5572024.5237321369</v>
      </c>
      <c r="Y50" s="1095">
        <f t="shared" ref="Y50:AR50" si="38">SUM(Y45,Y44,Y46,Y47,Y49)</f>
        <v>521243.23213711265</v>
      </c>
      <c r="Z50" s="1095">
        <f t="shared" si="38"/>
        <v>521243.23213711265</v>
      </c>
      <c r="AA50" s="1095">
        <f t="shared" si="38"/>
        <v>521243.23213711265</v>
      </c>
      <c r="AB50" s="1095">
        <f t="shared" si="38"/>
        <v>521243.23213711265</v>
      </c>
      <c r="AC50" s="1095">
        <f t="shared" si="38"/>
        <v>335517.28877691831</v>
      </c>
      <c r="AD50" s="1095">
        <f t="shared" si="38"/>
        <v>335517.28877691831</v>
      </c>
      <c r="AE50" s="1095">
        <f t="shared" si="38"/>
        <v>335517.28877691855</v>
      </c>
      <c r="AF50" s="1095">
        <f t="shared" si="38"/>
        <v>335517.28877691855</v>
      </c>
      <c r="AG50" s="1095">
        <f t="shared" si="38"/>
        <v>384739.27809111844</v>
      </c>
      <c r="AH50" s="1095">
        <f t="shared" si="38"/>
        <v>384739.27809111844</v>
      </c>
      <c r="AI50" s="1095">
        <f t="shared" si="38"/>
        <v>384739.27809111844</v>
      </c>
      <c r="AJ50" s="1095">
        <f t="shared" si="38"/>
        <v>384739.27809111867</v>
      </c>
      <c r="AK50" s="1095">
        <f t="shared" si="38"/>
        <v>435437.92708474468</v>
      </c>
      <c r="AL50" s="1095">
        <f t="shared" si="38"/>
        <v>435437.92708474468</v>
      </c>
      <c r="AM50" s="1095">
        <f t="shared" si="38"/>
        <v>435437.92708474468</v>
      </c>
      <c r="AN50" s="1095">
        <f t="shared" si="38"/>
        <v>435437.92708474444</v>
      </c>
      <c r="AO50" s="1095">
        <f t="shared" si="38"/>
        <v>487657.53554817918</v>
      </c>
      <c r="AP50" s="1095">
        <f t="shared" si="38"/>
        <v>487657.53554817918</v>
      </c>
      <c r="AQ50" s="1095">
        <f t="shared" si="38"/>
        <v>487657.53554817918</v>
      </c>
      <c r="AR50" s="764">
        <f t="shared" si="38"/>
        <v>116506962.76341793</v>
      </c>
      <c r="AS50" s="1095"/>
      <c r="AT50" s="1095"/>
      <c r="AU50" s="1095"/>
      <c r="AV50" s="1093"/>
      <c r="AW50" s="1093"/>
      <c r="AX50" s="1093"/>
      <c r="AY50" s="1093"/>
      <c r="AZ50" s="1093"/>
      <c r="BA50" s="1093"/>
      <c r="BB50" s="1093"/>
      <c r="BC50" s="1093"/>
      <c r="BD50" s="1093"/>
      <c r="BE50" s="1093"/>
      <c r="BF50" s="1093"/>
      <c r="BG50" s="1093"/>
      <c r="BH50" s="1093"/>
      <c r="BI50" s="1093"/>
      <c r="BJ50" s="1093"/>
      <c r="BK50" s="1093"/>
      <c r="BL50" s="1093"/>
      <c r="BM50" s="1093"/>
      <c r="BN50" s="1093"/>
      <c r="BO50" s="1093"/>
      <c r="BP50" s="1093"/>
      <c r="BQ50" s="1093"/>
      <c r="BR50" s="1093"/>
      <c r="BS50" s="1093"/>
      <c r="BT50" s="1093"/>
      <c r="BU50" s="1093"/>
      <c r="BV50" s="1092"/>
      <c r="BW50" s="1092"/>
      <c r="BX50" s="1092"/>
      <c r="BY50" s="1092"/>
      <c r="BZ50" s="1092"/>
      <c r="CA50" s="1092"/>
      <c r="CB50" s="1092"/>
      <c r="CC50" s="1092"/>
      <c r="CD50" s="1092"/>
      <c r="CE50" s="1092"/>
      <c r="CF50" s="1092"/>
      <c r="CG50" s="1092"/>
      <c r="CH50" s="1092"/>
      <c r="CI50" s="1092"/>
    </row>
    <row r="51" spans="1:87" ht="20.25" customHeight="1">
      <c r="B51" s="224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4"/>
      <c r="AS51" s="223"/>
      <c r="AT51" s="223"/>
      <c r="AU51" s="223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CH51" s="207"/>
      <c r="CI51" s="207"/>
    </row>
    <row r="52" spans="1:87" s="238" customFormat="1" ht="20.25" customHeight="1">
      <c r="A52" s="241" t="s">
        <v>506</v>
      </c>
      <c r="B52" s="253"/>
      <c r="C52" s="242"/>
      <c r="D52" s="242"/>
      <c r="E52" s="242"/>
      <c r="F52" s="242"/>
      <c r="G52" s="242"/>
      <c r="H52" s="242"/>
      <c r="I52" s="242"/>
      <c r="J52" s="242"/>
      <c r="K52" s="243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4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T52" s="239"/>
      <c r="BU52" s="239"/>
    </row>
    <row r="53" spans="1:87" ht="20.25" customHeight="1">
      <c r="A53" s="207" t="s">
        <v>507</v>
      </c>
      <c r="B53" s="224">
        <f ca="1">SUM(F53:AR53)</f>
        <v>109552860.15590861</v>
      </c>
      <c r="C53" s="223"/>
      <c r="D53" s="223"/>
      <c r="E53" s="223">
        <f t="shared" ref="E53:AR53" si="39">SUM(-E36,E45,E49)</f>
        <v>0</v>
      </c>
      <c r="F53" s="223">
        <f t="shared" ca="1" si="39"/>
        <v>-406917.43680000014</v>
      </c>
      <c r="G53" s="223">
        <f t="shared" ca="1" si="39"/>
        <v>-406917.43680000014</v>
      </c>
      <c r="H53" s="223">
        <f t="shared" ca="1" si="39"/>
        <v>-406917.43680000014</v>
      </c>
      <c r="I53" s="223">
        <f t="shared" ca="1" si="39"/>
        <v>-406917.43680000014</v>
      </c>
      <c r="J53" s="223">
        <f t="shared" ca="1" si="39"/>
        <v>-2065181.2967999999</v>
      </c>
      <c r="K53" s="223">
        <f t="shared" ca="1" si="39"/>
        <v>-2339597.7049669782</v>
      </c>
      <c r="L53" s="223">
        <f t="shared" ca="1" si="39"/>
        <v>-2018893.6760646689</v>
      </c>
      <c r="M53" s="223">
        <f t="shared" ca="1" si="39"/>
        <v>-4224670.8473394625</v>
      </c>
      <c r="N53" s="223">
        <f t="shared" ca="1" si="39"/>
        <v>-8845028.9383465387</v>
      </c>
      <c r="O53" s="223">
        <f t="shared" ca="1" si="39"/>
        <v>-15597882.837148033</v>
      </c>
      <c r="P53" s="223">
        <f t="shared" ca="1" si="39"/>
        <v>-20235752.682859335</v>
      </c>
      <c r="Q53" s="223">
        <f t="shared" ca="1" si="39"/>
        <v>-20037945.595526002</v>
      </c>
      <c r="R53" s="223">
        <f t="shared" ca="1" si="39"/>
        <v>-15060075.749814693</v>
      </c>
      <c r="S53" s="223">
        <f t="shared" ca="1" si="39"/>
        <v>-8647221.8510132078</v>
      </c>
      <c r="T53" s="223">
        <f t="shared" ca="1" si="39"/>
        <v>-4026863.7600061288</v>
      </c>
      <c r="U53" s="223">
        <f t="shared" ca="1" si="39"/>
        <v>-1987753.2553980034</v>
      </c>
      <c r="V53" s="223">
        <f t="shared" ca="1" si="39"/>
        <v>-1291163.6923003101</v>
      </c>
      <c r="W53" s="223">
        <f t="shared" ca="1" si="39"/>
        <v>-1409797.8766666667</v>
      </c>
      <c r="X53" s="223">
        <f t="shared" ca="1" si="39"/>
        <v>-1243131.21</v>
      </c>
      <c r="Y53" s="223">
        <f t="shared" si="39"/>
        <v>1592944.6379999998</v>
      </c>
      <c r="Z53" s="223">
        <f t="shared" si="39"/>
        <v>1592944.6379999998</v>
      </c>
      <c r="AA53" s="223">
        <f t="shared" si="39"/>
        <v>1592944.6379999998</v>
      </c>
      <c r="AB53" s="223">
        <f t="shared" si="39"/>
        <v>1592944.6379999998</v>
      </c>
      <c r="AC53" s="223">
        <f t="shared" si="39"/>
        <v>1640732.9771399999</v>
      </c>
      <c r="AD53" s="223">
        <f t="shared" si="39"/>
        <v>1640732.9771399999</v>
      </c>
      <c r="AE53" s="223">
        <f t="shared" si="39"/>
        <v>1640732.9771399999</v>
      </c>
      <c r="AF53" s="223">
        <f t="shared" si="39"/>
        <v>1640732.9771399999</v>
      </c>
      <c r="AG53" s="223">
        <f t="shared" si="39"/>
        <v>1689954.9664541997</v>
      </c>
      <c r="AH53" s="223">
        <f t="shared" si="39"/>
        <v>1689954.9664541997</v>
      </c>
      <c r="AI53" s="223">
        <f t="shared" si="39"/>
        <v>1689954.9664541997</v>
      </c>
      <c r="AJ53" s="223">
        <f t="shared" si="39"/>
        <v>1689954.9664541997</v>
      </c>
      <c r="AK53" s="223">
        <f t="shared" si="39"/>
        <v>1740653.6154478258</v>
      </c>
      <c r="AL53" s="223">
        <f t="shared" si="39"/>
        <v>1740653.6154478258</v>
      </c>
      <c r="AM53" s="223">
        <f t="shared" si="39"/>
        <v>1740653.6154478258</v>
      </c>
      <c r="AN53" s="223">
        <f t="shared" si="39"/>
        <v>1740653.6154478258</v>
      </c>
      <c r="AO53" s="223">
        <f t="shared" si="39"/>
        <v>1792873.2239112605</v>
      </c>
      <c r="AP53" s="223">
        <f t="shared" si="39"/>
        <v>1792873.2239112605</v>
      </c>
      <c r="AQ53" s="223">
        <f t="shared" si="39"/>
        <v>1792873.2239112605</v>
      </c>
      <c r="AR53" s="224">
        <f t="shared" si="39"/>
        <v>188175726.41745687</v>
      </c>
      <c r="AS53" s="231"/>
      <c r="BT53" s="209"/>
      <c r="BU53" s="209"/>
      <c r="CH53" s="207"/>
      <c r="CI53" s="207"/>
    </row>
    <row r="54" spans="1:87" ht="20.25" customHeight="1">
      <c r="A54" s="207" t="s">
        <v>508</v>
      </c>
      <c r="B54" s="777">
        <f ca="1">IF(B53&lt;0,0,IRR(F53:AR53))</f>
        <v>2.6719234651602752E-2</v>
      </c>
      <c r="G54" s="223"/>
      <c r="BT54" s="209"/>
      <c r="BU54" s="209"/>
      <c r="CH54" s="207"/>
      <c r="CI54" s="207"/>
    </row>
    <row r="55" spans="1:87" ht="20.25" customHeight="1">
      <c r="A55" s="207" t="s">
        <v>509</v>
      </c>
      <c r="B55" s="368">
        <f ca="1">POWER((1+B54),4)-1</f>
        <v>0.11123725460366973</v>
      </c>
      <c r="G55" s="223"/>
      <c r="BT55" s="209"/>
      <c r="BU55" s="209"/>
      <c r="CH55" s="207"/>
      <c r="CI55" s="207"/>
    </row>
    <row r="56" spans="1:87" s="238" customFormat="1" ht="20.25" customHeight="1">
      <c r="A56" s="241" t="s">
        <v>510</v>
      </c>
      <c r="B56" s="253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6"/>
      <c r="AS56" s="240"/>
      <c r="AT56" s="225"/>
      <c r="AU56" s="225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</row>
    <row r="57" spans="1:87" ht="20.25" customHeight="1">
      <c r="A57" s="207" t="s">
        <v>511</v>
      </c>
      <c r="B57" s="224">
        <f ca="1">SUM(F57:AR57)</f>
        <v>88199431.124003187</v>
      </c>
      <c r="C57" s="223"/>
      <c r="D57" s="223"/>
      <c r="E57" s="223">
        <f t="shared" ref="E57:AR57" si="40">SUM(-E37,E50)</f>
        <v>0</v>
      </c>
      <c r="F57" s="223">
        <f t="shared" ca="1" si="40"/>
        <v>-406917.43680000014</v>
      </c>
      <c r="G57" s="223">
        <f t="shared" ca="1" si="40"/>
        <v>-406917.43680000014</v>
      </c>
      <c r="H57" s="223">
        <f t="shared" ca="1" si="40"/>
        <v>-406917.43680000014</v>
      </c>
      <c r="I57" s="223">
        <f t="shared" ca="1" si="40"/>
        <v>-406917.43680000014</v>
      </c>
      <c r="J57" s="223">
        <f t="shared" ca="1" si="40"/>
        <v>-2065181.2967999999</v>
      </c>
      <c r="K57" s="223">
        <f t="shared" ca="1" si="40"/>
        <v>-2339597.7049669782</v>
      </c>
      <c r="L57" s="223">
        <f t="shared" ca="1" si="40"/>
        <v>-2018893.6760646689</v>
      </c>
      <c r="M57" s="223">
        <f t="shared" ca="1" si="40"/>
        <v>-4224670.8473394625</v>
      </c>
      <c r="N57" s="223">
        <f t="shared" ca="1" si="40"/>
        <v>-8845028.9383465387</v>
      </c>
      <c r="O57" s="223">
        <f t="shared" ca="1" si="40"/>
        <v>-15597882.837148033</v>
      </c>
      <c r="P57" s="223">
        <f t="shared" ca="1" si="40"/>
        <v>-5331354.626285322</v>
      </c>
      <c r="Q57" s="223">
        <f t="shared" ca="1" si="40"/>
        <v>0</v>
      </c>
      <c r="R57" s="223">
        <f t="shared" ca="1" si="40"/>
        <v>0</v>
      </c>
      <c r="S57" s="223">
        <f t="shared" ca="1" si="40"/>
        <v>0</v>
      </c>
      <c r="T57" s="223">
        <f t="shared" ca="1" si="40"/>
        <v>0</v>
      </c>
      <c r="U57" s="223">
        <f t="shared" ca="1" si="40"/>
        <v>0</v>
      </c>
      <c r="V57" s="223">
        <f t="shared" ca="1" si="40"/>
        <v>0</v>
      </c>
      <c r="W57" s="223">
        <f t="shared" ca="1" si="40"/>
        <v>0</v>
      </c>
      <c r="X57" s="223">
        <f t="shared" ca="1" si="40"/>
        <v>5572024.5237321369</v>
      </c>
      <c r="Y57" s="223">
        <f t="shared" si="40"/>
        <v>521243.23213711265</v>
      </c>
      <c r="Z57" s="223">
        <f t="shared" si="40"/>
        <v>521243.23213711265</v>
      </c>
      <c r="AA57" s="223">
        <f t="shared" si="40"/>
        <v>521243.23213711265</v>
      </c>
      <c r="AB57" s="223">
        <f t="shared" si="40"/>
        <v>521243.23213711265</v>
      </c>
      <c r="AC57" s="223">
        <f t="shared" si="40"/>
        <v>335517.28877691831</v>
      </c>
      <c r="AD57" s="223">
        <f t="shared" si="40"/>
        <v>335517.28877691831</v>
      </c>
      <c r="AE57" s="223">
        <f t="shared" si="40"/>
        <v>335517.28877691855</v>
      </c>
      <c r="AF57" s="223">
        <f t="shared" si="40"/>
        <v>335517.28877691855</v>
      </c>
      <c r="AG57" s="223">
        <f t="shared" si="40"/>
        <v>384739.27809111844</v>
      </c>
      <c r="AH57" s="223">
        <f t="shared" si="40"/>
        <v>384739.27809111844</v>
      </c>
      <c r="AI57" s="223">
        <f t="shared" si="40"/>
        <v>384739.27809111844</v>
      </c>
      <c r="AJ57" s="223">
        <f t="shared" si="40"/>
        <v>384739.27809111867</v>
      </c>
      <c r="AK57" s="223">
        <f t="shared" si="40"/>
        <v>435437.92708474468</v>
      </c>
      <c r="AL57" s="223">
        <f t="shared" si="40"/>
        <v>435437.92708474468</v>
      </c>
      <c r="AM57" s="223">
        <f t="shared" si="40"/>
        <v>435437.92708474468</v>
      </c>
      <c r="AN57" s="223">
        <f t="shared" si="40"/>
        <v>435437.92708474444</v>
      </c>
      <c r="AO57" s="223">
        <f t="shared" si="40"/>
        <v>487657.53554817918</v>
      </c>
      <c r="AP57" s="223">
        <f t="shared" si="40"/>
        <v>487657.53554817918</v>
      </c>
      <c r="AQ57" s="223">
        <f t="shared" si="40"/>
        <v>487657.53554817918</v>
      </c>
      <c r="AR57" s="224">
        <f t="shared" si="40"/>
        <v>116506962.76341793</v>
      </c>
      <c r="AS57" s="233"/>
      <c r="AT57" s="223"/>
      <c r="AU57" s="223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CH57" s="207"/>
      <c r="CI57" s="207"/>
    </row>
    <row r="58" spans="1:87" ht="20.25" customHeight="1">
      <c r="A58" s="207" t="s">
        <v>512</v>
      </c>
      <c r="B58" s="777">
        <f ca="1">IF(B57&lt;0,0,IRR(F57:AR57))</f>
        <v>4.088654917288137E-2</v>
      </c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2"/>
      <c r="AT58" s="231"/>
      <c r="AU58" s="231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CH58" s="207"/>
      <c r="CI58" s="207"/>
    </row>
    <row r="59" spans="1:87" ht="20.25" customHeight="1">
      <c r="A59" s="207" t="s">
        <v>377</v>
      </c>
      <c r="B59" s="368">
        <f ca="1">POWER((1+B58),4)-1</f>
        <v>0.1738526525217754</v>
      </c>
      <c r="C59" s="234"/>
      <c r="D59" s="234"/>
      <c r="E59" s="234"/>
      <c r="F59" s="234"/>
      <c r="G59" s="234"/>
      <c r="H59" s="234"/>
      <c r="I59" s="234"/>
      <c r="J59" s="234"/>
      <c r="K59" s="235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6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T59" s="209"/>
      <c r="BU59" s="209"/>
      <c r="CH59" s="207"/>
      <c r="CI59" s="207"/>
    </row>
    <row r="160" spans="2:2">
      <c r="B160" s="370">
        <v>0.06</v>
      </c>
    </row>
    <row r="181" spans="1:7">
      <c r="E181" s="207">
        <f>A98</f>
        <v>0</v>
      </c>
    </row>
    <row r="182" spans="1:7">
      <c r="E182" s="207" t="s">
        <v>513</v>
      </c>
      <c r="F182" s="207" t="s">
        <v>514</v>
      </c>
    </row>
    <row r="183" spans="1:7">
      <c r="A183" s="207" t="s">
        <v>515</v>
      </c>
      <c r="B183" s="208">
        <f>IFERROR(G183/$B$100,0)</f>
        <v>0</v>
      </c>
      <c r="E183" s="207">
        <f>IFERROR(G183/$B$99,0)</f>
        <v>0</v>
      </c>
      <c r="G183" s="207">
        <f>G106</f>
        <v>0</v>
      </c>
    </row>
    <row r="184" spans="1:7">
      <c r="A184" s="207" t="s">
        <v>516</v>
      </c>
      <c r="F184" s="237">
        <f>IFERROR(G184/$B$166,0)</f>
        <v>0</v>
      </c>
      <c r="G184" s="207">
        <f>G166</f>
        <v>0</v>
      </c>
    </row>
    <row r="185" spans="1:7">
      <c r="G185" s="207">
        <f>SUM(G183:G184)</f>
        <v>0</v>
      </c>
    </row>
  </sheetData>
  <mergeCells count="6">
    <mergeCell ref="BG4:BI4"/>
    <mergeCell ref="A2:A4"/>
    <mergeCell ref="E2:G2"/>
    <mergeCell ref="H2:J2"/>
    <mergeCell ref="K2:M2"/>
    <mergeCell ref="BA4:BE4"/>
  </mergeCells>
  <conditionalFormatting sqref="C9:D10">
    <cfRule type="cellIs" dxfId="19" priority="1" operator="equal">
      <formula>#REF!</formula>
    </cfRule>
    <cfRule type="cellIs" dxfId="18" priority="2" operator="equal">
      <formula>#REF!</formula>
    </cfRule>
    <cfRule type="cellIs" dxfId="17" priority="3" operator="equal">
      <formula>#REF!</formula>
    </cfRule>
    <cfRule type="cellIs" dxfId="16" priority="4" operator="equal">
      <formula>#REF!</formula>
    </cfRule>
  </conditionalFormatting>
  <pageMargins left="0.7" right="0.7" top="0.75" bottom="0.75" header="0.3" footer="0.3"/>
  <pageSetup paperSize="3" orientation="landscape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D0A61-247E-42FA-8357-FA4C5E11595F}">
  <dimension ref="A1:T86"/>
  <sheetViews>
    <sheetView zoomScaleNormal="100" workbookViewId="0">
      <selection activeCell="E4" sqref="E4"/>
    </sheetView>
  </sheetViews>
  <sheetFormatPr defaultRowHeight="14.45"/>
  <cols>
    <col min="2" max="2" width="2" customWidth="1"/>
    <col min="4" max="4" width="10.42578125" bestFit="1" customWidth="1"/>
    <col min="5" max="5" width="15" bestFit="1" customWidth="1"/>
    <col min="6" max="6" width="15" customWidth="1"/>
    <col min="7" max="7" width="15.7109375" bestFit="1" customWidth="1"/>
    <col min="8" max="8" width="15" bestFit="1" customWidth="1"/>
    <col min="9" max="9" width="17.140625" bestFit="1" customWidth="1"/>
    <col min="10" max="10" width="13.5703125" bestFit="1" customWidth="1"/>
    <col min="11" max="11" width="13.5703125" customWidth="1"/>
    <col min="12" max="12" width="15" bestFit="1" customWidth="1"/>
    <col min="13" max="15" width="13.5703125" bestFit="1" customWidth="1"/>
    <col min="18" max="18" width="13.5703125" bestFit="1" customWidth="1"/>
    <col min="20" max="20" width="13.5703125" bestFit="1" customWidth="1"/>
  </cols>
  <sheetData>
    <row r="1" spans="1:13">
      <c r="A1" t="s">
        <v>117</v>
      </c>
    </row>
    <row r="3" spans="1:13">
      <c r="B3" s="778" t="s">
        <v>90</v>
      </c>
      <c r="C3" s="842"/>
      <c r="D3" s="842"/>
      <c r="E3" s="914">
        <f>IFERROR(INDEX(Assumptions!$J$27:$L$36,MATCH(A1,Assumptions!$J$27:$J$36,0),3),0)</f>
        <v>0.4</v>
      </c>
      <c r="H3" s="778" t="s">
        <v>518</v>
      </c>
      <c r="I3" s="1098"/>
      <c r="J3" s="827"/>
      <c r="L3" s="804" t="s">
        <v>519</v>
      </c>
      <c r="M3" s="805"/>
    </row>
    <row r="4" spans="1:13">
      <c r="B4" s="778" t="s">
        <v>520</v>
      </c>
      <c r="C4" s="1099"/>
      <c r="D4" s="779"/>
      <c r="E4" s="780">
        <f>'4-I Financial'!$D$10*E3</f>
        <v>74553141.277418241</v>
      </c>
      <c r="F4" s="823"/>
      <c r="H4" s="832">
        <v>1</v>
      </c>
      <c r="I4" s="831">
        <v>1</v>
      </c>
      <c r="J4" s="791">
        <f>SUMIFS('4-I Amortization'!$K$26:$K$86,'4-I Amortization'!$E$26:$E$86,H4,'4-I Amortization'!$F$26:$F$86,I4)</f>
        <v>-1071701.4058628872</v>
      </c>
      <c r="L4" s="806">
        <v>1</v>
      </c>
      <c r="M4" s="791">
        <f t="shared" ref="M4:M13" si="0">SUMIF($E$26:$E$386,L4,$K$26:$K$386)</f>
        <v>-4286805.6234515477</v>
      </c>
    </row>
    <row r="5" spans="1:13">
      <c r="B5" s="1026" t="s">
        <v>521</v>
      </c>
      <c r="C5" s="781"/>
      <c r="D5" s="782"/>
      <c r="E5" s="783">
        <f>'4-I DRAW'!X9+1</f>
        <v>49949</v>
      </c>
      <c r="F5" s="824"/>
      <c r="H5" s="832">
        <v>1</v>
      </c>
      <c r="I5" s="831">
        <v>2</v>
      </c>
      <c r="J5" s="791">
        <f>SUMIFS('4-I Amortization'!$K$26:$K$86,'4-I Amortization'!$E$26:$E$86,H5,'4-I Amortization'!$F$26:$F$86,I5)</f>
        <v>-1071701.4058628872</v>
      </c>
      <c r="L5" s="806">
        <f>L4+1</f>
        <v>2</v>
      </c>
      <c r="M5" s="791">
        <f t="shared" si="0"/>
        <v>-5220862.7534523243</v>
      </c>
    </row>
    <row r="6" spans="1:13">
      <c r="B6" s="1026" t="s">
        <v>522</v>
      </c>
      <c r="C6" s="781"/>
      <c r="D6" s="782"/>
      <c r="E6" s="784">
        <f>Assumptions!$L$41</f>
        <v>5</v>
      </c>
      <c r="F6" s="825"/>
      <c r="G6" s="785"/>
      <c r="H6" s="832">
        <v>1</v>
      </c>
      <c r="I6" s="831">
        <v>3</v>
      </c>
      <c r="J6" s="791">
        <f>SUMIFS('4-I Amortization'!$K$26:$K$86,'4-I Amortization'!$E$26:$E$86,H6,'4-I Amortization'!$F$26:$F$86,I6)</f>
        <v>-1071701.4058628872</v>
      </c>
      <c r="L6" s="806">
        <f t="shared" ref="L6:L13" si="1">L5+1</f>
        <v>3</v>
      </c>
      <c r="M6" s="791">
        <f t="shared" si="0"/>
        <v>-5220862.7534523243</v>
      </c>
    </row>
    <row r="7" spans="1:13">
      <c r="B7" s="1026" t="s">
        <v>523</v>
      </c>
      <c r="C7" s="781"/>
      <c r="D7" s="782"/>
      <c r="E7" s="803">
        <v>360</v>
      </c>
      <c r="F7" s="826"/>
      <c r="H7" s="832">
        <v>1</v>
      </c>
      <c r="I7" s="831">
        <v>4</v>
      </c>
      <c r="J7" s="791">
        <f>SUMIFS('4-I Amortization'!$K$26:$K$86,'4-I Amortization'!$E$26:$E$86,H7,'4-I Amortization'!$F$26:$F$86,I7)</f>
        <v>-1071701.4058628872</v>
      </c>
      <c r="L7" s="806">
        <f t="shared" si="1"/>
        <v>4</v>
      </c>
      <c r="M7" s="791">
        <f t="shared" si="0"/>
        <v>-5220862.7534523243</v>
      </c>
    </row>
    <row r="8" spans="1:13">
      <c r="B8" s="1026" t="s">
        <v>524</v>
      </c>
      <c r="C8" s="781"/>
      <c r="D8" s="782"/>
      <c r="E8" s="801">
        <v>1</v>
      </c>
      <c r="F8" s="786">
        <f>IF(E8="","",VLOOKUP(E8,$C$26:$D$386,2,FALSE))</f>
        <v>49979</v>
      </c>
      <c r="H8" s="832">
        <v>2</v>
      </c>
      <c r="I8" s="831">
        <v>1</v>
      </c>
      <c r="J8" s="791">
        <f>SUMIFS('4-I Amortization'!$K$26:$K$86,'4-I Amortization'!$E$26:$E$86,H8,'4-I Amortization'!$F$26:$F$86,I8)</f>
        <v>-1305215.6883630815</v>
      </c>
      <c r="L8" s="806">
        <f t="shared" si="1"/>
        <v>5</v>
      </c>
      <c r="M8" s="791">
        <f t="shared" si="0"/>
        <v>-5220862.7534523243</v>
      </c>
    </row>
    <row r="9" spans="1:13">
      <c r="B9" s="1026" t="s">
        <v>525</v>
      </c>
      <c r="C9" s="781"/>
      <c r="D9" s="782"/>
      <c r="E9" s="802">
        <v>12</v>
      </c>
      <c r="F9" s="787">
        <f>IF(E9="","",VLOOKUP(E9,$C$26:$D$386,2,FALSE))</f>
        <v>50313</v>
      </c>
      <c r="H9" s="832">
        <v>2</v>
      </c>
      <c r="I9" s="831">
        <v>2</v>
      </c>
      <c r="J9" s="791">
        <f>SUMIFS('4-I Amortization'!$K$26:$K$86,'4-I Amortization'!$E$26:$E$86,H9,'4-I Amortization'!$F$26:$F$86,I9)</f>
        <v>-1305215.6883630815</v>
      </c>
      <c r="L9" s="806">
        <f t="shared" si="1"/>
        <v>6</v>
      </c>
      <c r="M9" s="791">
        <f t="shared" si="0"/>
        <v>0</v>
      </c>
    </row>
    <row r="10" spans="1:13">
      <c r="B10" s="1026" t="s">
        <v>526</v>
      </c>
      <c r="C10" s="781"/>
      <c r="D10" s="782"/>
      <c r="E10" s="788">
        <f>Assumptions!$L6</f>
        <v>5.7500000000000002E-2</v>
      </c>
      <c r="H10" s="832">
        <v>2</v>
      </c>
      <c r="I10" s="831">
        <v>3</v>
      </c>
      <c r="J10" s="791">
        <f>SUMIFS('4-I Amortization'!$K$26:$K$86,'4-I Amortization'!$E$26:$E$86,H10,'4-I Amortization'!$F$26:$F$86,I10)</f>
        <v>-1305215.6883630813</v>
      </c>
      <c r="L10" s="806">
        <f t="shared" si="1"/>
        <v>7</v>
      </c>
      <c r="M10" s="791">
        <f t="shared" si="0"/>
        <v>0</v>
      </c>
    </row>
    <row r="11" spans="1:13">
      <c r="B11" s="1026" t="s">
        <v>527</v>
      </c>
      <c r="C11" s="781"/>
      <c r="D11" s="782"/>
      <c r="E11" s="788">
        <f>Assumptions!$L7</f>
        <v>5.0000000000000001E-3</v>
      </c>
      <c r="F11" s="789">
        <f>E11*E4</f>
        <v>372765.7063870912</v>
      </c>
      <c r="H11" s="832">
        <v>2</v>
      </c>
      <c r="I11" s="831">
        <v>4</v>
      </c>
      <c r="J11" s="791">
        <f>SUMIFS('4-I Amortization'!$K$26:$K$86,'4-I Amortization'!$E$26:$E$86,H11,'4-I Amortization'!$F$26:$F$86,I11)</f>
        <v>-1305215.6883630813</v>
      </c>
      <c r="L11" s="806">
        <f t="shared" si="1"/>
        <v>8</v>
      </c>
      <c r="M11" s="791">
        <f t="shared" si="0"/>
        <v>0</v>
      </c>
    </row>
    <row r="12" spans="1:13">
      <c r="B12" s="1026" t="s">
        <v>528</v>
      </c>
      <c r="C12" s="781"/>
      <c r="D12" s="782"/>
      <c r="E12" s="1027" t="s">
        <v>529</v>
      </c>
      <c r="H12" s="832">
        <v>3</v>
      </c>
      <c r="I12" s="831">
        <v>1</v>
      </c>
      <c r="J12" s="791">
        <f>SUMIFS('4-I Amortization'!$K$26:$K$86,'4-I Amortization'!$E$26:$E$86,H12,'4-I Amortization'!$F$26:$F$86,I12)</f>
        <v>-1305215.6883630813</v>
      </c>
      <c r="L12" s="806">
        <f t="shared" si="1"/>
        <v>9</v>
      </c>
      <c r="M12" s="791">
        <f t="shared" si="0"/>
        <v>0</v>
      </c>
    </row>
    <row r="13" spans="1:13">
      <c r="B13" s="1026" t="s">
        <v>530</v>
      </c>
      <c r="C13" s="781"/>
      <c r="D13" s="782"/>
      <c r="E13" s="791">
        <f>VLOOKUP(MIN(E6*12,E14),$C$26:$L$386,10,FALSE)</f>
        <v>70363547.965675861</v>
      </c>
      <c r="H13" s="832">
        <v>3</v>
      </c>
      <c r="I13" s="831">
        <v>2</v>
      </c>
      <c r="J13" s="791">
        <f>SUMIFS('4-I Amortization'!$K$26:$K$86,'4-I Amortization'!$E$26:$E$86,H13,'4-I Amortization'!$F$26:$F$86,I13)</f>
        <v>-1305215.6883630813</v>
      </c>
      <c r="L13" s="807">
        <f t="shared" si="1"/>
        <v>10</v>
      </c>
      <c r="M13" s="808">
        <f t="shared" si="0"/>
        <v>0</v>
      </c>
    </row>
    <row r="14" spans="1:13">
      <c r="B14" s="792" t="s">
        <v>531</v>
      </c>
      <c r="C14" s="793"/>
      <c r="D14" s="794"/>
      <c r="E14" s="790">
        <f>E6*12</f>
        <v>60</v>
      </c>
      <c r="F14" s="795"/>
      <c r="H14" s="832">
        <v>3</v>
      </c>
      <c r="I14" s="831">
        <v>3</v>
      </c>
      <c r="J14" s="791">
        <f>SUMIFS('4-I Amortization'!$K$26:$K$86,'4-I Amortization'!$E$26:$E$86,H14,'4-I Amortization'!$F$26:$F$86,I14)</f>
        <v>-1305215.6883630813</v>
      </c>
      <c r="K14" s="809"/>
    </row>
    <row r="15" spans="1:13">
      <c r="H15" s="832">
        <v>3</v>
      </c>
      <c r="I15" s="831">
        <v>4</v>
      </c>
      <c r="J15" s="791">
        <f>SUMIFS('4-I Amortization'!$K$26:$K$86,'4-I Amortization'!$E$26:$E$86,H15,'4-I Amortization'!$F$26:$F$86,I15)</f>
        <v>-1305215.6883630811</v>
      </c>
      <c r="K15" s="809"/>
    </row>
    <row r="16" spans="1:13">
      <c r="H16" s="832">
        <v>4</v>
      </c>
      <c r="I16" s="831">
        <v>1</v>
      </c>
      <c r="J16" s="791">
        <f>SUMIFS('4-I Amortization'!$K$26:$K$86,'4-I Amortization'!$E$26:$E$86,H16,'4-I Amortization'!$F$26:$F$86,I16)</f>
        <v>-1305215.6883630811</v>
      </c>
      <c r="K16" s="809"/>
    </row>
    <row r="17" spans="3:20">
      <c r="H17" s="832">
        <v>4</v>
      </c>
      <c r="I17" s="831">
        <v>2</v>
      </c>
      <c r="J17" s="791">
        <f>SUMIFS('4-I Amortization'!$K$26:$K$86,'4-I Amortization'!$E$26:$E$86,H17,'4-I Amortization'!$F$26:$F$86,I17)</f>
        <v>-1305215.6883630811</v>
      </c>
      <c r="K17" s="809"/>
    </row>
    <row r="18" spans="3:20">
      <c r="H18" s="832">
        <v>4</v>
      </c>
      <c r="I18" s="831">
        <v>3</v>
      </c>
      <c r="J18" s="791">
        <f>SUMIFS('4-I Amortization'!$K$26:$K$86,'4-I Amortization'!$E$26:$E$86,H18,'4-I Amortization'!$F$26:$F$86,I18)</f>
        <v>-1305215.6883630811</v>
      </c>
      <c r="K18" s="809"/>
    </row>
    <row r="19" spans="3:20">
      <c r="H19" s="832">
        <v>4</v>
      </c>
      <c r="I19" s="831">
        <v>4</v>
      </c>
      <c r="J19" s="791">
        <f>SUMIFS('4-I Amortization'!$K$26:$K$86,'4-I Amortization'!$E$26:$E$86,H19,'4-I Amortization'!$F$26:$F$86,I19)</f>
        <v>-1305215.6883630813</v>
      </c>
      <c r="K19" s="809"/>
    </row>
    <row r="20" spans="3:20">
      <c r="H20" s="832">
        <v>5</v>
      </c>
      <c r="I20" s="831">
        <v>1</v>
      </c>
      <c r="J20" s="791">
        <f>SUMIFS('4-I Amortization'!$K$26:$K$86,'4-I Amortization'!$E$26:$E$86,H20,'4-I Amortization'!$F$26:$F$86,I20)</f>
        <v>-1305215.6883630813</v>
      </c>
      <c r="K20" s="809"/>
    </row>
    <row r="21" spans="3:20">
      <c r="H21" s="832">
        <v>5</v>
      </c>
      <c r="I21" s="831">
        <v>2</v>
      </c>
      <c r="J21" s="791">
        <f>SUMIFS('4-I Amortization'!$K$26:$K$86,'4-I Amortization'!$E$26:$E$86,H21,'4-I Amortization'!$F$26:$F$86,I21)</f>
        <v>-1305215.6883630813</v>
      </c>
      <c r="K21" s="809"/>
    </row>
    <row r="22" spans="3:20">
      <c r="H22" s="832">
        <v>5</v>
      </c>
      <c r="I22" s="831">
        <v>3</v>
      </c>
      <c r="J22" s="791">
        <f>SUMIFS('4-I Amortization'!$K$26:$K$86,'4-I Amortization'!$E$26:$E$86,H22,'4-I Amortization'!$F$26:$F$86,I22)</f>
        <v>-1305215.6883630813</v>
      </c>
      <c r="K22" s="809"/>
    </row>
    <row r="23" spans="3:20">
      <c r="H23" s="833">
        <v>5</v>
      </c>
      <c r="I23" s="834">
        <v>4</v>
      </c>
      <c r="J23" s="808">
        <f>SUMIFS('4-I Amortization'!$K$26:$K$86,'4-I Amortization'!$E$26:$E$86,H23,'4-I Amortization'!$F$26:$F$86,I23)</f>
        <v>-1305215.6883630811</v>
      </c>
      <c r="K23" s="809"/>
    </row>
    <row r="24" spans="3:20">
      <c r="R24" s="809"/>
      <c r="T24" s="809"/>
    </row>
    <row r="25" spans="3:20" ht="15" thickBot="1">
      <c r="C25" s="811" t="s">
        <v>532</v>
      </c>
      <c r="D25" s="812" t="s">
        <v>533</v>
      </c>
      <c r="E25" s="812" t="s">
        <v>534</v>
      </c>
      <c r="F25" s="1100" t="s">
        <v>535</v>
      </c>
      <c r="G25" s="1100" t="s">
        <v>536</v>
      </c>
      <c r="H25" s="812" t="s">
        <v>537</v>
      </c>
      <c r="I25" s="812" t="s">
        <v>538</v>
      </c>
      <c r="J25" s="812" t="s">
        <v>520</v>
      </c>
      <c r="K25" s="812" t="s">
        <v>539</v>
      </c>
      <c r="L25" s="813" t="s">
        <v>540</v>
      </c>
    </row>
    <row r="26" spans="3:20">
      <c r="C26" s="796">
        <v>0</v>
      </c>
      <c r="D26" s="797">
        <f>E5</f>
        <v>49949</v>
      </c>
      <c r="E26" s="798">
        <f>ROUNDUP(C26/12,0)</f>
        <v>0</v>
      </c>
      <c r="F26" s="798"/>
      <c r="G26" s="799"/>
      <c r="I26" s="809"/>
      <c r="K26" s="809">
        <f t="shared" ref="K26:K86" si="2">SUM(I26:J26)</f>
        <v>0</v>
      </c>
      <c r="L26" s="791">
        <f t="shared" ref="L26:L57" si="3">IF(C26=0,$E$4,H26+J26)</f>
        <v>74553141.277418241</v>
      </c>
    </row>
    <row r="27" spans="3:20" ht="15" customHeight="1">
      <c r="C27" s="814">
        <f>C26+1</f>
        <v>1</v>
      </c>
      <c r="D27" s="815">
        <f t="shared" ref="D27:D58" si="4">EOMONTH($E$5,C27-1)</f>
        <v>49979</v>
      </c>
      <c r="E27" s="800">
        <f t="shared" ref="E27:E86" si="5">ROUNDUP(C27/12,0)</f>
        <v>1</v>
      </c>
      <c r="F27" s="800">
        <f>CHOOSE(MONTH(D27), 2, 2, 2, 3, 3, 3, 4, 4, 4, 1, 1, 1)</f>
        <v>1</v>
      </c>
      <c r="G27" s="816" t="str">
        <f>IF($E$12="NO",G26+1,
IF(OR(D27&lt;$F$8,D27&gt;$F$9),MAX($G$26:G26)+1,""))</f>
        <v/>
      </c>
      <c r="H27" s="809">
        <f t="shared" ref="H27:H58" si="6">IF(OR(E27&gt;$E$6,C27&gt;$E$14),0,L26)</f>
        <v>74553141.277418241</v>
      </c>
      <c r="I27" s="809">
        <f t="shared" ref="I27:I58" si="7">IF(OR(E27&gt;$E$6*12,C27&gt;$E$14),0,-H27*$E$10/12)</f>
        <v>-357233.80195429572</v>
      </c>
      <c r="J27" s="817">
        <f t="shared" ref="J27:J58" si="8">IF(OR(E27&gt;$E$6,C27&gt;$E$14),0,
IF(AND($E$8&lt;&gt;OR(0,""),$E$9&lt;&gt;OR(0,""),C27&gt;=$E$8,C27&lt;=$E$9),0,PPMT($E$10/12,IF($E$12="YES",G27,C27),$E$7,$E$4)))</f>
        <v>0</v>
      </c>
      <c r="K27" s="809">
        <f t="shared" si="2"/>
        <v>-357233.80195429572</v>
      </c>
      <c r="L27" s="791">
        <f t="shared" si="3"/>
        <v>74553141.277418241</v>
      </c>
    </row>
    <row r="28" spans="3:20">
      <c r="C28" s="814">
        <f t="shared" ref="C28:C86" si="9">C27+1</f>
        <v>2</v>
      </c>
      <c r="D28" s="815">
        <f t="shared" si="4"/>
        <v>50009</v>
      </c>
      <c r="E28" s="800">
        <f t="shared" si="5"/>
        <v>1</v>
      </c>
      <c r="F28" s="800">
        <f t="shared" ref="F28:F86" si="10">CHOOSE(MONTH(D28), 2, 2, 2, 3, 3, 3, 4, 4, 4, 1, 1, 1)</f>
        <v>1</v>
      </c>
      <c r="G28" s="816" t="str">
        <f>IF($E$12="NO",G27+1,
IF(OR(D28&lt;$F$8,D28&gt;$F$9),MAX($G$26:G27)+1,""))</f>
        <v/>
      </c>
      <c r="H28" s="809">
        <f t="shared" si="6"/>
        <v>74553141.277418241</v>
      </c>
      <c r="I28" s="809">
        <f t="shared" si="7"/>
        <v>-357233.80195429572</v>
      </c>
      <c r="J28" s="817">
        <f t="shared" si="8"/>
        <v>0</v>
      </c>
      <c r="K28" s="809">
        <f t="shared" si="2"/>
        <v>-357233.80195429572</v>
      </c>
      <c r="L28" s="791">
        <f t="shared" si="3"/>
        <v>74553141.277418241</v>
      </c>
    </row>
    <row r="29" spans="3:20">
      <c r="C29" s="814">
        <f t="shared" si="9"/>
        <v>3</v>
      </c>
      <c r="D29" s="815">
        <f t="shared" si="4"/>
        <v>50040</v>
      </c>
      <c r="E29" s="800">
        <f t="shared" si="5"/>
        <v>1</v>
      </c>
      <c r="F29" s="800">
        <f t="shared" si="10"/>
        <v>1</v>
      </c>
      <c r="G29" s="816" t="str">
        <f>IF($E$12="NO",G28+1,
IF(OR(D29&lt;$F$8,D29&gt;$F$9),MAX($G$26:G28)+1,""))</f>
        <v/>
      </c>
      <c r="H29" s="809">
        <f t="shared" si="6"/>
        <v>74553141.277418241</v>
      </c>
      <c r="I29" s="809">
        <f t="shared" si="7"/>
        <v>-357233.80195429572</v>
      </c>
      <c r="J29" s="817">
        <f t="shared" si="8"/>
        <v>0</v>
      </c>
      <c r="K29" s="809">
        <f t="shared" si="2"/>
        <v>-357233.80195429572</v>
      </c>
      <c r="L29" s="791">
        <f t="shared" si="3"/>
        <v>74553141.277418241</v>
      </c>
    </row>
    <row r="30" spans="3:20">
      <c r="C30" s="814">
        <f t="shared" si="9"/>
        <v>4</v>
      </c>
      <c r="D30" s="815">
        <f t="shared" si="4"/>
        <v>50071</v>
      </c>
      <c r="E30" s="800">
        <f t="shared" si="5"/>
        <v>1</v>
      </c>
      <c r="F30" s="800">
        <f t="shared" si="10"/>
        <v>2</v>
      </c>
      <c r="G30" s="816" t="str">
        <f>IF($E$12="NO",G29+1,
IF(OR(D30&lt;$F$8,D30&gt;$F$9),MAX($G$26:G29)+1,""))</f>
        <v/>
      </c>
      <c r="H30" s="809">
        <f t="shared" si="6"/>
        <v>74553141.277418241</v>
      </c>
      <c r="I30" s="809">
        <f t="shared" si="7"/>
        <v>-357233.80195429572</v>
      </c>
      <c r="J30" s="817">
        <f t="shared" si="8"/>
        <v>0</v>
      </c>
      <c r="K30" s="809">
        <f t="shared" si="2"/>
        <v>-357233.80195429572</v>
      </c>
      <c r="L30" s="791">
        <f t="shared" si="3"/>
        <v>74553141.277418241</v>
      </c>
    </row>
    <row r="31" spans="3:20">
      <c r="C31" s="814">
        <f t="shared" si="9"/>
        <v>5</v>
      </c>
      <c r="D31" s="815">
        <f t="shared" si="4"/>
        <v>50099</v>
      </c>
      <c r="E31" s="800">
        <f t="shared" si="5"/>
        <v>1</v>
      </c>
      <c r="F31" s="800">
        <f t="shared" si="10"/>
        <v>2</v>
      </c>
      <c r="G31" s="816" t="str">
        <f>IF($E$12="NO",G30+1,
IF(OR(D31&lt;$F$8,D31&gt;$F$9),MAX($G$26:G30)+1,""))</f>
        <v/>
      </c>
      <c r="H31" s="809">
        <f t="shared" si="6"/>
        <v>74553141.277418241</v>
      </c>
      <c r="I31" s="809">
        <f t="shared" si="7"/>
        <v>-357233.80195429572</v>
      </c>
      <c r="J31" s="817">
        <f t="shared" si="8"/>
        <v>0</v>
      </c>
      <c r="K31" s="809">
        <f t="shared" si="2"/>
        <v>-357233.80195429572</v>
      </c>
      <c r="L31" s="791">
        <f t="shared" si="3"/>
        <v>74553141.277418241</v>
      </c>
    </row>
    <row r="32" spans="3:20">
      <c r="C32" s="814">
        <f t="shared" si="9"/>
        <v>6</v>
      </c>
      <c r="D32" s="815">
        <f t="shared" si="4"/>
        <v>50130</v>
      </c>
      <c r="E32" s="800">
        <f t="shared" si="5"/>
        <v>1</v>
      </c>
      <c r="F32" s="800">
        <f t="shared" si="10"/>
        <v>2</v>
      </c>
      <c r="G32" s="816" t="str">
        <f>IF($E$12="NO",G31+1,
IF(OR(D32&lt;$F$8,D32&gt;$F$9),MAX($G$26:G31)+1,""))</f>
        <v/>
      </c>
      <c r="H32" s="809">
        <f t="shared" si="6"/>
        <v>74553141.277418241</v>
      </c>
      <c r="I32" s="809">
        <f t="shared" si="7"/>
        <v>-357233.80195429572</v>
      </c>
      <c r="J32" s="817">
        <f t="shared" si="8"/>
        <v>0</v>
      </c>
      <c r="K32" s="809">
        <f t="shared" si="2"/>
        <v>-357233.80195429572</v>
      </c>
      <c r="L32" s="791">
        <f t="shared" si="3"/>
        <v>74553141.277418241</v>
      </c>
    </row>
    <row r="33" spans="3:12">
      <c r="C33" s="814">
        <f t="shared" si="9"/>
        <v>7</v>
      </c>
      <c r="D33" s="815">
        <f t="shared" si="4"/>
        <v>50160</v>
      </c>
      <c r="E33" s="800">
        <f t="shared" si="5"/>
        <v>1</v>
      </c>
      <c r="F33" s="800">
        <f t="shared" si="10"/>
        <v>3</v>
      </c>
      <c r="G33" s="816" t="str">
        <f>IF($E$12="NO",G32+1,
IF(OR(D33&lt;$F$8,D33&gt;$F$9),MAX($G$26:G32)+1,""))</f>
        <v/>
      </c>
      <c r="H33" s="809">
        <f t="shared" si="6"/>
        <v>74553141.277418241</v>
      </c>
      <c r="I33" s="809">
        <f t="shared" si="7"/>
        <v>-357233.80195429572</v>
      </c>
      <c r="J33" s="817">
        <f t="shared" si="8"/>
        <v>0</v>
      </c>
      <c r="K33" s="809">
        <f t="shared" si="2"/>
        <v>-357233.80195429572</v>
      </c>
      <c r="L33" s="791">
        <f t="shared" si="3"/>
        <v>74553141.277418241</v>
      </c>
    </row>
    <row r="34" spans="3:12">
      <c r="C34" s="814">
        <f t="shared" si="9"/>
        <v>8</v>
      </c>
      <c r="D34" s="815">
        <f t="shared" si="4"/>
        <v>50191</v>
      </c>
      <c r="E34" s="800">
        <f t="shared" si="5"/>
        <v>1</v>
      </c>
      <c r="F34" s="800">
        <f t="shared" si="10"/>
        <v>3</v>
      </c>
      <c r="G34" s="816" t="str">
        <f>IF($E$12="NO",G33+1,
IF(OR(D34&lt;$F$8,D34&gt;$F$9),MAX($G$26:G33)+1,""))</f>
        <v/>
      </c>
      <c r="H34" s="809">
        <f t="shared" si="6"/>
        <v>74553141.277418241</v>
      </c>
      <c r="I34" s="809">
        <f t="shared" si="7"/>
        <v>-357233.80195429572</v>
      </c>
      <c r="J34" s="817">
        <f t="shared" si="8"/>
        <v>0</v>
      </c>
      <c r="K34" s="809">
        <f t="shared" si="2"/>
        <v>-357233.80195429572</v>
      </c>
      <c r="L34" s="791">
        <f t="shared" si="3"/>
        <v>74553141.277418241</v>
      </c>
    </row>
    <row r="35" spans="3:12">
      <c r="C35" s="814">
        <f t="shared" si="9"/>
        <v>9</v>
      </c>
      <c r="D35" s="815">
        <f t="shared" si="4"/>
        <v>50221</v>
      </c>
      <c r="E35" s="800">
        <f t="shared" si="5"/>
        <v>1</v>
      </c>
      <c r="F35" s="800">
        <f t="shared" si="10"/>
        <v>3</v>
      </c>
      <c r="G35" s="816" t="str">
        <f>IF($E$12="NO",G34+1,
IF(OR(D35&lt;$F$8,D35&gt;$F$9),MAX($G$26:G34)+1,""))</f>
        <v/>
      </c>
      <c r="H35" s="809">
        <f t="shared" si="6"/>
        <v>74553141.277418241</v>
      </c>
      <c r="I35" s="809">
        <f t="shared" si="7"/>
        <v>-357233.80195429572</v>
      </c>
      <c r="J35" s="817">
        <f t="shared" si="8"/>
        <v>0</v>
      </c>
      <c r="K35" s="809">
        <f t="shared" si="2"/>
        <v>-357233.80195429572</v>
      </c>
      <c r="L35" s="791">
        <f t="shared" si="3"/>
        <v>74553141.277418241</v>
      </c>
    </row>
    <row r="36" spans="3:12">
      <c r="C36" s="814">
        <f t="shared" si="9"/>
        <v>10</v>
      </c>
      <c r="D36" s="815">
        <f t="shared" si="4"/>
        <v>50252</v>
      </c>
      <c r="E36" s="800">
        <f t="shared" si="5"/>
        <v>1</v>
      </c>
      <c r="F36" s="800">
        <f t="shared" si="10"/>
        <v>4</v>
      </c>
      <c r="G36" s="816" t="str">
        <f>IF($E$12="NO",G35+1,
IF(OR(D36&lt;$F$8,D36&gt;$F$9),MAX($G$26:G35)+1,""))</f>
        <v/>
      </c>
      <c r="H36" s="809">
        <f t="shared" si="6"/>
        <v>74553141.277418241</v>
      </c>
      <c r="I36" s="809">
        <f t="shared" si="7"/>
        <v>-357233.80195429572</v>
      </c>
      <c r="J36" s="817">
        <f t="shared" si="8"/>
        <v>0</v>
      </c>
      <c r="K36" s="809">
        <f t="shared" si="2"/>
        <v>-357233.80195429572</v>
      </c>
      <c r="L36" s="791">
        <f t="shared" si="3"/>
        <v>74553141.277418241</v>
      </c>
    </row>
    <row r="37" spans="3:12">
      <c r="C37" s="814">
        <f t="shared" si="9"/>
        <v>11</v>
      </c>
      <c r="D37" s="815">
        <f t="shared" si="4"/>
        <v>50283</v>
      </c>
      <c r="E37" s="800">
        <f t="shared" si="5"/>
        <v>1</v>
      </c>
      <c r="F37" s="800">
        <f t="shared" si="10"/>
        <v>4</v>
      </c>
      <c r="G37" s="816" t="str">
        <f>IF($E$12="NO",G36+1,
IF(OR(D37&lt;$F$8,D37&gt;$F$9),MAX($G$26:G36)+1,""))</f>
        <v/>
      </c>
      <c r="H37" s="809">
        <f t="shared" si="6"/>
        <v>74553141.277418241</v>
      </c>
      <c r="I37" s="809">
        <f t="shared" si="7"/>
        <v>-357233.80195429572</v>
      </c>
      <c r="J37" s="817">
        <f t="shared" si="8"/>
        <v>0</v>
      </c>
      <c r="K37" s="809">
        <f t="shared" si="2"/>
        <v>-357233.80195429572</v>
      </c>
      <c r="L37" s="791">
        <f t="shared" si="3"/>
        <v>74553141.277418241</v>
      </c>
    </row>
    <row r="38" spans="3:12">
      <c r="C38" s="814">
        <f t="shared" si="9"/>
        <v>12</v>
      </c>
      <c r="D38" s="815">
        <f t="shared" si="4"/>
        <v>50313</v>
      </c>
      <c r="E38" s="800">
        <f t="shared" si="5"/>
        <v>1</v>
      </c>
      <c r="F38" s="800">
        <f t="shared" si="10"/>
        <v>4</v>
      </c>
      <c r="G38" s="816" t="str">
        <f>IF($E$12="NO",G37+1,
IF(OR(D38&lt;$F$8,D38&gt;$F$9),MAX($G$26:G37)+1,""))</f>
        <v/>
      </c>
      <c r="H38" s="809">
        <f t="shared" si="6"/>
        <v>74553141.277418241</v>
      </c>
      <c r="I38" s="809">
        <f t="shared" si="7"/>
        <v>-357233.80195429572</v>
      </c>
      <c r="J38" s="817">
        <f t="shared" si="8"/>
        <v>0</v>
      </c>
      <c r="K38" s="809">
        <f t="shared" si="2"/>
        <v>-357233.80195429572</v>
      </c>
      <c r="L38" s="791">
        <f t="shared" si="3"/>
        <v>74553141.277418241</v>
      </c>
    </row>
    <row r="39" spans="3:12">
      <c r="C39" s="814">
        <f t="shared" si="9"/>
        <v>13</v>
      </c>
      <c r="D39" s="815">
        <f t="shared" si="4"/>
        <v>50344</v>
      </c>
      <c r="E39" s="800">
        <f t="shared" si="5"/>
        <v>2</v>
      </c>
      <c r="F39" s="800">
        <f t="shared" si="10"/>
        <v>1</v>
      </c>
      <c r="G39" s="816">
        <f>IF($E$12="NO",G38+1,
IF(OR(D39&lt;$F$8,D39&gt;$F$9),MAX($G$26:G38)+1,""))</f>
        <v>1</v>
      </c>
      <c r="H39" s="809">
        <f t="shared" si="6"/>
        <v>74553141.277418241</v>
      </c>
      <c r="I39" s="809">
        <f t="shared" si="7"/>
        <v>-357233.80195429572</v>
      </c>
      <c r="J39" s="817">
        <f t="shared" si="8"/>
        <v>-77838.094166731404</v>
      </c>
      <c r="K39" s="809">
        <f t="shared" si="2"/>
        <v>-435071.89612102712</v>
      </c>
      <c r="L39" s="791">
        <f t="shared" si="3"/>
        <v>74475303.183251515</v>
      </c>
    </row>
    <row r="40" spans="3:12">
      <c r="C40" s="814">
        <f t="shared" si="9"/>
        <v>14</v>
      </c>
      <c r="D40" s="815">
        <f t="shared" si="4"/>
        <v>50374</v>
      </c>
      <c r="E40" s="800">
        <f t="shared" si="5"/>
        <v>2</v>
      </c>
      <c r="F40" s="800">
        <f t="shared" si="10"/>
        <v>1</v>
      </c>
      <c r="G40" s="816">
        <f>IF($E$12="NO",G39+1,
IF(OR(D40&lt;$F$8,D40&gt;$F$9),MAX($G$26:G39)+1,""))</f>
        <v>2</v>
      </c>
      <c r="H40" s="809">
        <f t="shared" si="6"/>
        <v>74475303.183251515</v>
      </c>
      <c r="I40" s="809">
        <f t="shared" si="7"/>
        <v>-356860.82775308023</v>
      </c>
      <c r="J40" s="817">
        <f t="shared" si="8"/>
        <v>-78211.068367946966</v>
      </c>
      <c r="K40" s="809">
        <f t="shared" si="2"/>
        <v>-435071.89612102718</v>
      </c>
      <c r="L40" s="791">
        <f t="shared" si="3"/>
        <v>74397092.114883572</v>
      </c>
    </row>
    <row r="41" spans="3:12">
      <c r="C41" s="814">
        <f t="shared" si="9"/>
        <v>15</v>
      </c>
      <c r="D41" s="815">
        <f t="shared" si="4"/>
        <v>50405</v>
      </c>
      <c r="E41" s="800">
        <f t="shared" si="5"/>
        <v>2</v>
      </c>
      <c r="F41" s="800">
        <f t="shared" si="10"/>
        <v>1</v>
      </c>
      <c r="G41" s="816">
        <f>IF($E$12="NO",G40+1,
IF(OR(D41&lt;$F$8,D41&gt;$F$9),MAX($G$26:G40)+1,""))</f>
        <v>3</v>
      </c>
      <c r="H41" s="809">
        <f t="shared" si="6"/>
        <v>74397092.114883572</v>
      </c>
      <c r="I41" s="809">
        <f t="shared" si="7"/>
        <v>-356486.06638381717</v>
      </c>
      <c r="J41" s="817">
        <f t="shared" si="8"/>
        <v>-78585.82973721005</v>
      </c>
      <c r="K41" s="809">
        <f t="shared" si="2"/>
        <v>-435071.89612102724</v>
      </c>
      <c r="L41" s="791">
        <f t="shared" si="3"/>
        <v>74318506.285146356</v>
      </c>
    </row>
    <row r="42" spans="3:12">
      <c r="C42" s="814">
        <f t="shared" si="9"/>
        <v>16</v>
      </c>
      <c r="D42" s="815">
        <f t="shared" si="4"/>
        <v>50436</v>
      </c>
      <c r="E42" s="800">
        <f t="shared" si="5"/>
        <v>2</v>
      </c>
      <c r="F42" s="800">
        <f t="shared" si="10"/>
        <v>2</v>
      </c>
      <c r="G42" s="816">
        <f>IF($E$12="NO",G41+1,
IF(OR(D42&lt;$F$8,D42&gt;$F$9),MAX($G$26:G41)+1,""))</f>
        <v>4</v>
      </c>
      <c r="H42" s="809">
        <f t="shared" si="6"/>
        <v>74318506.285146356</v>
      </c>
      <c r="I42" s="809">
        <f t="shared" si="7"/>
        <v>-356109.50928299298</v>
      </c>
      <c r="J42" s="817">
        <f t="shared" si="8"/>
        <v>-78962.386838034203</v>
      </c>
      <c r="K42" s="809">
        <f t="shared" si="2"/>
        <v>-435071.89612102718</v>
      </c>
      <c r="L42" s="791">
        <f t="shared" si="3"/>
        <v>74239543.898308322</v>
      </c>
    </row>
    <row r="43" spans="3:12">
      <c r="C43" s="814">
        <f t="shared" si="9"/>
        <v>17</v>
      </c>
      <c r="D43" s="815">
        <f t="shared" si="4"/>
        <v>50464</v>
      </c>
      <c r="E43" s="800">
        <f t="shared" si="5"/>
        <v>2</v>
      </c>
      <c r="F43" s="800">
        <f t="shared" si="10"/>
        <v>2</v>
      </c>
      <c r="G43" s="816">
        <f>IF($E$12="NO",G42+1,
IF(OR(D43&lt;$F$8,D43&gt;$F$9),MAX($G$26:G42)+1,""))</f>
        <v>5</v>
      </c>
      <c r="H43" s="809">
        <f t="shared" si="6"/>
        <v>74239543.898308322</v>
      </c>
      <c r="I43" s="809">
        <f t="shared" si="7"/>
        <v>-355731.14784606075</v>
      </c>
      <c r="J43" s="817">
        <f t="shared" si="8"/>
        <v>-79340.748274966434</v>
      </c>
      <c r="K43" s="809">
        <f t="shared" si="2"/>
        <v>-435071.89612102718</v>
      </c>
      <c r="L43" s="791">
        <f t="shared" si="3"/>
        <v>74160203.150033355</v>
      </c>
    </row>
    <row r="44" spans="3:12">
      <c r="C44" s="814">
        <f t="shared" si="9"/>
        <v>18</v>
      </c>
      <c r="D44" s="815">
        <f t="shared" si="4"/>
        <v>50495</v>
      </c>
      <c r="E44" s="800">
        <f t="shared" si="5"/>
        <v>2</v>
      </c>
      <c r="F44" s="800">
        <f t="shared" si="10"/>
        <v>2</v>
      </c>
      <c r="G44" s="816">
        <f>IF($E$12="NO",G43+1,
IF(OR(D44&lt;$F$8,D44&gt;$F$9),MAX($G$26:G43)+1,""))</f>
        <v>6</v>
      </c>
      <c r="H44" s="809">
        <f t="shared" si="6"/>
        <v>74160203.150033355</v>
      </c>
      <c r="I44" s="809">
        <f t="shared" si="7"/>
        <v>-355350.97342724312</v>
      </c>
      <c r="J44" s="817">
        <f t="shared" si="8"/>
        <v>-79720.922693783985</v>
      </c>
      <c r="K44" s="809">
        <f t="shared" si="2"/>
        <v>-435071.89612102712</v>
      </c>
      <c r="L44" s="791">
        <f t="shared" si="3"/>
        <v>74080482.227339566</v>
      </c>
    </row>
    <row r="45" spans="3:12">
      <c r="C45" s="814">
        <f t="shared" si="9"/>
        <v>19</v>
      </c>
      <c r="D45" s="815">
        <f t="shared" si="4"/>
        <v>50525</v>
      </c>
      <c r="E45" s="800">
        <f t="shared" si="5"/>
        <v>2</v>
      </c>
      <c r="F45" s="800">
        <f t="shared" si="10"/>
        <v>3</v>
      </c>
      <c r="G45" s="816">
        <f>IF($E$12="NO",G44+1,
IF(OR(D45&lt;$F$8,D45&gt;$F$9),MAX($G$26:G44)+1,""))</f>
        <v>7</v>
      </c>
      <c r="H45" s="809">
        <f t="shared" si="6"/>
        <v>74080482.227339566</v>
      </c>
      <c r="I45" s="809">
        <f t="shared" si="7"/>
        <v>-354968.97733933543</v>
      </c>
      <c r="J45" s="817">
        <f t="shared" si="8"/>
        <v>-80102.918781691696</v>
      </c>
      <c r="K45" s="809">
        <f t="shared" si="2"/>
        <v>-435071.89612102712</v>
      </c>
      <c r="L45" s="791">
        <f t="shared" si="3"/>
        <v>74000379.308557868</v>
      </c>
    </row>
    <row r="46" spans="3:12">
      <c r="C46" s="814">
        <f t="shared" si="9"/>
        <v>20</v>
      </c>
      <c r="D46" s="815">
        <f t="shared" si="4"/>
        <v>50556</v>
      </c>
      <c r="E46" s="800">
        <f t="shared" si="5"/>
        <v>2</v>
      </c>
      <c r="F46" s="800">
        <f t="shared" si="10"/>
        <v>3</v>
      </c>
      <c r="G46" s="816">
        <f>IF($E$12="NO",G45+1,
IF(OR(D46&lt;$F$8,D46&gt;$F$9),MAX($G$26:G45)+1,""))</f>
        <v>8</v>
      </c>
      <c r="H46" s="809">
        <f t="shared" si="6"/>
        <v>74000379.308557868</v>
      </c>
      <c r="I46" s="809">
        <f t="shared" si="7"/>
        <v>-354585.15085350646</v>
      </c>
      <c r="J46" s="817">
        <f t="shared" si="8"/>
        <v>-80486.74526752063</v>
      </c>
      <c r="K46" s="809">
        <f t="shared" si="2"/>
        <v>-435071.89612102706</v>
      </c>
      <c r="L46" s="791">
        <f t="shared" si="3"/>
        <v>73919892.563290343</v>
      </c>
    </row>
    <row r="47" spans="3:12">
      <c r="C47" s="814">
        <f t="shared" si="9"/>
        <v>21</v>
      </c>
      <c r="D47" s="815">
        <f t="shared" si="4"/>
        <v>50586</v>
      </c>
      <c r="E47" s="800">
        <f t="shared" si="5"/>
        <v>2</v>
      </c>
      <c r="F47" s="800">
        <f t="shared" si="10"/>
        <v>3</v>
      </c>
      <c r="G47" s="816">
        <f>IF($E$12="NO",G46+1,
IF(OR(D47&lt;$F$8,D47&gt;$F$9),MAX($G$26:G46)+1,""))</f>
        <v>9</v>
      </c>
      <c r="H47" s="809">
        <f t="shared" si="6"/>
        <v>73919892.563290343</v>
      </c>
      <c r="I47" s="809">
        <f t="shared" si="7"/>
        <v>-354199.48519909958</v>
      </c>
      <c r="J47" s="817">
        <f t="shared" si="8"/>
        <v>-80872.410921927512</v>
      </c>
      <c r="K47" s="809">
        <f t="shared" si="2"/>
        <v>-435071.89612102706</v>
      </c>
      <c r="L47" s="791">
        <f t="shared" si="3"/>
        <v>73839020.152368411</v>
      </c>
    </row>
    <row r="48" spans="3:12">
      <c r="C48" s="814">
        <f t="shared" si="9"/>
        <v>22</v>
      </c>
      <c r="D48" s="815">
        <f t="shared" si="4"/>
        <v>50617</v>
      </c>
      <c r="E48" s="800">
        <f t="shared" si="5"/>
        <v>2</v>
      </c>
      <c r="F48" s="800">
        <f t="shared" si="10"/>
        <v>4</v>
      </c>
      <c r="G48" s="816">
        <f>IF($E$12="NO",G47+1,
IF(OR(D48&lt;$F$8,D48&gt;$F$9),MAX($G$26:G47)+1,""))</f>
        <v>10</v>
      </c>
      <c r="H48" s="809">
        <f t="shared" si="6"/>
        <v>73839020.152368411</v>
      </c>
      <c r="I48" s="809">
        <f t="shared" si="7"/>
        <v>-353811.97156343196</v>
      </c>
      <c r="J48" s="817">
        <f t="shared" si="8"/>
        <v>-81259.924557595077</v>
      </c>
      <c r="K48" s="809">
        <f t="shared" si="2"/>
        <v>-435071.89612102706</v>
      </c>
      <c r="L48" s="791">
        <f t="shared" si="3"/>
        <v>73757760.227810815</v>
      </c>
    </row>
    <row r="49" spans="3:12">
      <c r="C49" s="814">
        <f t="shared" si="9"/>
        <v>23</v>
      </c>
      <c r="D49" s="815">
        <f t="shared" si="4"/>
        <v>50648</v>
      </c>
      <c r="E49" s="800">
        <f t="shared" si="5"/>
        <v>2</v>
      </c>
      <c r="F49" s="800">
        <f t="shared" si="10"/>
        <v>4</v>
      </c>
      <c r="G49" s="816">
        <f>IF($E$12="NO",G48+1,
IF(OR(D49&lt;$F$8,D49&gt;$F$9),MAX($G$26:G48)+1,""))</f>
        <v>11</v>
      </c>
      <c r="H49" s="809">
        <f t="shared" si="6"/>
        <v>73757760.227810815</v>
      </c>
      <c r="I49" s="809">
        <f t="shared" si="7"/>
        <v>-353422.6010915935</v>
      </c>
      <c r="J49" s="817">
        <f t="shared" si="8"/>
        <v>-81649.295029433546</v>
      </c>
      <c r="K49" s="809">
        <f t="shared" si="2"/>
        <v>-435071.89612102706</v>
      </c>
      <c r="L49" s="791">
        <f t="shared" si="3"/>
        <v>73676110.932781383</v>
      </c>
    </row>
    <row r="50" spans="3:12">
      <c r="C50" s="814">
        <f t="shared" si="9"/>
        <v>24</v>
      </c>
      <c r="D50" s="815">
        <f t="shared" si="4"/>
        <v>50678</v>
      </c>
      <c r="E50" s="800">
        <f t="shared" si="5"/>
        <v>2</v>
      </c>
      <c r="F50" s="800">
        <f t="shared" si="10"/>
        <v>4</v>
      </c>
      <c r="G50" s="816">
        <f>IF($E$12="NO",G49+1,
IF(OR(D50&lt;$F$8,D50&gt;$F$9),MAX($G$26:G49)+1,""))</f>
        <v>12</v>
      </c>
      <c r="H50" s="809">
        <f t="shared" si="6"/>
        <v>73676110.932781383</v>
      </c>
      <c r="I50" s="809">
        <f t="shared" si="7"/>
        <v>-353031.36488624412</v>
      </c>
      <c r="J50" s="817">
        <f t="shared" si="8"/>
        <v>-82040.531234782917</v>
      </c>
      <c r="K50" s="809">
        <f t="shared" si="2"/>
        <v>-435071.89612102706</v>
      </c>
      <c r="L50" s="791">
        <f t="shared" si="3"/>
        <v>73594070.401546597</v>
      </c>
    </row>
    <row r="51" spans="3:12">
      <c r="C51" s="814">
        <f t="shared" si="9"/>
        <v>25</v>
      </c>
      <c r="D51" s="815">
        <f t="shared" si="4"/>
        <v>50709</v>
      </c>
      <c r="E51" s="800">
        <f t="shared" si="5"/>
        <v>3</v>
      </c>
      <c r="F51" s="800">
        <f t="shared" si="10"/>
        <v>1</v>
      </c>
      <c r="G51" s="816">
        <f>IF($E$12="NO",G50+1,
IF(OR(D51&lt;$F$8,D51&gt;$F$9),MAX($G$26:G50)+1,""))</f>
        <v>13</v>
      </c>
      <c r="H51" s="809">
        <f t="shared" si="6"/>
        <v>73594070.401546597</v>
      </c>
      <c r="I51" s="809">
        <f t="shared" si="7"/>
        <v>-352638.25400741078</v>
      </c>
      <c r="J51" s="817">
        <f t="shared" si="8"/>
        <v>-82433.642113616253</v>
      </c>
      <c r="K51" s="809">
        <f t="shared" si="2"/>
        <v>-435071.89612102706</v>
      </c>
      <c r="L51" s="791">
        <f t="shared" si="3"/>
        <v>73511636.759432986</v>
      </c>
    </row>
    <row r="52" spans="3:12">
      <c r="C52" s="814">
        <f t="shared" si="9"/>
        <v>26</v>
      </c>
      <c r="D52" s="815">
        <f t="shared" si="4"/>
        <v>50739</v>
      </c>
      <c r="E52" s="800">
        <f t="shared" si="5"/>
        <v>3</v>
      </c>
      <c r="F52" s="800">
        <f t="shared" si="10"/>
        <v>1</v>
      </c>
      <c r="G52" s="816">
        <f>IF($E$12="NO",G51+1,
IF(OR(D52&lt;$F$8,D52&gt;$F$9),MAX($G$26:G51)+1,""))</f>
        <v>14</v>
      </c>
      <c r="H52" s="809">
        <f t="shared" si="6"/>
        <v>73511636.759432986</v>
      </c>
      <c r="I52" s="809">
        <f t="shared" si="7"/>
        <v>-352243.25947228307</v>
      </c>
      <c r="J52" s="817">
        <f t="shared" si="8"/>
        <v>-82828.63664874401</v>
      </c>
      <c r="K52" s="809">
        <f t="shared" si="2"/>
        <v>-435071.89612102706</v>
      </c>
      <c r="L52" s="791">
        <f t="shared" si="3"/>
        <v>73428808.122784242</v>
      </c>
    </row>
    <row r="53" spans="3:12">
      <c r="C53" s="814">
        <f t="shared" si="9"/>
        <v>27</v>
      </c>
      <c r="D53" s="815">
        <f t="shared" si="4"/>
        <v>50770</v>
      </c>
      <c r="E53" s="800">
        <f t="shared" si="5"/>
        <v>3</v>
      </c>
      <c r="F53" s="800">
        <f t="shared" si="10"/>
        <v>1</v>
      </c>
      <c r="G53" s="816">
        <f>IF($E$12="NO",G52+1,
IF(OR(D53&lt;$F$8,D53&gt;$F$9),MAX($G$26:G52)+1,""))</f>
        <v>15</v>
      </c>
      <c r="H53" s="809">
        <f t="shared" si="6"/>
        <v>73428808.122784242</v>
      </c>
      <c r="I53" s="809">
        <f t="shared" si="7"/>
        <v>-351846.37225500779</v>
      </c>
      <c r="J53" s="817">
        <f t="shared" si="8"/>
        <v>-83225.523866019241</v>
      </c>
      <c r="K53" s="809">
        <f t="shared" si="2"/>
        <v>-435071.89612102706</v>
      </c>
      <c r="L53" s="791">
        <f t="shared" si="3"/>
        <v>73345582.598918229</v>
      </c>
    </row>
    <row r="54" spans="3:12">
      <c r="C54" s="814">
        <f t="shared" si="9"/>
        <v>28</v>
      </c>
      <c r="D54" s="815">
        <f t="shared" si="4"/>
        <v>50801</v>
      </c>
      <c r="E54" s="800">
        <f t="shared" si="5"/>
        <v>3</v>
      </c>
      <c r="F54" s="800">
        <f t="shared" si="10"/>
        <v>2</v>
      </c>
      <c r="G54" s="816">
        <f>IF($E$12="NO",G53+1,
IF(OR(D54&lt;$F$8,D54&gt;$F$9),MAX($G$26:G53)+1,""))</f>
        <v>16</v>
      </c>
      <c r="H54" s="809">
        <f t="shared" si="6"/>
        <v>73345582.598918229</v>
      </c>
      <c r="I54" s="809">
        <f t="shared" si="7"/>
        <v>-351447.58328648325</v>
      </c>
      <c r="J54" s="817">
        <f t="shared" si="8"/>
        <v>-83624.312834543904</v>
      </c>
      <c r="K54" s="809">
        <f t="shared" si="2"/>
        <v>-435071.89612102718</v>
      </c>
      <c r="L54" s="791">
        <f t="shared" si="3"/>
        <v>73261958.286083683</v>
      </c>
    </row>
    <row r="55" spans="3:12">
      <c r="C55" s="814">
        <f t="shared" si="9"/>
        <v>29</v>
      </c>
      <c r="D55" s="815">
        <f t="shared" si="4"/>
        <v>50829</v>
      </c>
      <c r="E55" s="800">
        <f t="shared" si="5"/>
        <v>3</v>
      </c>
      <c r="F55" s="800">
        <f t="shared" si="10"/>
        <v>2</v>
      </c>
      <c r="G55" s="816">
        <f>IF($E$12="NO",G54+1,
IF(OR(D55&lt;$F$8,D55&gt;$F$9),MAX($G$26:G54)+1,""))</f>
        <v>17</v>
      </c>
      <c r="H55" s="809">
        <f t="shared" si="6"/>
        <v>73261958.286083683</v>
      </c>
      <c r="I55" s="809">
        <f t="shared" si="7"/>
        <v>-351046.88345415099</v>
      </c>
      <c r="J55" s="817">
        <f t="shared" si="8"/>
        <v>-84025.012666876108</v>
      </c>
      <c r="K55" s="809">
        <f t="shared" si="2"/>
        <v>-435071.89612102706</v>
      </c>
      <c r="L55" s="791">
        <f t="shared" si="3"/>
        <v>73177933.273416802</v>
      </c>
    </row>
    <row r="56" spans="3:12">
      <c r="C56" s="814">
        <f t="shared" si="9"/>
        <v>30</v>
      </c>
      <c r="D56" s="815">
        <f t="shared" si="4"/>
        <v>50860</v>
      </c>
      <c r="E56" s="800">
        <f t="shared" si="5"/>
        <v>3</v>
      </c>
      <c r="F56" s="800">
        <f t="shared" si="10"/>
        <v>2</v>
      </c>
      <c r="G56" s="816">
        <f>IF($E$12="NO",G55+1,
IF(OR(D56&lt;$F$8,D56&gt;$F$9),MAX($G$26:G55)+1,""))</f>
        <v>18</v>
      </c>
      <c r="H56" s="809">
        <f t="shared" si="6"/>
        <v>73177933.273416802</v>
      </c>
      <c r="I56" s="809">
        <f t="shared" si="7"/>
        <v>-350644.26360178884</v>
      </c>
      <c r="J56" s="817">
        <f t="shared" si="8"/>
        <v>-84427.632519238221</v>
      </c>
      <c r="K56" s="809">
        <f t="shared" si="2"/>
        <v>-435071.89612102706</v>
      </c>
      <c r="L56" s="791">
        <f t="shared" si="3"/>
        <v>73093505.640897557</v>
      </c>
    </row>
    <row r="57" spans="3:12">
      <c r="C57" s="814">
        <f t="shared" si="9"/>
        <v>31</v>
      </c>
      <c r="D57" s="815">
        <f t="shared" si="4"/>
        <v>50890</v>
      </c>
      <c r="E57" s="800">
        <f t="shared" si="5"/>
        <v>3</v>
      </c>
      <c r="F57" s="800">
        <f t="shared" si="10"/>
        <v>3</v>
      </c>
      <c r="G57" s="816">
        <f>IF($E$12="NO",G56+1,
IF(OR(D57&lt;$F$8,D57&gt;$F$9),MAX($G$26:G56)+1,""))</f>
        <v>19</v>
      </c>
      <c r="H57" s="809">
        <f t="shared" si="6"/>
        <v>73093505.640897557</v>
      </c>
      <c r="I57" s="809">
        <f t="shared" si="7"/>
        <v>-350239.71452930081</v>
      </c>
      <c r="J57" s="817">
        <f t="shared" si="8"/>
        <v>-84832.181591726243</v>
      </c>
      <c r="K57" s="809">
        <f t="shared" si="2"/>
        <v>-435071.89612102706</v>
      </c>
      <c r="L57" s="791">
        <f t="shared" si="3"/>
        <v>73008673.459305838</v>
      </c>
    </row>
    <row r="58" spans="3:12">
      <c r="C58" s="814">
        <f t="shared" si="9"/>
        <v>32</v>
      </c>
      <c r="D58" s="815">
        <f t="shared" si="4"/>
        <v>50921</v>
      </c>
      <c r="E58" s="800">
        <f t="shared" si="5"/>
        <v>3</v>
      </c>
      <c r="F58" s="800">
        <f t="shared" si="10"/>
        <v>3</v>
      </c>
      <c r="G58" s="816">
        <f>IF($E$12="NO",G57+1,
IF(OR(D58&lt;$F$8,D58&gt;$F$9),MAX($G$26:G57)+1,""))</f>
        <v>20</v>
      </c>
      <c r="H58" s="809">
        <f t="shared" si="6"/>
        <v>73008673.459305838</v>
      </c>
      <c r="I58" s="809">
        <f t="shared" si="7"/>
        <v>-349833.22699250717</v>
      </c>
      <c r="J58" s="817">
        <f t="shared" si="8"/>
        <v>-85238.669128519934</v>
      </c>
      <c r="K58" s="809">
        <f t="shared" si="2"/>
        <v>-435071.89612102712</v>
      </c>
      <c r="L58" s="791">
        <f t="shared" ref="L58:L86" si="11">IF(C58=0,$E$4,H58+J58)</f>
        <v>72923434.790177315</v>
      </c>
    </row>
    <row r="59" spans="3:12">
      <c r="C59" s="814">
        <f t="shared" si="9"/>
        <v>33</v>
      </c>
      <c r="D59" s="815">
        <f t="shared" ref="D59:D86" si="12">EOMONTH($E$5,C59-1)</f>
        <v>50951</v>
      </c>
      <c r="E59" s="800">
        <f t="shared" si="5"/>
        <v>3</v>
      </c>
      <c r="F59" s="800">
        <f t="shared" si="10"/>
        <v>3</v>
      </c>
      <c r="G59" s="816">
        <f>IF($E$12="NO",G58+1,
IF(OR(D59&lt;$F$8,D59&gt;$F$9),MAX($G$26:G58)+1,""))</f>
        <v>21</v>
      </c>
      <c r="H59" s="809">
        <f t="shared" ref="H59:H86" si="13">IF(OR(E59&gt;$E$6,C59&gt;$E$14),0,L58)</f>
        <v>72923434.790177315</v>
      </c>
      <c r="I59" s="809">
        <f t="shared" ref="I59:I86" si="14">IF(OR(E59&gt;$E$6*12,C59&gt;$E$14),0,-H59*$E$10/12)</f>
        <v>-349424.79170293297</v>
      </c>
      <c r="J59" s="817">
        <f t="shared" ref="J59:J86" si="15">IF(OR(E59&gt;$E$6,C59&gt;$E$14),0,
IF(AND($E$8&lt;&gt;OR(0,""),$E$9&lt;&gt;OR(0,""),C59&gt;=$E$8,C59&lt;=$E$9),0,PPMT($E$10/12,IF($E$12="YES",G59,C59),$E$7,$E$4)))</f>
        <v>-85647.104418094081</v>
      </c>
      <c r="K59" s="809">
        <f t="shared" si="2"/>
        <v>-435071.89612102706</v>
      </c>
      <c r="L59" s="791">
        <f t="shared" si="11"/>
        <v>72837787.685759217</v>
      </c>
    </row>
    <row r="60" spans="3:12">
      <c r="C60" s="814">
        <f t="shared" si="9"/>
        <v>34</v>
      </c>
      <c r="D60" s="815">
        <f t="shared" si="12"/>
        <v>50982</v>
      </c>
      <c r="E60" s="800">
        <f t="shared" si="5"/>
        <v>3</v>
      </c>
      <c r="F60" s="800">
        <f t="shared" si="10"/>
        <v>4</v>
      </c>
      <c r="G60" s="816">
        <f>IF($E$12="NO",G59+1,
IF(OR(D60&lt;$F$8,D60&gt;$F$9),MAX($G$26:G59)+1,""))</f>
        <v>22</v>
      </c>
      <c r="H60" s="809">
        <f t="shared" si="13"/>
        <v>72837787.685759217</v>
      </c>
      <c r="I60" s="809">
        <f t="shared" si="14"/>
        <v>-349014.39932759624</v>
      </c>
      <c r="J60" s="817">
        <f t="shared" si="15"/>
        <v>-86057.496793430793</v>
      </c>
      <c r="K60" s="809">
        <f t="shared" si="2"/>
        <v>-435071.89612102706</v>
      </c>
      <c r="L60" s="791">
        <f t="shared" si="11"/>
        <v>72751730.188965783</v>
      </c>
    </row>
    <row r="61" spans="3:12">
      <c r="C61" s="814">
        <f t="shared" si="9"/>
        <v>35</v>
      </c>
      <c r="D61" s="815">
        <f t="shared" si="12"/>
        <v>51013</v>
      </c>
      <c r="E61" s="800">
        <f t="shared" si="5"/>
        <v>3</v>
      </c>
      <c r="F61" s="800">
        <f t="shared" si="10"/>
        <v>4</v>
      </c>
      <c r="G61" s="816">
        <f>IF($E$12="NO",G60+1,
IF(OR(D61&lt;$F$8,D61&gt;$F$9),MAX($G$26:G60)+1,""))</f>
        <v>23</v>
      </c>
      <c r="H61" s="809">
        <f t="shared" si="13"/>
        <v>72751730.188965783</v>
      </c>
      <c r="I61" s="809">
        <f t="shared" si="14"/>
        <v>-348602.04048879439</v>
      </c>
      <c r="J61" s="817">
        <f t="shared" si="15"/>
        <v>-86469.855632232648</v>
      </c>
      <c r="K61" s="809">
        <f t="shared" si="2"/>
        <v>-435071.89612102706</v>
      </c>
      <c r="L61" s="791">
        <f t="shared" si="11"/>
        <v>72665260.333333552</v>
      </c>
    </row>
    <row r="62" spans="3:12">
      <c r="C62" s="814">
        <f t="shared" si="9"/>
        <v>36</v>
      </c>
      <c r="D62" s="815">
        <f t="shared" si="12"/>
        <v>51043</v>
      </c>
      <c r="E62" s="800">
        <f t="shared" si="5"/>
        <v>3</v>
      </c>
      <c r="F62" s="800">
        <f t="shared" si="10"/>
        <v>4</v>
      </c>
      <c r="G62" s="816">
        <f>IF($E$12="NO",G61+1,
IF(OR(D62&lt;$F$8,D62&gt;$F$9),MAX($G$26:G61)+1,""))</f>
        <v>24</v>
      </c>
      <c r="H62" s="809">
        <f t="shared" si="13"/>
        <v>72665260.333333552</v>
      </c>
      <c r="I62" s="809">
        <f t="shared" si="14"/>
        <v>-348187.70576388994</v>
      </c>
      <c r="J62" s="817">
        <f t="shared" si="15"/>
        <v>-86884.190357137079</v>
      </c>
      <c r="K62" s="809">
        <f t="shared" si="2"/>
        <v>-435071.89612102701</v>
      </c>
      <c r="L62" s="791">
        <f t="shared" si="11"/>
        <v>72578376.142976418</v>
      </c>
    </row>
    <row r="63" spans="3:12">
      <c r="C63" s="814">
        <f t="shared" si="9"/>
        <v>37</v>
      </c>
      <c r="D63" s="815">
        <f t="shared" si="12"/>
        <v>51074</v>
      </c>
      <c r="E63" s="800">
        <f t="shared" si="5"/>
        <v>4</v>
      </c>
      <c r="F63" s="800">
        <f t="shared" si="10"/>
        <v>1</v>
      </c>
      <c r="G63" s="816">
        <f>IF($E$12="NO",G62+1,
IF(OR(D63&lt;$F$8,D63&gt;$F$9),MAX($G$26:G62)+1,""))</f>
        <v>25</v>
      </c>
      <c r="H63" s="809">
        <f t="shared" si="13"/>
        <v>72578376.142976418</v>
      </c>
      <c r="I63" s="809">
        <f t="shared" si="14"/>
        <v>-347771.38568509539</v>
      </c>
      <c r="J63" s="817">
        <f t="shared" si="15"/>
        <v>-87300.51043593169</v>
      </c>
      <c r="K63" s="809">
        <f t="shared" si="2"/>
        <v>-435071.89612102706</v>
      </c>
      <c r="L63" s="791">
        <f t="shared" si="11"/>
        <v>72491075.632540479</v>
      </c>
    </row>
    <row r="64" spans="3:12">
      <c r="C64" s="814">
        <f t="shared" si="9"/>
        <v>38</v>
      </c>
      <c r="D64" s="815">
        <f t="shared" si="12"/>
        <v>51104</v>
      </c>
      <c r="E64" s="800">
        <f t="shared" si="5"/>
        <v>4</v>
      </c>
      <c r="F64" s="800">
        <f t="shared" si="10"/>
        <v>1</v>
      </c>
      <c r="G64" s="816">
        <f>IF($E$12="NO",G63+1,
IF(OR(D64&lt;$F$8,D64&gt;$F$9),MAX($G$26:G63)+1,""))</f>
        <v>26</v>
      </c>
      <c r="H64" s="809">
        <f t="shared" si="13"/>
        <v>72491075.632540479</v>
      </c>
      <c r="I64" s="809">
        <f t="shared" si="14"/>
        <v>-347353.07073925651</v>
      </c>
      <c r="J64" s="817">
        <f t="shared" si="15"/>
        <v>-87718.825381770555</v>
      </c>
      <c r="K64" s="809">
        <f t="shared" si="2"/>
        <v>-435071.89612102706</v>
      </c>
      <c r="L64" s="791">
        <f t="shared" si="11"/>
        <v>72403356.807158709</v>
      </c>
    </row>
    <row r="65" spans="3:12">
      <c r="C65" s="814">
        <f t="shared" si="9"/>
        <v>39</v>
      </c>
      <c r="D65" s="815">
        <f t="shared" si="12"/>
        <v>51135</v>
      </c>
      <c r="E65" s="800">
        <f t="shared" si="5"/>
        <v>4</v>
      </c>
      <c r="F65" s="800">
        <f t="shared" si="10"/>
        <v>1</v>
      </c>
      <c r="G65" s="816">
        <f>IF($E$12="NO",G64+1,
IF(OR(D65&lt;$F$8,D65&gt;$F$9),MAX($G$26:G64)+1,""))</f>
        <v>27</v>
      </c>
      <c r="H65" s="809">
        <f t="shared" si="13"/>
        <v>72403356.807158709</v>
      </c>
      <c r="I65" s="809">
        <f t="shared" si="14"/>
        <v>-346932.7513676355</v>
      </c>
      <c r="J65" s="817">
        <f t="shared" si="15"/>
        <v>-88139.14475339152</v>
      </c>
      <c r="K65" s="809">
        <f t="shared" si="2"/>
        <v>-435071.89612102701</v>
      </c>
      <c r="L65" s="791">
        <f t="shared" si="11"/>
        <v>72315217.662405312</v>
      </c>
    </row>
    <row r="66" spans="3:12">
      <c r="C66" s="814">
        <f t="shared" si="9"/>
        <v>40</v>
      </c>
      <c r="D66" s="815">
        <f t="shared" si="12"/>
        <v>51166</v>
      </c>
      <c r="E66" s="800">
        <f t="shared" si="5"/>
        <v>4</v>
      </c>
      <c r="F66" s="800">
        <f t="shared" si="10"/>
        <v>2</v>
      </c>
      <c r="G66" s="816">
        <f>IF($E$12="NO",G65+1,
IF(OR(D66&lt;$F$8,D66&gt;$F$9),MAX($G$26:G65)+1,""))</f>
        <v>28</v>
      </c>
      <c r="H66" s="809">
        <f t="shared" si="13"/>
        <v>72315217.662405312</v>
      </c>
      <c r="I66" s="809">
        <f t="shared" si="14"/>
        <v>-346510.41796569212</v>
      </c>
      <c r="J66" s="817">
        <f t="shared" si="15"/>
        <v>-88561.478155334858</v>
      </c>
      <c r="K66" s="809">
        <f t="shared" si="2"/>
        <v>-435071.89612102695</v>
      </c>
      <c r="L66" s="791">
        <f t="shared" si="11"/>
        <v>72226656.184249982</v>
      </c>
    </row>
    <row r="67" spans="3:12">
      <c r="C67" s="814">
        <f t="shared" si="9"/>
        <v>41</v>
      </c>
      <c r="D67" s="815">
        <f t="shared" si="12"/>
        <v>51195</v>
      </c>
      <c r="E67" s="800">
        <f t="shared" si="5"/>
        <v>4</v>
      </c>
      <c r="F67" s="800">
        <f t="shared" si="10"/>
        <v>2</v>
      </c>
      <c r="G67" s="816">
        <f>IF($E$12="NO",G66+1,
IF(OR(D67&lt;$F$8,D67&gt;$F$9),MAX($G$26:G66)+1,""))</f>
        <v>29</v>
      </c>
      <c r="H67" s="809">
        <f t="shared" si="13"/>
        <v>72226656.184249982</v>
      </c>
      <c r="I67" s="809">
        <f t="shared" si="14"/>
        <v>-346086.06088286452</v>
      </c>
      <c r="J67" s="817">
        <f t="shared" si="15"/>
        <v>-88985.835238162515</v>
      </c>
      <c r="K67" s="809">
        <f t="shared" si="2"/>
        <v>-435071.89612102706</v>
      </c>
      <c r="L67" s="791">
        <f t="shared" si="11"/>
        <v>72137670.349011824</v>
      </c>
    </row>
    <row r="68" spans="3:12">
      <c r="C68" s="814">
        <f t="shared" si="9"/>
        <v>42</v>
      </c>
      <c r="D68" s="815">
        <f t="shared" si="12"/>
        <v>51226</v>
      </c>
      <c r="E68" s="800">
        <f t="shared" si="5"/>
        <v>4</v>
      </c>
      <c r="F68" s="800">
        <f t="shared" si="10"/>
        <v>2</v>
      </c>
      <c r="G68" s="816">
        <f>IF($E$12="NO",G67+1,
IF(OR(D68&lt;$F$8,D68&gt;$F$9),MAX($G$26:G67)+1,""))</f>
        <v>30</v>
      </c>
      <c r="H68" s="809">
        <f t="shared" si="13"/>
        <v>72137670.349011824</v>
      </c>
      <c r="I68" s="809">
        <f t="shared" si="14"/>
        <v>-345659.67042234837</v>
      </c>
      <c r="J68" s="817">
        <f t="shared" si="15"/>
        <v>-89412.225698678696</v>
      </c>
      <c r="K68" s="809">
        <f t="shared" si="2"/>
        <v>-435071.89612102706</v>
      </c>
      <c r="L68" s="791">
        <f t="shared" si="11"/>
        <v>72048258.123313144</v>
      </c>
    </row>
    <row r="69" spans="3:12">
      <c r="C69" s="814">
        <f t="shared" si="9"/>
        <v>43</v>
      </c>
      <c r="D69" s="815">
        <f t="shared" si="12"/>
        <v>51256</v>
      </c>
      <c r="E69" s="800">
        <f t="shared" si="5"/>
        <v>4</v>
      </c>
      <c r="F69" s="800">
        <f t="shared" si="10"/>
        <v>3</v>
      </c>
      <c r="G69" s="816">
        <f>IF($E$12="NO",G68+1,
IF(OR(D69&lt;$F$8,D69&gt;$F$9),MAX($G$26:G68)+1,""))</f>
        <v>31</v>
      </c>
      <c r="H69" s="809">
        <f t="shared" si="13"/>
        <v>72048258.123313144</v>
      </c>
      <c r="I69" s="809">
        <f t="shared" si="14"/>
        <v>-345231.23684087553</v>
      </c>
      <c r="J69" s="817">
        <f t="shared" si="15"/>
        <v>-89840.659280151536</v>
      </c>
      <c r="K69" s="809">
        <f t="shared" si="2"/>
        <v>-435071.89612102706</v>
      </c>
      <c r="L69" s="791">
        <f t="shared" si="11"/>
        <v>71958417.464032993</v>
      </c>
    </row>
    <row r="70" spans="3:12">
      <c r="C70" s="814">
        <f t="shared" si="9"/>
        <v>44</v>
      </c>
      <c r="D70" s="815">
        <f t="shared" si="12"/>
        <v>51287</v>
      </c>
      <c r="E70" s="800">
        <f t="shared" si="5"/>
        <v>4</v>
      </c>
      <c r="F70" s="800">
        <f t="shared" si="10"/>
        <v>3</v>
      </c>
      <c r="G70" s="816">
        <f>IF($E$12="NO",G69+1,
IF(OR(D70&lt;$F$8,D70&gt;$F$9),MAX($G$26:G69)+1,""))</f>
        <v>32</v>
      </c>
      <c r="H70" s="809">
        <f t="shared" si="13"/>
        <v>71958417.464032993</v>
      </c>
      <c r="I70" s="809">
        <f t="shared" si="14"/>
        <v>-344800.75034849142</v>
      </c>
      <c r="J70" s="817">
        <f t="shared" si="15"/>
        <v>-90271.145772535616</v>
      </c>
      <c r="K70" s="809">
        <f t="shared" si="2"/>
        <v>-435071.89612102706</v>
      </c>
      <c r="L70" s="791">
        <f t="shared" si="11"/>
        <v>71868146.318260461</v>
      </c>
    </row>
    <row r="71" spans="3:12">
      <c r="C71" s="814">
        <f t="shared" si="9"/>
        <v>45</v>
      </c>
      <c r="D71" s="815">
        <f t="shared" si="12"/>
        <v>51317</v>
      </c>
      <c r="E71" s="800">
        <f t="shared" si="5"/>
        <v>4</v>
      </c>
      <c r="F71" s="800">
        <f t="shared" si="10"/>
        <v>3</v>
      </c>
      <c r="G71" s="816">
        <f>IF($E$12="NO",G70+1,
IF(OR(D71&lt;$F$8,D71&gt;$F$9),MAX($G$26:G70)+1,""))</f>
        <v>33</v>
      </c>
      <c r="H71" s="809">
        <f t="shared" si="13"/>
        <v>71868146.318260461</v>
      </c>
      <c r="I71" s="809">
        <f t="shared" si="14"/>
        <v>-344368.20110833138</v>
      </c>
      <c r="J71" s="817">
        <f t="shared" si="15"/>
        <v>-90703.695012695636</v>
      </c>
      <c r="K71" s="809">
        <f t="shared" si="2"/>
        <v>-435071.89612102701</v>
      </c>
      <c r="L71" s="791">
        <f t="shared" si="11"/>
        <v>71777442.623247772</v>
      </c>
    </row>
    <row r="72" spans="3:12">
      <c r="C72" s="814">
        <f t="shared" si="9"/>
        <v>46</v>
      </c>
      <c r="D72" s="815">
        <f t="shared" si="12"/>
        <v>51348</v>
      </c>
      <c r="E72" s="800">
        <f t="shared" si="5"/>
        <v>4</v>
      </c>
      <c r="F72" s="800">
        <f t="shared" si="10"/>
        <v>4</v>
      </c>
      <c r="G72" s="816">
        <f>IF($E$12="NO",G71+1,
IF(OR(D72&lt;$F$8,D72&gt;$F$9),MAX($G$26:G71)+1,""))</f>
        <v>34</v>
      </c>
      <c r="H72" s="809">
        <f t="shared" si="13"/>
        <v>71777442.623247772</v>
      </c>
      <c r="I72" s="809">
        <f t="shared" si="14"/>
        <v>-343933.5792363956</v>
      </c>
      <c r="J72" s="817">
        <f t="shared" si="15"/>
        <v>-91138.316884631495</v>
      </c>
      <c r="K72" s="809">
        <f t="shared" si="2"/>
        <v>-435071.89612102706</v>
      </c>
      <c r="L72" s="791">
        <f t="shared" si="11"/>
        <v>71686304.306363136</v>
      </c>
    </row>
    <row r="73" spans="3:12">
      <c r="C73" s="814">
        <f t="shared" si="9"/>
        <v>47</v>
      </c>
      <c r="D73" s="815">
        <f t="shared" si="12"/>
        <v>51379</v>
      </c>
      <c r="E73" s="800">
        <f t="shared" si="5"/>
        <v>4</v>
      </c>
      <c r="F73" s="800">
        <f t="shared" si="10"/>
        <v>4</v>
      </c>
      <c r="G73" s="816">
        <f>IF($E$12="NO",G72+1,
IF(OR(D73&lt;$F$8,D73&gt;$F$9),MAX($G$26:G72)+1,""))</f>
        <v>35</v>
      </c>
      <c r="H73" s="809">
        <f t="shared" si="13"/>
        <v>71686304.306363136</v>
      </c>
      <c r="I73" s="809">
        <f t="shared" si="14"/>
        <v>-343496.87480132334</v>
      </c>
      <c r="J73" s="817">
        <f t="shared" si="15"/>
        <v>-91575.021319703694</v>
      </c>
      <c r="K73" s="809">
        <f t="shared" si="2"/>
        <v>-435071.89612102706</v>
      </c>
      <c r="L73" s="791">
        <f t="shared" si="11"/>
        <v>71594729.285043433</v>
      </c>
    </row>
    <row r="74" spans="3:12">
      <c r="C74" s="814">
        <f t="shared" si="9"/>
        <v>48</v>
      </c>
      <c r="D74" s="815">
        <f t="shared" si="12"/>
        <v>51409</v>
      </c>
      <c r="E74" s="800">
        <f t="shared" si="5"/>
        <v>4</v>
      </c>
      <c r="F74" s="800">
        <f t="shared" si="10"/>
        <v>4</v>
      </c>
      <c r="G74" s="816">
        <f>IF($E$12="NO",G73+1,
IF(OR(D74&lt;$F$8,D74&gt;$F$9),MAX($G$26:G73)+1,""))</f>
        <v>36</v>
      </c>
      <c r="H74" s="809">
        <f t="shared" si="13"/>
        <v>71594729.285043433</v>
      </c>
      <c r="I74" s="809">
        <f t="shared" si="14"/>
        <v>-343058.07782416645</v>
      </c>
      <c r="J74" s="817">
        <f t="shared" si="15"/>
        <v>-92013.818296860583</v>
      </c>
      <c r="K74" s="809">
        <f t="shared" si="2"/>
        <v>-435071.89612102706</v>
      </c>
      <c r="L74" s="791">
        <f t="shared" si="11"/>
        <v>71502715.466746569</v>
      </c>
    </row>
    <row r="75" spans="3:12">
      <c r="C75" s="814">
        <f t="shared" si="9"/>
        <v>49</v>
      </c>
      <c r="D75" s="815">
        <f t="shared" si="12"/>
        <v>51440</v>
      </c>
      <c r="E75" s="800">
        <f t="shared" si="5"/>
        <v>5</v>
      </c>
      <c r="F75" s="800">
        <f t="shared" si="10"/>
        <v>1</v>
      </c>
      <c r="G75" s="816">
        <f>IF($E$12="NO",G74+1,
IF(OR(D75&lt;$F$8,D75&gt;$F$9),MAX($G$26:G74)+1,""))</f>
        <v>37</v>
      </c>
      <c r="H75" s="809">
        <f t="shared" si="13"/>
        <v>71502715.466746569</v>
      </c>
      <c r="I75" s="809">
        <f t="shared" si="14"/>
        <v>-342617.17827816069</v>
      </c>
      <c r="J75" s="817">
        <f t="shared" si="15"/>
        <v>-92454.71784286639</v>
      </c>
      <c r="K75" s="809">
        <f t="shared" si="2"/>
        <v>-435071.89612102706</v>
      </c>
      <c r="L75" s="791">
        <f t="shared" si="11"/>
        <v>71410260.748903707</v>
      </c>
    </row>
    <row r="76" spans="3:12">
      <c r="C76" s="814">
        <f t="shared" si="9"/>
        <v>50</v>
      </c>
      <c r="D76" s="815">
        <f t="shared" si="12"/>
        <v>51470</v>
      </c>
      <c r="E76" s="800">
        <f t="shared" si="5"/>
        <v>5</v>
      </c>
      <c r="F76" s="800">
        <f t="shared" si="10"/>
        <v>1</v>
      </c>
      <c r="G76" s="816">
        <f>IF($E$12="NO",G75+1,
IF(OR(D76&lt;$F$8,D76&gt;$F$9),MAX($G$26:G75)+1,""))</f>
        <v>38</v>
      </c>
      <c r="H76" s="809">
        <f t="shared" si="13"/>
        <v>71410260.748903707</v>
      </c>
      <c r="I76" s="809">
        <f t="shared" si="14"/>
        <v>-342174.16608849698</v>
      </c>
      <c r="J76" s="817">
        <f t="shared" si="15"/>
        <v>-92897.730032530148</v>
      </c>
      <c r="K76" s="809">
        <f t="shared" si="2"/>
        <v>-435071.89612102712</v>
      </c>
      <c r="L76" s="791">
        <f t="shared" si="11"/>
        <v>71317363.018871173</v>
      </c>
    </row>
    <row r="77" spans="3:12">
      <c r="C77" s="814">
        <f t="shared" si="9"/>
        <v>51</v>
      </c>
      <c r="D77" s="815">
        <f t="shared" si="12"/>
        <v>51501</v>
      </c>
      <c r="E77" s="800">
        <f t="shared" si="5"/>
        <v>5</v>
      </c>
      <c r="F77" s="800">
        <f t="shared" si="10"/>
        <v>1</v>
      </c>
      <c r="G77" s="816">
        <f>IF($E$12="NO",G76+1,
IF(OR(D77&lt;$F$8,D77&gt;$F$9),MAX($G$26:G76)+1,""))</f>
        <v>39</v>
      </c>
      <c r="H77" s="809">
        <f t="shared" si="13"/>
        <v>71317363.018871173</v>
      </c>
      <c r="I77" s="809">
        <f t="shared" si="14"/>
        <v>-341729.03113209107</v>
      </c>
      <c r="J77" s="817">
        <f t="shared" si="15"/>
        <v>-93342.864988935995</v>
      </c>
      <c r="K77" s="809">
        <f t="shared" si="2"/>
        <v>-435071.89612102706</v>
      </c>
      <c r="L77" s="791">
        <f t="shared" si="11"/>
        <v>71224020.153882235</v>
      </c>
    </row>
    <row r="78" spans="3:12">
      <c r="C78" s="814">
        <f t="shared" si="9"/>
        <v>52</v>
      </c>
      <c r="D78" s="815">
        <f t="shared" si="12"/>
        <v>51532</v>
      </c>
      <c r="E78" s="800">
        <f t="shared" si="5"/>
        <v>5</v>
      </c>
      <c r="F78" s="800">
        <f t="shared" si="10"/>
        <v>2</v>
      </c>
      <c r="G78" s="816">
        <f>IF($E$12="NO",G77+1,
IF(OR(D78&lt;$F$8,D78&gt;$F$9),MAX($G$26:G77)+1,""))</f>
        <v>40</v>
      </c>
      <c r="H78" s="809">
        <f t="shared" si="13"/>
        <v>71224020.153882235</v>
      </c>
      <c r="I78" s="809">
        <f t="shared" si="14"/>
        <v>-341281.76323735242</v>
      </c>
      <c r="J78" s="817">
        <f t="shared" si="15"/>
        <v>-93790.13288367464</v>
      </c>
      <c r="K78" s="809">
        <f t="shared" si="2"/>
        <v>-435071.89612102706</v>
      </c>
      <c r="L78" s="791">
        <f t="shared" si="11"/>
        <v>71130230.020998567</v>
      </c>
    </row>
    <row r="79" spans="3:12">
      <c r="C79" s="814">
        <f t="shared" si="9"/>
        <v>53</v>
      </c>
      <c r="D79" s="815">
        <f t="shared" si="12"/>
        <v>51560</v>
      </c>
      <c r="E79" s="800">
        <f t="shared" si="5"/>
        <v>5</v>
      </c>
      <c r="F79" s="800">
        <f t="shared" si="10"/>
        <v>2</v>
      </c>
      <c r="G79" s="816">
        <f>IF($E$12="NO",G78+1,
IF(OR(D79&lt;$F$8,D79&gt;$F$9),MAX($G$26:G78)+1,""))</f>
        <v>41</v>
      </c>
      <c r="H79" s="809">
        <f t="shared" si="13"/>
        <v>71130230.020998567</v>
      </c>
      <c r="I79" s="809">
        <f t="shared" si="14"/>
        <v>-340832.35218395147</v>
      </c>
      <c r="J79" s="817">
        <f t="shared" si="15"/>
        <v>-94239.543937075607</v>
      </c>
      <c r="K79" s="809">
        <f t="shared" si="2"/>
        <v>-435071.89612102706</v>
      </c>
      <c r="L79" s="791">
        <f t="shared" si="11"/>
        <v>71035990.477061495</v>
      </c>
    </row>
    <row r="80" spans="3:12">
      <c r="C80" s="814">
        <f t="shared" si="9"/>
        <v>54</v>
      </c>
      <c r="D80" s="815">
        <f t="shared" si="12"/>
        <v>51591</v>
      </c>
      <c r="E80" s="800">
        <f t="shared" si="5"/>
        <v>5</v>
      </c>
      <c r="F80" s="800">
        <f t="shared" si="10"/>
        <v>2</v>
      </c>
      <c r="G80" s="816">
        <f>IF($E$12="NO",G79+1,
IF(OR(D80&lt;$F$8,D80&gt;$F$9),MAX($G$26:G79)+1,""))</f>
        <v>42</v>
      </c>
      <c r="H80" s="809">
        <f t="shared" si="13"/>
        <v>71035990.477061495</v>
      </c>
      <c r="I80" s="809">
        <f t="shared" si="14"/>
        <v>-340380.78770258633</v>
      </c>
      <c r="J80" s="817">
        <f t="shared" si="15"/>
        <v>-94691.108418440737</v>
      </c>
      <c r="K80" s="809">
        <f t="shared" si="2"/>
        <v>-435071.89612102706</v>
      </c>
      <c r="L80" s="791">
        <f t="shared" si="11"/>
        <v>70941299.36864306</v>
      </c>
    </row>
    <row r="81" spans="3:12">
      <c r="C81" s="814">
        <f t="shared" si="9"/>
        <v>55</v>
      </c>
      <c r="D81" s="815">
        <f t="shared" si="12"/>
        <v>51621</v>
      </c>
      <c r="E81" s="800">
        <f t="shared" si="5"/>
        <v>5</v>
      </c>
      <c r="F81" s="800">
        <f t="shared" si="10"/>
        <v>3</v>
      </c>
      <c r="G81" s="816">
        <f>IF($E$12="NO",G80+1,
IF(OR(D81&lt;$F$8,D81&gt;$F$9),MAX($G$26:G80)+1,""))</f>
        <v>43</v>
      </c>
      <c r="H81" s="809">
        <f t="shared" si="13"/>
        <v>70941299.36864306</v>
      </c>
      <c r="I81" s="809">
        <f t="shared" si="14"/>
        <v>-339927.05947474804</v>
      </c>
      <c r="J81" s="817">
        <f t="shared" si="15"/>
        <v>-95144.836646279102</v>
      </c>
      <c r="K81" s="809">
        <f t="shared" si="2"/>
        <v>-435071.89612102712</v>
      </c>
      <c r="L81" s="791">
        <f t="shared" si="11"/>
        <v>70846154.531996787</v>
      </c>
    </row>
    <row r="82" spans="3:12">
      <c r="C82" s="814">
        <f t="shared" si="9"/>
        <v>56</v>
      </c>
      <c r="D82" s="815">
        <f t="shared" si="12"/>
        <v>51652</v>
      </c>
      <c r="E82" s="800">
        <f t="shared" si="5"/>
        <v>5</v>
      </c>
      <c r="F82" s="800">
        <f t="shared" si="10"/>
        <v>3</v>
      </c>
      <c r="G82" s="816">
        <f>IF($E$12="NO",G81+1,
IF(OR(D82&lt;$F$8,D82&gt;$F$9),MAX($G$26:G81)+1,""))</f>
        <v>44</v>
      </c>
      <c r="H82" s="809">
        <f t="shared" si="13"/>
        <v>70846154.531996787</v>
      </c>
      <c r="I82" s="809">
        <f t="shared" si="14"/>
        <v>-339471.1571324846</v>
      </c>
      <c r="J82" s="817">
        <f t="shared" si="15"/>
        <v>-95600.738988542536</v>
      </c>
      <c r="K82" s="809">
        <f t="shared" si="2"/>
        <v>-435071.89612102712</v>
      </c>
      <c r="L82" s="791">
        <f t="shared" si="11"/>
        <v>70750553.793008238</v>
      </c>
    </row>
    <row r="83" spans="3:12">
      <c r="C83" s="814">
        <f t="shared" si="9"/>
        <v>57</v>
      </c>
      <c r="D83" s="815">
        <f t="shared" si="12"/>
        <v>51682</v>
      </c>
      <c r="E83" s="800">
        <f t="shared" si="5"/>
        <v>5</v>
      </c>
      <c r="F83" s="800">
        <f t="shared" si="10"/>
        <v>3</v>
      </c>
      <c r="G83" s="816">
        <f>IF($E$12="NO",G82+1,
IF(OR(D83&lt;$F$8,D83&gt;$F$9),MAX($G$26:G82)+1,""))</f>
        <v>45</v>
      </c>
      <c r="H83" s="809">
        <f t="shared" si="13"/>
        <v>70750553.793008238</v>
      </c>
      <c r="I83" s="809">
        <f t="shared" si="14"/>
        <v>-339013.07025816449</v>
      </c>
      <c r="J83" s="817">
        <f t="shared" si="15"/>
        <v>-96058.825862862635</v>
      </c>
      <c r="K83" s="809">
        <f t="shared" si="2"/>
        <v>-435071.89612102712</v>
      </c>
      <c r="L83" s="791">
        <f t="shared" si="11"/>
        <v>70654494.967145368</v>
      </c>
    </row>
    <row r="84" spans="3:12">
      <c r="C84" s="814">
        <f t="shared" si="9"/>
        <v>58</v>
      </c>
      <c r="D84" s="815">
        <f t="shared" si="12"/>
        <v>51713</v>
      </c>
      <c r="E84" s="800">
        <f t="shared" si="5"/>
        <v>5</v>
      </c>
      <c r="F84" s="800">
        <f t="shared" si="10"/>
        <v>4</v>
      </c>
      <c r="G84" s="816">
        <f>IF($E$12="NO",G83+1,
IF(OR(D84&lt;$F$8,D84&gt;$F$9),MAX($G$26:G83)+1,""))</f>
        <v>46</v>
      </c>
      <c r="H84" s="809">
        <f t="shared" si="13"/>
        <v>70654494.967145368</v>
      </c>
      <c r="I84" s="809">
        <f t="shared" si="14"/>
        <v>-338552.7883842382</v>
      </c>
      <c r="J84" s="817">
        <f t="shared" si="15"/>
        <v>-96519.10773678885</v>
      </c>
      <c r="K84" s="809">
        <f t="shared" si="2"/>
        <v>-435071.89612102706</v>
      </c>
      <c r="L84" s="791">
        <f t="shared" si="11"/>
        <v>70557975.859408572</v>
      </c>
    </row>
    <row r="85" spans="3:12">
      <c r="C85" s="814">
        <f t="shared" si="9"/>
        <v>59</v>
      </c>
      <c r="D85" s="815">
        <f t="shared" si="12"/>
        <v>51744</v>
      </c>
      <c r="E85" s="800">
        <f t="shared" si="5"/>
        <v>5</v>
      </c>
      <c r="F85" s="800">
        <f t="shared" si="10"/>
        <v>4</v>
      </c>
      <c r="G85" s="816">
        <f>IF($E$12="NO",G84+1,
IF(OR(D85&lt;$F$8,D85&gt;$F$9),MAX($G$26:G84)+1,""))</f>
        <v>47</v>
      </c>
      <c r="H85" s="809">
        <f t="shared" si="13"/>
        <v>70557975.859408572</v>
      </c>
      <c r="I85" s="809">
        <f t="shared" si="14"/>
        <v>-338090.3009929994</v>
      </c>
      <c r="J85" s="817">
        <f t="shared" si="15"/>
        <v>-96981.59512802762</v>
      </c>
      <c r="K85" s="809">
        <f t="shared" si="2"/>
        <v>-435071.89612102701</v>
      </c>
      <c r="L85" s="791">
        <f t="shared" si="11"/>
        <v>70460994.264280543</v>
      </c>
    </row>
    <row r="86" spans="3:12">
      <c r="C86" s="818">
        <f t="shared" si="9"/>
        <v>60</v>
      </c>
      <c r="D86" s="819">
        <f t="shared" si="12"/>
        <v>51774</v>
      </c>
      <c r="E86" s="820">
        <f t="shared" si="5"/>
        <v>5</v>
      </c>
      <c r="F86" s="821">
        <f t="shared" si="10"/>
        <v>4</v>
      </c>
      <c r="G86" s="821">
        <f>IF($E$12="NO",G85+1,
IF(OR(D86&lt;$F$8,D86&gt;$F$9),MAX($G$26:G85)+1,""))</f>
        <v>48</v>
      </c>
      <c r="H86" s="810">
        <f t="shared" si="13"/>
        <v>70460994.264280543</v>
      </c>
      <c r="I86" s="810">
        <f t="shared" si="14"/>
        <v>-337625.59751634428</v>
      </c>
      <c r="J86" s="822">
        <f t="shared" si="15"/>
        <v>-97446.298604682743</v>
      </c>
      <c r="K86" s="810">
        <f t="shared" si="2"/>
        <v>-435071.89612102701</v>
      </c>
      <c r="L86" s="808">
        <f t="shared" si="11"/>
        <v>70363547.965675861</v>
      </c>
    </row>
  </sheetData>
  <conditionalFormatting sqref="F10">
    <cfRule type="expression" dxfId="15" priority="2">
      <formula>#REF!=#REF!</formula>
    </cfRule>
  </conditionalFormatting>
  <conditionalFormatting sqref="E10:E11">
    <cfRule type="expression" dxfId="14" priority="1">
      <formula>#REF!=#REF!</formula>
    </cfRule>
  </conditionalFormatting>
  <dataValidations count="1">
    <dataValidation type="list" allowBlank="1" showInputMessage="1" showErrorMessage="1" sqref="E12:F12" xr:uid="{2B4F1EDD-6C37-40EA-86A0-A44483319864}">
      <formula1>"YES, NO"</formula1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C1270-5E35-49DA-A0E9-0A35509C0C7D}">
  <sheetPr>
    <tabColor rgb="FF92D050"/>
    <pageSetUpPr fitToPage="1"/>
  </sheetPr>
  <dimension ref="A1:AC184"/>
  <sheetViews>
    <sheetView showGridLines="0" topLeftCell="A73" zoomScale="70" zoomScaleNormal="70" zoomScaleSheetLayoutView="90" workbookViewId="0">
      <selection activeCell="F21" sqref="F21:F22"/>
    </sheetView>
  </sheetViews>
  <sheetFormatPr defaultColWidth="8.85546875" defaultRowHeight="23.25" customHeight="1"/>
  <cols>
    <col min="1" max="1" width="46.140625" style="5" bestFit="1" customWidth="1"/>
    <col min="2" max="2" width="28.85546875" style="5" bestFit="1" customWidth="1"/>
    <col min="3" max="3" width="35.5703125" style="5" customWidth="1"/>
    <col min="4" max="4" width="19.42578125" style="5" bestFit="1" customWidth="1"/>
    <col min="5" max="5" width="19.85546875" style="5" bestFit="1" customWidth="1"/>
    <col min="6" max="6" width="12.42578125" style="5" bestFit="1" customWidth="1"/>
    <col min="7" max="7" width="32.85546875" style="5" bestFit="1" customWidth="1"/>
    <col min="8" max="8" width="28.85546875" style="5" bestFit="1" customWidth="1"/>
    <col min="9" max="9" width="35.5703125" style="5" customWidth="1"/>
    <col min="10" max="11" width="26.85546875" style="5" customWidth="1"/>
    <col min="12" max="12" width="1.5703125" style="5" customWidth="1"/>
    <col min="13" max="13" width="32.85546875" style="5" bestFit="1" customWidth="1"/>
    <col min="14" max="14" width="28.85546875" style="5" bestFit="1" customWidth="1"/>
    <col min="15" max="15" width="35.5703125" style="5" customWidth="1"/>
    <col min="16" max="17" width="26.85546875" style="5" customWidth="1"/>
    <col min="18" max="18" width="1.5703125" style="5" customWidth="1"/>
    <col min="19" max="19" width="32.85546875" style="5" bestFit="1" customWidth="1"/>
    <col min="20" max="20" width="28.85546875" style="5" bestFit="1" customWidth="1"/>
    <col min="21" max="21" width="35.5703125" style="5" customWidth="1"/>
    <col min="22" max="23" width="26.85546875" style="5" customWidth="1"/>
    <col min="24" max="24" width="21.42578125" style="5" bestFit="1" customWidth="1"/>
    <col min="25" max="26" width="24.42578125" style="5" customWidth="1"/>
    <col min="27" max="27" width="32.42578125" style="5" customWidth="1"/>
    <col min="28" max="28" width="20.140625" style="5" customWidth="1"/>
    <col min="29" max="29" width="13.42578125" style="5" bestFit="1" customWidth="1"/>
    <col min="30" max="16384" width="8.85546875" style="5"/>
  </cols>
  <sheetData>
    <row r="1" spans="1:29" ht="23.25" customHeight="1" thickBot="1">
      <c r="A1" s="2"/>
      <c r="B1" s="75"/>
      <c r="C1" s="3"/>
      <c r="D1" s="4"/>
      <c r="Y1" s="124"/>
    </row>
    <row r="2" spans="1:29" ht="30" customHeight="1" thickBot="1">
      <c r="A2" s="1000" t="s">
        <v>381</v>
      </c>
      <c r="B2" s="142"/>
      <c r="C2" s="142" t="s">
        <v>89</v>
      </c>
      <c r="D2" s="1075" t="s">
        <v>119</v>
      </c>
      <c r="E2" s="1076"/>
      <c r="Y2" s="99"/>
    </row>
    <row r="3" spans="1:29" ht="20.25" customHeight="1">
      <c r="B3" s="55"/>
      <c r="C3" s="55"/>
      <c r="D3" s="55"/>
      <c r="E3" s="55"/>
      <c r="Y3" s="137"/>
    </row>
    <row r="4" spans="1:29" ht="24.95" customHeight="1" thickBot="1">
      <c r="A4" s="181" t="s">
        <v>382</v>
      </c>
      <c r="B4" s="117"/>
      <c r="Y4" s="123"/>
      <c r="Z4" s="135"/>
      <c r="AA4" s="55"/>
      <c r="AB4" s="55"/>
      <c r="AC4" s="55"/>
    </row>
    <row r="5" spans="1:29" ht="15" customHeight="1" thickBot="1">
      <c r="A5" s="750" t="s">
        <v>383</v>
      </c>
      <c r="B5" s="751"/>
      <c r="C5" s="180" t="s">
        <v>384</v>
      </c>
      <c r="D5" s="170">
        <f>SUM(E129,K129,Q129)</f>
        <v>10199342.8336</v>
      </c>
      <c r="E5" s="568">
        <f>B28-B10-B11+B25</f>
        <v>186299327.75331154</v>
      </c>
      <c r="J5" s="168"/>
      <c r="Y5" s="123"/>
      <c r="Z5" s="135"/>
      <c r="AA5" s="55"/>
      <c r="AB5" s="135"/>
      <c r="AC5" s="55"/>
    </row>
    <row r="6" spans="1:29" ht="15" customHeight="1" thickBot="1">
      <c r="A6" s="752" t="s">
        <v>33</v>
      </c>
      <c r="B6" s="753" t="s">
        <v>385</v>
      </c>
      <c r="C6" s="180" t="s">
        <v>386</v>
      </c>
      <c r="D6" s="170">
        <f>SUM(B171,H171,N171)</f>
        <v>12537596.503416559</v>
      </c>
      <c r="E6" s="274"/>
      <c r="J6" s="168"/>
      <c r="Y6" s="123"/>
      <c r="Z6" s="135"/>
      <c r="AA6" s="55"/>
      <c r="AB6" s="135"/>
      <c r="AC6" s="55"/>
    </row>
    <row r="7" spans="1:29" ht="15" customHeight="1">
      <c r="A7" s="754" t="s">
        <v>387</v>
      </c>
      <c r="B7" s="755">
        <f>SUM(C133,I133,O133)</f>
        <v>139571441.5</v>
      </c>
      <c r="C7" s="180" t="s">
        <v>388</v>
      </c>
      <c r="D7" s="364">
        <f>IFERROR((D6/D5)^(1/(D8+1))-1,0)</f>
        <v>3.499999999999992E-2</v>
      </c>
      <c r="G7" s="278"/>
      <c r="J7" s="168"/>
      <c r="Y7" s="123"/>
      <c r="Z7" s="135"/>
      <c r="AA7" s="55"/>
      <c r="AB7" s="135"/>
      <c r="AC7" s="55"/>
    </row>
    <row r="8" spans="1:29" ht="15" customHeight="1">
      <c r="A8" s="17" t="s">
        <v>77</v>
      </c>
      <c r="B8" s="143">
        <f>SUM(C134,I134,O134)</f>
        <v>6978572.0750000002</v>
      </c>
      <c r="C8" s="180" t="s">
        <v>125</v>
      </c>
      <c r="D8" s="362">
        <f>Assumptions!$L$41</f>
        <v>5</v>
      </c>
      <c r="E8" s="274"/>
      <c r="F8" s="361"/>
      <c r="J8" s="168"/>
      <c r="Y8" s="123"/>
      <c r="Z8" s="135"/>
      <c r="AA8" s="55"/>
      <c r="AB8" s="135"/>
      <c r="AC8" s="55"/>
    </row>
    <row r="9" spans="1:29" ht="15" customHeight="1">
      <c r="A9" s="17" t="s">
        <v>389</v>
      </c>
      <c r="B9" s="143">
        <f>SUM(C135,I135,O135)</f>
        <v>0</v>
      </c>
      <c r="C9" s="272" t="s">
        <v>390</v>
      </c>
      <c r="D9" s="170">
        <f>SUM(B$164,H$164,N$164)</f>
        <v>0</v>
      </c>
      <c r="J9" s="168"/>
      <c r="Y9" s="123"/>
      <c r="Z9" s="135"/>
      <c r="AA9" s="55"/>
      <c r="AB9" s="135"/>
      <c r="AC9" s="55"/>
    </row>
    <row r="10" spans="1:29" ht="15" customHeight="1">
      <c r="A10" s="17" t="s">
        <v>391</v>
      </c>
      <c r="B10" s="143">
        <f t="shared" ref="B10:B23" si="0">SUM(C136,I136,O136)</f>
        <v>0</v>
      </c>
      <c r="C10" s="180" t="s">
        <v>392</v>
      </c>
      <c r="D10" s="170">
        <f>SUM(B$175,H$175,N$175)</f>
        <v>273049977.72224271</v>
      </c>
      <c r="J10" s="168"/>
      <c r="Y10" s="123"/>
      <c r="Z10" s="135"/>
      <c r="AA10" s="55"/>
      <c r="AB10" s="135"/>
      <c r="AC10" s="55"/>
    </row>
    <row r="11" spans="1:29" ht="15" customHeight="1" thickBot="1">
      <c r="A11" s="17" t="s">
        <v>393</v>
      </c>
      <c r="B11" s="143">
        <f t="shared" si="0"/>
        <v>4146666.666666667</v>
      </c>
      <c r="C11" s="180" t="s">
        <v>394</v>
      </c>
      <c r="D11" s="543" t="str">
        <f>IF(OR(B35="YES",H35="YES",N35="YES"),"YES","NO")</f>
        <v>NO</v>
      </c>
      <c r="J11" s="168"/>
      <c r="Y11" s="123"/>
      <c r="Z11" s="135"/>
      <c r="AA11" s="55"/>
      <c r="AB11" s="135"/>
      <c r="AC11" s="55"/>
    </row>
    <row r="12" spans="1:29" ht="15" customHeight="1">
      <c r="A12" s="17" t="s">
        <v>79</v>
      </c>
      <c r="B12" s="143">
        <f t="shared" si="0"/>
        <v>2791428.83</v>
      </c>
      <c r="C12" s="749" t="s">
        <v>395</v>
      </c>
      <c r="D12" s="757"/>
      <c r="E12" s="758"/>
      <c r="J12" s="117"/>
      <c r="Y12" s="123"/>
      <c r="Z12" s="135"/>
      <c r="AA12" s="55"/>
      <c r="AB12" s="135"/>
      <c r="AC12" s="55"/>
    </row>
    <row r="13" spans="1:29" ht="15" customHeight="1">
      <c r="A13" s="377" t="s">
        <v>83</v>
      </c>
      <c r="B13" s="143">
        <f t="shared" si="0"/>
        <v>2093571.6224999998</v>
      </c>
      <c r="C13" s="844"/>
      <c r="D13" s="541" t="s">
        <v>12</v>
      </c>
      <c r="E13" s="542" t="s">
        <v>396</v>
      </c>
      <c r="Y13" s="123"/>
      <c r="Z13" s="135"/>
      <c r="AA13" s="55"/>
      <c r="AB13" s="135"/>
      <c r="AC13" s="55"/>
    </row>
    <row r="14" spans="1:29" ht="15" customHeight="1">
      <c r="A14" s="377" t="s">
        <v>84</v>
      </c>
      <c r="B14" s="143">
        <f t="shared" si="0"/>
        <v>0</v>
      </c>
      <c r="C14" s="845" t="s">
        <v>9</v>
      </c>
      <c r="D14" s="546">
        <f>SUM(B157,H157,N157)</f>
        <v>116367596.65198691</v>
      </c>
      <c r="E14" s="759">
        <f>D14/$D$17</f>
        <v>0.5893641802855053</v>
      </c>
      <c r="Y14" s="123"/>
      <c r="Z14" s="135"/>
      <c r="AA14" s="55"/>
      <c r="AB14" s="135"/>
      <c r="AC14" s="55"/>
    </row>
    <row r="15" spans="1:29" ht="15" customHeight="1">
      <c r="A15" s="377" t="s">
        <v>85</v>
      </c>
      <c r="B15" s="143">
        <f t="shared" si="0"/>
        <v>2791428.83</v>
      </c>
      <c r="C15" s="846" t="s">
        <v>11</v>
      </c>
      <c r="D15" s="546">
        <f>SUM(B158,H158,N158)</f>
        <v>77578397.767991289</v>
      </c>
      <c r="E15" s="759">
        <f>D15/$D$17</f>
        <v>0.39290945352367029</v>
      </c>
      <c r="Y15" s="123"/>
      <c r="Z15" s="135"/>
      <c r="AA15" s="55"/>
      <c r="AB15" s="135"/>
      <c r="AC15" s="55"/>
    </row>
    <row r="16" spans="1:29" ht="15" customHeight="1">
      <c r="A16" s="377" t="s">
        <v>86</v>
      </c>
      <c r="B16" s="143">
        <f t="shared" si="0"/>
        <v>4885000.4525000006</v>
      </c>
      <c r="C16" s="847" t="s">
        <v>10</v>
      </c>
      <c r="D16" s="547">
        <f>-B25</f>
        <v>3500000</v>
      </c>
      <c r="E16" s="759">
        <f>D16/$D$17</f>
        <v>1.7726366190824377E-2</v>
      </c>
      <c r="Y16" s="123"/>
      <c r="Z16" s="135"/>
      <c r="AA16" s="55"/>
      <c r="AB16" s="135"/>
      <c r="AC16" s="55"/>
    </row>
    <row r="17" spans="1:29" ht="15" customHeight="1" thickBot="1">
      <c r="A17" s="377" t="s">
        <v>88</v>
      </c>
      <c r="B17" s="143">
        <f t="shared" si="0"/>
        <v>2791428.83</v>
      </c>
      <c r="C17" s="848" t="s">
        <v>397</v>
      </c>
      <c r="D17" s="552">
        <f>SUM(D14:D16)</f>
        <v>197445994.4199782</v>
      </c>
      <c r="E17" s="561">
        <f>SUM(E14:E16)</f>
        <v>0.99999999999999989</v>
      </c>
      <c r="Y17" s="123"/>
      <c r="Z17" s="135"/>
      <c r="AA17" s="55"/>
      <c r="AB17" s="135"/>
      <c r="AC17" s="55"/>
    </row>
    <row r="18" spans="1:29" ht="15" customHeight="1" thickTop="1" thickBot="1">
      <c r="A18" s="377" t="s">
        <v>93</v>
      </c>
      <c r="B18" s="143">
        <f t="shared" si="0"/>
        <v>6978572.0750000002</v>
      </c>
      <c r="C18" s="849" t="s">
        <v>398</v>
      </c>
      <c r="D18" s="550" t="str">
        <f>IF(B29=D17,"YES","NO")</f>
        <v>YES</v>
      </c>
      <c r="E18" s="551"/>
      <c r="Y18" s="123"/>
      <c r="Z18" s="135"/>
      <c r="AA18" s="55"/>
      <c r="AB18" s="135"/>
      <c r="AC18" s="55"/>
    </row>
    <row r="19" spans="1:29" ht="15" customHeight="1">
      <c r="A19" s="377" t="s">
        <v>97</v>
      </c>
      <c r="B19" s="143">
        <f t="shared" si="0"/>
        <v>2093571.6224999998</v>
      </c>
      <c r="C19" s="854" t="s">
        <v>399</v>
      </c>
      <c r="D19" s="853"/>
      <c r="Y19" s="123"/>
      <c r="Z19" s="135"/>
      <c r="AA19" s="55"/>
      <c r="AB19" s="135"/>
      <c r="AC19" s="55"/>
    </row>
    <row r="20" spans="1:29" ht="15" customHeight="1">
      <c r="A20" s="377" t="s">
        <v>100</v>
      </c>
      <c r="B20" s="143">
        <f t="shared" si="0"/>
        <v>200000</v>
      </c>
      <c r="C20" s="377" t="s">
        <v>400</v>
      </c>
      <c r="D20" s="413">
        <f ca="1">'4-J DRAW'!B50</f>
        <v>176965071.78425416</v>
      </c>
      <c r="F20" s="363"/>
      <c r="Y20" s="123"/>
      <c r="Z20" s="135"/>
      <c r="AA20" s="55"/>
      <c r="AB20" s="135"/>
      <c r="AC20" s="55"/>
    </row>
    <row r="21" spans="1:29" ht="15" customHeight="1">
      <c r="A21" s="377" t="s">
        <v>103</v>
      </c>
      <c r="B21" s="143">
        <f t="shared" si="0"/>
        <v>3915108.4560000002</v>
      </c>
      <c r="C21" s="377" t="s">
        <v>401</v>
      </c>
      <c r="D21" s="549">
        <f ca="1">(D20+D15)/D15</f>
        <v>3.2811127436982157</v>
      </c>
      <c r="Y21" s="123"/>
      <c r="Z21" s="135"/>
      <c r="AA21" s="55"/>
      <c r="AB21" s="135"/>
      <c r="AC21" s="55"/>
    </row>
    <row r="22" spans="1:29" ht="15" customHeight="1">
      <c r="A22" s="377" t="s">
        <v>106</v>
      </c>
      <c r="B22" s="143">
        <f t="shared" si="0"/>
        <v>7401479.5499999998</v>
      </c>
      <c r="C22" s="860" t="s">
        <v>402</v>
      </c>
      <c r="D22" s="861">
        <f ca="1">'4-J DRAW'!B59</f>
        <v>0.12279672599846037</v>
      </c>
      <c r="Y22" s="123"/>
      <c r="Z22" s="135"/>
      <c r="AA22" s="55"/>
      <c r="AB22" s="135"/>
      <c r="AC22" s="55"/>
    </row>
    <row r="23" spans="1:29" ht="15" customHeight="1">
      <c r="A23" s="377" t="s">
        <v>403</v>
      </c>
      <c r="B23" s="143">
        <f t="shared" si="0"/>
        <v>236847.34559999997</v>
      </c>
      <c r="C23" s="860" t="s">
        <v>404</v>
      </c>
      <c r="D23" s="861">
        <f ca="1">'4-J DRAW'!B55</f>
        <v>8.5045806717475525E-2</v>
      </c>
      <c r="G23" s="12"/>
      <c r="H23" s="556"/>
      <c r="Y23" s="123"/>
      <c r="Z23" s="135"/>
      <c r="AA23" s="55"/>
      <c r="AB23" s="135"/>
      <c r="AC23" s="55"/>
    </row>
    <row r="24" spans="1:29" ht="15" customHeight="1">
      <c r="A24" s="377" t="s">
        <v>112</v>
      </c>
      <c r="B24" s="143">
        <f>SUM(C150,I150,O150)</f>
        <v>690876.56421149999</v>
      </c>
      <c r="C24" s="860" t="s">
        <v>405</v>
      </c>
      <c r="D24" s="865">
        <f>IF(OR(B$35="YES",H35="YES",N35="YES"),"-",D5/B28)</f>
        <v>5.2588571700604166E-2</v>
      </c>
      <c r="E24" s="18"/>
      <c r="G24" s="328"/>
      <c r="H24" s="560"/>
      <c r="Y24" s="123"/>
      <c r="Z24" s="135"/>
      <c r="AA24" s="55"/>
      <c r="AB24" s="135"/>
      <c r="AC24" s="55"/>
    </row>
    <row r="25" spans="1:29" ht="15" customHeight="1">
      <c r="A25" s="17" t="s">
        <v>165</v>
      </c>
      <c r="B25" s="143">
        <f>SUM(C151,I151,O151)</f>
        <v>-3500000</v>
      </c>
      <c r="C25" s="860" t="s">
        <v>158</v>
      </c>
      <c r="D25" s="865">
        <f>SUM(D9,D10)/B28</f>
        <v>1.4078660327006789</v>
      </c>
      <c r="F25" s="348"/>
      <c r="G25" s="124"/>
      <c r="H25" s="124"/>
      <c r="Y25" s="123"/>
      <c r="Z25" s="135"/>
      <c r="AA25" s="55"/>
      <c r="AB25" s="135"/>
      <c r="AC25" s="55"/>
    </row>
    <row r="26" spans="1:29" ht="15" customHeight="1" thickBot="1">
      <c r="A26" s="408" t="s">
        <v>38</v>
      </c>
      <c r="B26" s="756">
        <f>SUM(C152,I152,O152)</f>
        <v>580000</v>
      </c>
      <c r="C26" s="863" t="s">
        <v>406</v>
      </c>
      <c r="D26" s="864">
        <f>IF((D5/D14)=0,"-",D5/D14)</f>
        <v>8.7647619501006954E-2</v>
      </c>
      <c r="G26" s="12"/>
      <c r="H26" s="557"/>
      <c r="Y26" s="123"/>
      <c r="Z26" s="135"/>
      <c r="AA26" s="55"/>
      <c r="AB26" s="135"/>
      <c r="AC26" s="55"/>
    </row>
    <row r="27" spans="1:29" ht="15" customHeight="1" thickBot="1">
      <c r="A27" s="762" t="s">
        <v>407</v>
      </c>
      <c r="B27" s="763">
        <f>SUM(C153,I153,O153)</f>
        <v>9300000</v>
      </c>
      <c r="G27" s="328"/>
      <c r="H27" s="558"/>
      <c r="Y27" s="123"/>
      <c r="Z27" s="135"/>
      <c r="AA27" s="55"/>
      <c r="AB27" s="135"/>
      <c r="AC27" s="55"/>
    </row>
    <row r="28" spans="1:29" ht="15" customHeight="1" thickTop="1">
      <c r="A28" s="760" t="s">
        <v>408</v>
      </c>
      <c r="B28" s="761">
        <f>SUM(B7:B27)</f>
        <v>193945994.4199782</v>
      </c>
      <c r="C28" s="328"/>
      <c r="D28" s="851"/>
      <c r="G28" s="328"/>
      <c r="H28" s="558"/>
      <c r="Y28" s="123"/>
      <c r="Z28" s="135"/>
      <c r="AA28" s="55"/>
      <c r="AB28" s="135"/>
      <c r="AC28" s="55"/>
    </row>
    <row r="29" spans="1:29" ht="15" customHeight="1" thickBot="1">
      <c r="A29" s="850" t="s">
        <v>409</v>
      </c>
      <c r="B29" s="862">
        <f>B28-B25</f>
        <v>197445994.4199782</v>
      </c>
      <c r="C29" s="12"/>
      <c r="D29" s="852"/>
      <c r="E29" s="12"/>
      <c r="G29" s="12"/>
      <c r="H29" s="132"/>
      <c r="Y29" s="123"/>
      <c r="Z29" s="135"/>
      <c r="AA29" s="55"/>
      <c r="AB29" s="135"/>
      <c r="AC29" s="55"/>
    </row>
    <row r="30" spans="1:29" ht="15" customHeight="1">
      <c r="A30" s="328"/>
      <c r="B30" s="843"/>
      <c r="G30" s="12"/>
      <c r="H30" s="548"/>
      <c r="Y30" s="123"/>
      <c r="Z30" s="135"/>
      <c r="AA30" s="55"/>
      <c r="AB30" s="135"/>
      <c r="AC30" s="55"/>
    </row>
    <row r="31" spans="1:29" ht="15" customHeight="1">
      <c r="A31" s="328"/>
      <c r="B31" s="843"/>
      <c r="E31" s="131"/>
      <c r="Y31" s="123"/>
      <c r="Z31" s="135"/>
      <c r="AA31" s="55"/>
      <c r="AB31" s="135"/>
      <c r="AC31" s="55"/>
    </row>
    <row r="32" spans="1:29" ht="15" customHeight="1">
      <c r="E32" s="132"/>
      <c r="Y32" s="123"/>
      <c r="Z32" s="135"/>
      <c r="AA32" s="55"/>
      <c r="AB32" s="135"/>
      <c r="AC32" s="55"/>
    </row>
    <row r="33" spans="1:29" ht="24.95" customHeight="1" thickBot="1">
      <c r="A33" s="169" t="s">
        <v>410</v>
      </c>
      <c r="M33" s="293"/>
      <c r="AB33" s="55"/>
      <c r="AC33" s="136"/>
    </row>
    <row r="34" spans="1:29" ht="20.25" customHeight="1">
      <c r="A34" s="1001" t="s">
        <v>219</v>
      </c>
      <c r="B34" s="1002" t="s">
        <v>70</v>
      </c>
      <c r="C34" s="1003" t="s">
        <v>411</v>
      </c>
      <c r="D34" s="1004">
        <f>IFERROR(INDEX('Building Configuration'!$B$2:$AA$34,MATCH(B$34,'Building Configuration'!$D$2:$D$34,0),MATCH("Total",'Building Configuration'!$B$2:$AA$2,0)),0)</f>
        <v>680836.3</v>
      </c>
      <c r="E34" s="1005"/>
      <c r="G34" s="1001" t="s">
        <v>219</v>
      </c>
      <c r="H34" s="1002"/>
      <c r="I34" s="1003" t="s">
        <v>411</v>
      </c>
      <c r="J34" s="1004">
        <f>IFERROR(INDEX('Building Configuration'!$B$2:$AA$34,MATCH(H$34,'Building Configuration'!$D$2:$D$34,0),MATCH("Total",'Building Configuration'!$B$2:$AA$2,0)),0)</f>
        <v>0</v>
      </c>
      <c r="K34" s="1005"/>
      <c r="L34" s="123"/>
      <c r="M34" s="1001" t="s">
        <v>219</v>
      </c>
      <c r="N34" s="1002"/>
      <c r="O34" s="1003" t="s">
        <v>411</v>
      </c>
      <c r="P34" s="1004">
        <f>IFERROR(INDEX('Building Configuration'!$B$2:$AA$34,MATCH(N$34,'Building Configuration'!$D$2:$D$34,0),MATCH("Total",'Building Configuration'!$B$2:$AA$2,0)),0)</f>
        <v>0</v>
      </c>
      <c r="Q34" s="1005"/>
      <c r="R34" s="123"/>
      <c r="S34" s="304"/>
      <c r="T34" s="285"/>
      <c r="V34" s="168"/>
      <c r="W34" s="123"/>
      <c r="X34" s="124"/>
    </row>
    <row r="35" spans="1:29" ht="15" customHeight="1">
      <c r="A35" s="6" t="s">
        <v>412</v>
      </c>
      <c r="B35" s="137" t="str">
        <f>IF(OR(D$37&gt;0,D$39&gt;0,D$43&gt;0),"YES","NO")</f>
        <v>NO</v>
      </c>
      <c r="D35" s="119"/>
      <c r="E35" s="103"/>
      <c r="G35" s="6" t="s">
        <v>412</v>
      </c>
      <c r="H35" s="137" t="str">
        <f>IF(OR(J$37&gt;0,J$39&gt;0,J$43&gt;0),"YES","NO")</f>
        <v>NO</v>
      </c>
      <c r="J35" s="119"/>
      <c r="K35" s="103"/>
      <c r="L35" s="123"/>
      <c r="M35" s="6" t="s">
        <v>412</v>
      </c>
      <c r="N35" s="137" t="str">
        <f>IF(OR(P$37&gt;0,P$39&gt;0,P$43&gt;0),"YES","NO")</f>
        <v>NO</v>
      </c>
      <c r="P35" s="119"/>
      <c r="Q35" s="103"/>
      <c r="R35" s="123"/>
      <c r="S35" s="123"/>
      <c r="T35" s="137"/>
      <c r="V35" s="168"/>
      <c r="W35" s="123"/>
      <c r="X35" s="124"/>
    </row>
    <row r="36" spans="1:29" ht="15" customHeight="1">
      <c r="A36" s="6" t="s">
        <v>222</v>
      </c>
      <c r="B36" s="118" t="str">
        <f>IFERROR(INDEX('Building Configuration'!$B$2:$AA$34,MATCH(B$34,'Building Configuration'!$D$2:$D$34,0),MATCH(A36,'Building Configuration'!$B$2:$AA$2,0)),"-")</f>
        <v>-</v>
      </c>
      <c r="C36" s="5" t="s">
        <v>231</v>
      </c>
      <c r="D36" s="119">
        <f>IFERROR(INDEX('Building Configuration'!$B$2:$AA$34,MATCH(B$34,'Building Configuration'!$D$2:$D$34,0),MATCH(B36,'Building Configuration'!$B$2:$AA$2,0)),0)</f>
        <v>0</v>
      </c>
      <c r="E36" s="103"/>
      <c r="G36" s="6" t="s">
        <v>222</v>
      </c>
      <c r="H36" s="118" t="str">
        <f>IFERROR(INDEX('Building Configuration'!$B$2:$AA$34,MATCH(H$34,'Building Configuration'!$D$2:$D$34,0),MATCH(G36,'Building Configuration'!$B$2:$AA$2,0)),"-")</f>
        <v>-</v>
      </c>
      <c r="I36" s="5" t="s">
        <v>231</v>
      </c>
      <c r="J36" s="119">
        <f>IFERROR(INDEX('Building Configuration'!$B$2:$AA$34,MATCH(H$34,'Building Configuration'!$D$2:$D$34,0),MATCH(H36,'Building Configuration'!$B$2:$AA$2,0)),0)</f>
        <v>0</v>
      </c>
      <c r="K36" s="103"/>
      <c r="L36" s="123"/>
      <c r="M36" s="6" t="s">
        <v>222</v>
      </c>
      <c r="N36" s="118" t="str">
        <f>IFERROR(INDEX('Building Configuration'!$B$2:$AA$34,MATCH(N$34,'Building Configuration'!$D$2:$D$34,0),MATCH(M36,'Building Configuration'!$B$2:$AA$2,0)),"-")</f>
        <v>-</v>
      </c>
      <c r="O36" s="5" t="s">
        <v>231</v>
      </c>
      <c r="P36" s="119">
        <f>IFERROR(INDEX('Building Configuration'!$B$2:$AA$34,MATCH(N$34,'Building Configuration'!$D$2:$D$34,0),MATCH(N36,'Building Configuration'!$B$2:$AA$2,0)),0)</f>
        <v>0</v>
      </c>
      <c r="Q36" s="103"/>
      <c r="R36" s="123"/>
      <c r="S36" s="123"/>
      <c r="T36" s="118"/>
      <c r="V36" s="168"/>
      <c r="W36" s="123"/>
      <c r="X36" s="124"/>
    </row>
    <row r="37" spans="1:29" ht="15" customHeight="1">
      <c r="A37" s="6" t="s">
        <v>223</v>
      </c>
      <c r="B37" s="118" t="str">
        <f>IFERROR(INDEX('Building Configuration'!$B$2:$AA$34,MATCH(B$34,'Building Configuration'!$D$2:$D$34,0),MATCH(A37,'Building Configuration'!$B$2:$AA$2,0)),"-")</f>
        <v>-</v>
      </c>
      <c r="C37" s="5" t="s">
        <v>413</v>
      </c>
      <c r="D37" s="119">
        <f>IFERROR(INDEX('Building Configuration'!$B$2:$AA$34,MATCH(B$34,'Building Configuration'!$D$2:$D$34,0),MATCH(B37,'Building Configuration'!$B$2:$AA$2,0)),0)</f>
        <v>0</v>
      </c>
      <c r="E37" s="103"/>
      <c r="G37" s="6" t="s">
        <v>223</v>
      </c>
      <c r="H37" s="118" t="str">
        <f>IFERROR(INDEX('Building Configuration'!$B$2:$AA$34,MATCH(H$34,'Building Configuration'!$D$2:$D$34,0),MATCH(G37,'Building Configuration'!$B$2:$AA$2,0)),"-")</f>
        <v>-</v>
      </c>
      <c r="I37" s="5" t="s">
        <v>413</v>
      </c>
      <c r="J37" s="119">
        <f>IFERROR(INDEX('Building Configuration'!$B$2:$AA$34,MATCH(H$34,'Building Configuration'!$D$2:$D$34,0),MATCH(H37,'Building Configuration'!$B$2:$AA$2,0)),0)</f>
        <v>0</v>
      </c>
      <c r="K37" s="103"/>
      <c r="L37" s="123"/>
      <c r="M37" s="6" t="s">
        <v>223</v>
      </c>
      <c r="N37" s="118" t="str">
        <f>IFERROR(INDEX('Building Configuration'!$B$2:$AA$34,MATCH(N$34,'Building Configuration'!$D$2:$D$34,0),MATCH(M37,'Building Configuration'!$B$2:$AA$2,0)),"-")</f>
        <v>-</v>
      </c>
      <c r="O37" s="5" t="s">
        <v>413</v>
      </c>
      <c r="P37" s="119">
        <f>IFERROR(INDEX('Building Configuration'!$B$2:$AA$34,MATCH(N$34,'Building Configuration'!$D$2:$D$34,0),MATCH(N37,'Building Configuration'!$B$2:$AA$2,0)),0)</f>
        <v>0</v>
      </c>
      <c r="Q37" s="103"/>
      <c r="R37" s="123"/>
      <c r="S37" s="123"/>
      <c r="T37" s="118"/>
      <c r="V37" s="168"/>
      <c r="W37" s="123"/>
      <c r="X37" s="124"/>
    </row>
    <row r="38" spans="1:29" ht="15" customHeight="1">
      <c r="A38" s="6" t="s">
        <v>224</v>
      </c>
      <c r="B38" s="118" t="str">
        <f>IFERROR(INDEX('Building Configuration'!$B$2:$AA$34,MATCH(B$34,'Building Configuration'!$D$2:$D$34,0),MATCH(A38,'Building Configuration'!$B$2:$AA$2,0)),"-")</f>
        <v>-</v>
      </c>
      <c r="C38" s="5" t="s">
        <v>233</v>
      </c>
      <c r="D38" s="119">
        <f>IFERROR(INDEX('Building Configuration'!$B$2:$AA$34,MATCH(B$34,'Building Configuration'!$D$2:$D$34,0),MATCH(B38,'Building Configuration'!$B$2:$AA$2,0)),0)</f>
        <v>0</v>
      </c>
      <c r="E38" s="103"/>
      <c r="G38" s="6" t="s">
        <v>224</v>
      </c>
      <c r="H38" s="118" t="str">
        <f>IFERROR(INDEX('Building Configuration'!$B$2:$AA$34,MATCH(H$34,'Building Configuration'!$D$2:$D$34,0),MATCH(G38,'Building Configuration'!$B$2:$AA$2,0)),"-")</f>
        <v>-</v>
      </c>
      <c r="I38" s="5" t="s">
        <v>233</v>
      </c>
      <c r="J38" s="119">
        <f>IFERROR(INDEX('Building Configuration'!$B$2:$AA$34,MATCH(H$34,'Building Configuration'!$D$2:$D$34,0),MATCH(H38,'Building Configuration'!$B$2:$AA$2,0)),0)</f>
        <v>0</v>
      </c>
      <c r="K38" s="103"/>
      <c r="L38" s="123"/>
      <c r="M38" s="6" t="s">
        <v>224</v>
      </c>
      <c r="N38" s="118" t="str">
        <f>IFERROR(INDEX('Building Configuration'!$B$2:$AA$34,MATCH(N$34,'Building Configuration'!$D$2:$D$34,0),MATCH(M38,'Building Configuration'!$B$2:$AA$2,0)),"-")</f>
        <v>-</v>
      </c>
      <c r="O38" s="5" t="s">
        <v>233</v>
      </c>
      <c r="P38" s="119">
        <f>IFERROR(INDEX('Building Configuration'!$B$2:$AA$34,MATCH(N$34,'Building Configuration'!$D$2:$D$34,0),MATCH(N38,'Building Configuration'!$B$2:$AA$2,0)),0)</f>
        <v>0</v>
      </c>
      <c r="Q38" s="103"/>
      <c r="R38" s="123"/>
      <c r="S38" s="123"/>
      <c r="T38" s="118"/>
      <c r="V38" s="168"/>
      <c r="W38" s="123"/>
      <c r="X38" s="124"/>
      <c r="Z38" s="168"/>
    </row>
    <row r="39" spans="1:29" ht="15" customHeight="1">
      <c r="A39" s="6" t="s">
        <v>225</v>
      </c>
      <c r="B39" s="118" t="str">
        <f>IFERROR(INDEX('Building Configuration'!$B$2:$AA$34,MATCH(B$34,'Building Configuration'!$D$2:$D$34,0),MATCH(A39,'Building Configuration'!$B$2:$AA$2,0)),"-")</f>
        <v>-</v>
      </c>
      <c r="C39" s="5" t="s">
        <v>414</v>
      </c>
      <c r="D39" s="119">
        <f>IFERROR(INDEX('Building Configuration'!$B$2:$AA$34,MATCH(B$34,'Building Configuration'!$D$2:$D$34,0),MATCH(B39,'Building Configuration'!$B$2:$AA$2,0)),0)</f>
        <v>0</v>
      </c>
      <c r="E39" s="103"/>
      <c r="G39" s="6" t="s">
        <v>225</v>
      </c>
      <c r="H39" s="118" t="str">
        <f>IFERROR(INDEX('Building Configuration'!$B$2:$AA$34,MATCH(H$34,'Building Configuration'!$D$2:$D$34,0),MATCH(G39,'Building Configuration'!$B$2:$AA$2,0)),"-")</f>
        <v>-</v>
      </c>
      <c r="I39" s="5" t="s">
        <v>414</v>
      </c>
      <c r="J39" s="119">
        <f>IFERROR(INDEX('Building Configuration'!$B$2:$AA$34,MATCH(H$34,'Building Configuration'!$D$2:$D$34,0),MATCH(H39,'Building Configuration'!$B$2:$AA$2,0)),0)</f>
        <v>0</v>
      </c>
      <c r="K39" s="103"/>
      <c r="L39" s="123"/>
      <c r="M39" s="6" t="s">
        <v>225</v>
      </c>
      <c r="N39" s="118" t="str">
        <f>IFERROR(INDEX('Building Configuration'!$B$2:$AA$34,MATCH(N$34,'Building Configuration'!$D$2:$D$34,0),MATCH(M39,'Building Configuration'!$B$2:$AA$2,0)),"-")</f>
        <v>-</v>
      </c>
      <c r="O39" s="5" t="s">
        <v>414</v>
      </c>
      <c r="P39" s="119">
        <f>IFERROR(INDEX('Building Configuration'!$B$2:$AA$34,MATCH(N$34,'Building Configuration'!$D$2:$D$34,0),MATCH(N39,'Building Configuration'!$B$2:$AA$2,0)),0)</f>
        <v>0</v>
      </c>
      <c r="Q39" s="103"/>
      <c r="R39" s="123"/>
      <c r="S39" s="123"/>
      <c r="T39" s="118"/>
      <c r="V39" s="168"/>
      <c r="W39" s="123"/>
      <c r="X39" s="124"/>
      <c r="Z39" s="168"/>
    </row>
    <row r="40" spans="1:29" ht="15" customHeight="1">
      <c r="A40" s="6" t="s">
        <v>226</v>
      </c>
      <c r="B40" s="118" t="str">
        <f>IFERROR(INDEX('Building Configuration'!$B$2:$AA$34,MATCH(B$34,'Building Configuration'!$D$2:$D$34,0),MATCH(A40,'Building Configuration'!$B$2:$AA$2,0)),"-")</f>
        <v>-</v>
      </c>
      <c r="C40" s="5" t="s">
        <v>59</v>
      </c>
      <c r="D40" s="119">
        <f>IFERROR(INDEX('Building Configuration'!$B$2:$AA$34,MATCH(B$34,'Building Configuration'!$D$2:$D$34,0),MATCH(B40,'Building Configuration'!$B$2:$AA$2,0)),0)</f>
        <v>0</v>
      </c>
      <c r="E40" s="103"/>
      <c r="G40" s="6" t="s">
        <v>226</v>
      </c>
      <c r="H40" s="118" t="str">
        <f>IFERROR(INDEX('Building Configuration'!$B$2:$AA$34,MATCH(H$34,'Building Configuration'!$D$2:$D$34,0),MATCH(G40,'Building Configuration'!$B$2:$AA$2,0)),"-")</f>
        <v>-</v>
      </c>
      <c r="I40" s="5" t="s">
        <v>59</v>
      </c>
      <c r="J40" s="119">
        <f>IFERROR(INDEX('Building Configuration'!$B$2:$AA$34,MATCH(H$34,'Building Configuration'!$D$2:$D$34,0),MATCH(H40,'Building Configuration'!$B$2:$AA$2,0)),0)</f>
        <v>0</v>
      </c>
      <c r="K40" s="103"/>
      <c r="L40" s="123"/>
      <c r="M40" s="6" t="s">
        <v>226</v>
      </c>
      <c r="N40" s="118" t="str">
        <f>IFERROR(INDEX('Building Configuration'!$B$2:$AA$34,MATCH(N$34,'Building Configuration'!$D$2:$D$34,0),MATCH(M40,'Building Configuration'!$B$2:$AA$2,0)),"-")</f>
        <v>-</v>
      </c>
      <c r="O40" s="5" t="s">
        <v>59</v>
      </c>
      <c r="P40" s="119">
        <f>IFERROR(INDEX('Building Configuration'!$B$2:$AA$34,MATCH(N$34,'Building Configuration'!$D$2:$D$34,0),MATCH(N40,'Building Configuration'!$B$2:$AA$2,0)),0)</f>
        <v>0</v>
      </c>
      <c r="Q40" s="103"/>
      <c r="R40" s="123"/>
      <c r="S40" s="123"/>
      <c r="T40" s="118"/>
      <c r="V40" s="168"/>
      <c r="W40" s="123"/>
      <c r="X40" s="124"/>
      <c r="Z40" s="168"/>
    </row>
    <row r="41" spans="1:29" ht="15" customHeight="1">
      <c r="A41" s="6" t="s">
        <v>227</v>
      </c>
      <c r="B41" s="118" t="str">
        <f>IFERROR(INDEX('Building Configuration'!$B$2:$AA$34,MATCH(B$34,'Building Configuration'!$D$2:$D$34,0),MATCH(A41,'Building Configuration'!$B$2:$AA$2,0)),"-")</f>
        <v>Retail</v>
      </c>
      <c r="C41" s="5" t="s">
        <v>415</v>
      </c>
      <c r="D41" s="119">
        <f>IFERROR(INDEX('Building Configuration'!$B$2:$AA$34,MATCH(B$34,'Building Configuration'!$D$2:$D$34,0),MATCH(B41,'Building Configuration'!$B$2:$AA$2,0)),0)</f>
        <v>290254.09999999998</v>
      </c>
      <c r="E41" s="103"/>
      <c r="G41" s="6" t="s">
        <v>227</v>
      </c>
      <c r="H41" s="118" t="str">
        <f>IFERROR(INDEX('Building Configuration'!$B$2:$AA$34,MATCH(H$34,'Building Configuration'!$D$2:$D$34,0),MATCH(G41,'Building Configuration'!$B$2:$AA$2,0)),"-")</f>
        <v>-</v>
      </c>
      <c r="I41" s="5" t="s">
        <v>415</v>
      </c>
      <c r="J41" s="119">
        <f>IFERROR(INDEX('Building Configuration'!$B$2:$AA$34,MATCH(H$34,'Building Configuration'!$D$2:$D$34,0),MATCH(H41,'Building Configuration'!$B$2:$AA$2,0)),0)</f>
        <v>0</v>
      </c>
      <c r="K41" s="103"/>
      <c r="L41" s="123"/>
      <c r="M41" s="6" t="s">
        <v>227</v>
      </c>
      <c r="N41" s="118" t="str">
        <f>IFERROR(INDEX('Building Configuration'!$B$2:$AA$34,MATCH(N$34,'Building Configuration'!$D$2:$D$34,0),MATCH(M41,'Building Configuration'!$B$2:$AA$2,0)),"-")</f>
        <v>-</v>
      </c>
      <c r="O41" s="5" t="s">
        <v>415</v>
      </c>
      <c r="P41" s="119">
        <f>IFERROR(INDEX('Building Configuration'!$B$2:$AA$34,MATCH(N$34,'Building Configuration'!$D$2:$D$34,0),MATCH(N41,'Building Configuration'!$B$2:$AA$2,0)),0)</f>
        <v>0</v>
      </c>
      <c r="Q41" s="103"/>
      <c r="R41" s="123"/>
      <c r="S41" s="123"/>
      <c r="T41" s="118"/>
      <c r="V41" s="168"/>
      <c r="W41" s="123"/>
      <c r="X41" s="124"/>
      <c r="Z41" s="168"/>
    </row>
    <row r="42" spans="1:29" ht="15" customHeight="1">
      <c r="A42" s="6" t="s">
        <v>228</v>
      </c>
      <c r="B42" s="118" t="str">
        <f>IFERROR(INDEX('Building Configuration'!$B$2:$AA$34,MATCH(B$34,'Building Configuration'!$D$2:$D$34,0),MATCH(A42,'Building Configuration'!$B$2:$AA$2,0)),"-")</f>
        <v>-</v>
      </c>
      <c r="C42" s="5" t="s">
        <v>416</v>
      </c>
      <c r="D42" s="119">
        <f>IFERROR(INDEX('Building Configuration'!$B$2:$AA$34,MATCH(B$34,'Building Configuration'!$D$2:$D$34,0),MATCH(B42,'Building Configuration'!$B$2:$AA$2,0)),0)</f>
        <v>0</v>
      </c>
      <c r="E42" s="103"/>
      <c r="G42" s="6" t="s">
        <v>228</v>
      </c>
      <c r="H42" s="118" t="str">
        <f>IFERROR(INDEX('Building Configuration'!$B$2:$AA$34,MATCH(H$34,'Building Configuration'!$D$2:$D$34,0),MATCH(G42,'Building Configuration'!$B$2:$AA$2,0)),"-")</f>
        <v>-</v>
      </c>
      <c r="I42" s="5" t="s">
        <v>416</v>
      </c>
      <c r="J42" s="119">
        <f>IFERROR(INDEX('Building Configuration'!$B$2:$AA$34,MATCH(H$34,'Building Configuration'!$D$2:$D$34,0),MATCH(H42,'Building Configuration'!$B$2:$AA$2,0)),0)</f>
        <v>0</v>
      </c>
      <c r="K42" s="103"/>
      <c r="L42" s="123"/>
      <c r="M42" s="6" t="s">
        <v>228</v>
      </c>
      <c r="N42" s="118" t="str">
        <f>IFERROR(INDEX('Building Configuration'!$B$2:$AA$34,MATCH(N$34,'Building Configuration'!$D$2:$D$34,0),MATCH(M42,'Building Configuration'!$B$2:$AA$2,0)),"-")</f>
        <v>-</v>
      </c>
      <c r="O42" s="5" t="s">
        <v>416</v>
      </c>
      <c r="P42" s="119">
        <f>IFERROR(INDEX('Building Configuration'!$B$2:$AA$34,MATCH(N$34,'Building Configuration'!$D$2:$D$34,0),MATCH(N42,'Building Configuration'!$B$2:$AA$2,0)),0)</f>
        <v>0</v>
      </c>
      <c r="Q42" s="103"/>
      <c r="R42" s="123"/>
      <c r="S42" s="123"/>
      <c r="T42" s="118"/>
      <c r="V42" s="168"/>
      <c r="W42" s="123"/>
      <c r="X42" s="124"/>
      <c r="Z42" s="168"/>
    </row>
    <row r="43" spans="1:29" ht="15" customHeight="1">
      <c r="A43" s="6" t="s">
        <v>229</v>
      </c>
      <c r="B43" s="118" t="str">
        <f>IFERROR(INDEX('Building Configuration'!$B$2:$AA$34,MATCH(B$34,'Building Configuration'!$D$2:$D$34,0),MATCH(A43,'Building Configuration'!$B$2:$AA$2,0)),"-")</f>
        <v>-</v>
      </c>
      <c r="C43" s="5" t="s">
        <v>229</v>
      </c>
      <c r="D43" s="119">
        <f>IFERROR(INDEX('Building Configuration'!$B$2:$AA$34,MATCH(B$34,'Building Configuration'!$D$2:$D$34,0),MATCH(B43,'Building Configuration'!$B$2:$AA$2,0)),0)</f>
        <v>0</v>
      </c>
      <c r="E43" s="103"/>
      <c r="G43" s="6" t="s">
        <v>229</v>
      </c>
      <c r="H43" s="118" t="str">
        <f>IFERROR(INDEX('Building Configuration'!$B$2:$AA$34,MATCH(H$34,'Building Configuration'!$D$2:$D$34,0),MATCH(G43,'Building Configuration'!$B$2:$AA$2,0)),"-")</f>
        <v>-</v>
      </c>
      <c r="I43" s="5" t="s">
        <v>229</v>
      </c>
      <c r="J43" s="119">
        <f>IFERROR(INDEX('Building Configuration'!$B$2:$AA$34,MATCH(H$34,'Building Configuration'!$D$2:$D$34,0),MATCH(H43,'Building Configuration'!$B$2:$AA$2,0)),0)</f>
        <v>0</v>
      </c>
      <c r="K43" s="103"/>
      <c r="L43" s="123"/>
      <c r="M43" s="6" t="s">
        <v>229</v>
      </c>
      <c r="N43" s="118" t="str">
        <f>IFERROR(INDEX('Building Configuration'!$B$2:$AA$34,MATCH(N$34,'Building Configuration'!$D$2:$D$34,0),MATCH(M43,'Building Configuration'!$B$2:$AA$2,0)),"-")</f>
        <v>-</v>
      </c>
      <c r="O43" s="5" t="s">
        <v>229</v>
      </c>
      <c r="P43" s="119">
        <f>IFERROR(INDEX('Building Configuration'!$B$2:$AA$34,MATCH(N$34,'Building Configuration'!$D$2:$D$34,0),MATCH(N43,'Building Configuration'!$B$2:$AA$2,0)),0)</f>
        <v>0</v>
      </c>
      <c r="Q43" s="103"/>
      <c r="R43" s="123"/>
      <c r="S43" s="123"/>
      <c r="T43" s="118"/>
      <c r="V43" s="168"/>
      <c r="W43" s="123"/>
      <c r="X43" s="124"/>
      <c r="Z43" s="168"/>
    </row>
    <row r="44" spans="1:29" ht="15" customHeight="1">
      <c r="A44" s="6" t="s">
        <v>230</v>
      </c>
      <c r="B44" s="118" t="str">
        <f>IFERROR(INDEX('Building Configuration'!$B$2:$AA$34,MATCH(B$34,'Building Configuration'!$D$2:$D$34,0),MATCH(A44,'Building Configuration'!$B$2:$AA$2,0)),"-")</f>
        <v>Museum</v>
      </c>
      <c r="C44" s="5" t="s">
        <v>230</v>
      </c>
      <c r="D44" s="119">
        <f>IFERROR(INDEX('Building Configuration'!$B$2:$AA$34,MATCH(B$34,'Building Configuration'!$D$2:$D$34,0),MATCH(B44,'Building Configuration'!$B$2:$AA$2,0)),0)</f>
        <v>257772.5</v>
      </c>
      <c r="E44" s="103"/>
      <c r="G44" s="6" t="s">
        <v>230</v>
      </c>
      <c r="H44" s="118" t="str">
        <f>IFERROR(INDEX('Building Configuration'!$B$2:$AA$34,MATCH(H$34,'Building Configuration'!$D$2:$D$34,0),MATCH(G44,'Building Configuration'!$B$2:$AA$2,0)),"-")</f>
        <v>-</v>
      </c>
      <c r="I44" s="5" t="s">
        <v>230</v>
      </c>
      <c r="J44" s="119">
        <f>IFERROR(INDEX('Building Configuration'!$B$2:$AA$34,MATCH(H$34,'Building Configuration'!$D$2:$D$34,0),MATCH(H44,'Building Configuration'!$B$2:$AA$2,0)),0)</f>
        <v>0</v>
      </c>
      <c r="K44" s="103"/>
      <c r="L44" s="123"/>
      <c r="M44" s="6" t="s">
        <v>230</v>
      </c>
      <c r="N44" s="118" t="str">
        <f>IFERROR(INDEX('Building Configuration'!$B$2:$AA$34,MATCH(N$34,'Building Configuration'!$D$2:$D$34,0),MATCH(M44,'Building Configuration'!$B$2:$AA$2,0)),"-")</f>
        <v>-</v>
      </c>
      <c r="O44" s="5" t="s">
        <v>230</v>
      </c>
      <c r="P44" s="119">
        <f>IFERROR(INDEX('Building Configuration'!$B$2:$AA$34,MATCH(N$34,'Building Configuration'!$D$2:$D$34,0),MATCH(N44,'Building Configuration'!$B$2:$AA$2,0)),0)</f>
        <v>0</v>
      </c>
      <c r="Q44" s="103"/>
      <c r="R44" s="123"/>
      <c r="S44" s="123"/>
      <c r="T44" s="118"/>
      <c r="V44" s="168"/>
      <c r="W44" s="123"/>
      <c r="X44" s="124"/>
      <c r="Z44" s="168"/>
    </row>
    <row r="45" spans="1:29" ht="15" customHeight="1">
      <c r="A45" s="6" t="s">
        <v>417</v>
      </c>
      <c r="B45" s="118" t="str">
        <f>IFERROR(IF(INDEX('Building Configuration'!$B$2:$AA$34,MATCH(B$34,'Building Configuration'!$D$2:$D$34,0),MATCH(C45,'Building Configuration'!$B$2:$AA$2,0))&gt;0,"YES","NO"),"-")</f>
        <v>YES</v>
      </c>
      <c r="C45" s="5" t="s">
        <v>116</v>
      </c>
      <c r="D45" s="119">
        <f>IFERROR(INDEX('Building Configuration'!$B$2:$AA$34,MATCH(B$34,'Building Configuration'!$D$2:$D$34,0),MATCH(C45,'Building Configuration'!$B$2:$AA$2,0)),0)</f>
        <v>132809.70000000001</v>
      </c>
      <c r="E45" s="65"/>
      <c r="G45" s="6" t="s">
        <v>417</v>
      </c>
      <c r="H45" s="118" t="str">
        <f>IFERROR(IF(INDEX('Building Configuration'!$B$2:$AA$34,MATCH(H$34,'Building Configuration'!$D$2:$D$34,0),MATCH(I45,'Building Configuration'!$B$2:$AA$2,0))&gt;0,"YES","NO"),"-")</f>
        <v>-</v>
      </c>
      <c r="I45" s="5" t="s">
        <v>116</v>
      </c>
      <c r="J45" s="119">
        <f>IFERROR(INDEX('Building Configuration'!$B$2:$AA$34,MATCH(H$34,'Building Configuration'!$D$2:$D$34,0),MATCH(I45,'Building Configuration'!$B$2:$AA$2,0)),0)</f>
        <v>0</v>
      </c>
      <c r="K45" s="65"/>
      <c r="L45" s="55"/>
      <c r="M45" s="6" t="s">
        <v>417</v>
      </c>
      <c r="N45" s="118" t="str">
        <f>IFERROR(IF(INDEX('Building Configuration'!$B$2:$AA$34,MATCH(N$34,'Building Configuration'!$D$2:$D$34,0),MATCH(O45,'Building Configuration'!$B$2:$AA$2,0))&gt;0,"YES","NO"),"-")</f>
        <v>-</v>
      </c>
      <c r="O45" s="5" t="s">
        <v>116</v>
      </c>
      <c r="P45" s="119">
        <f>IFERROR(INDEX('Building Configuration'!$B$2:$AA$34,MATCH(N$34,'Building Configuration'!$D$2:$D$34,0),MATCH(O45,'Building Configuration'!$B$2:$AA$2,0)),0)</f>
        <v>0</v>
      </c>
      <c r="Q45" s="65"/>
      <c r="R45" s="55"/>
      <c r="S45" s="123"/>
      <c r="T45" s="118"/>
      <c r="V45" s="168"/>
      <c r="W45" s="55"/>
      <c r="X45" s="99"/>
      <c r="Z45" s="117"/>
    </row>
    <row r="46" spans="1:29" ht="15" customHeight="1">
      <c r="A46" s="6" t="s">
        <v>418</v>
      </c>
      <c r="B46" s="161">
        <v>0</v>
      </c>
      <c r="C46" s="162">
        <f>100%-B46</f>
        <v>1</v>
      </c>
      <c r="D46" s="119"/>
      <c r="E46" s="65"/>
      <c r="G46" s="6" t="s">
        <v>418</v>
      </c>
      <c r="H46" s="161">
        <v>1</v>
      </c>
      <c r="I46" s="162">
        <f>100%-H46</f>
        <v>0</v>
      </c>
      <c r="J46" s="119"/>
      <c r="K46" s="65"/>
      <c r="L46" s="55"/>
      <c r="M46" s="6" t="s">
        <v>418</v>
      </c>
      <c r="N46" s="161">
        <v>1</v>
      </c>
      <c r="O46" s="162">
        <f>100%-N46</f>
        <v>0</v>
      </c>
      <c r="P46" s="119"/>
      <c r="Q46" s="65"/>
      <c r="R46" s="55"/>
      <c r="S46" s="123"/>
      <c r="T46" s="294"/>
      <c r="U46" s="305"/>
      <c r="V46" s="168"/>
      <c r="W46" s="55"/>
      <c r="X46" s="99"/>
    </row>
    <row r="47" spans="1:29" ht="15" customHeight="1">
      <c r="A47" s="6"/>
      <c r="B47" s="118"/>
      <c r="D47" s="119"/>
      <c r="E47" s="65"/>
      <c r="G47" s="6"/>
      <c r="H47" s="118"/>
      <c r="J47" s="119"/>
      <c r="K47" s="65"/>
      <c r="L47" s="55"/>
      <c r="M47" s="6"/>
      <c r="N47" s="118"/>
      <c r="P47" s="119"/>
      <c r="Q47" s="65"/>
      <c r="R47" s="55"/>
      <c r="S47" s="123"/>
      <c r="T47" s="118"/>
      <c r="V47" s="168"/>
      <c r="W47" s="55"/>
      <c r="X47" s="99"/>
    </row>
    <row r="48" spans="1:29" ht="15" customHeight="1">
      <c r="A48" s="104" t="s">
        <v>222</v>
      </c>
      <c r="B48" s="105" t="str">
        <f>B$36</f>
        <v>-</v>
      </c>
      <c r="C48" s="166" t="s">
        <v>419</v>
      </c>
      <c r="D48" s="111">
        <f>D$36*E$48</f>
        <v>0</v>
      </c>
      <c r="E48" s="106">
        <f>Assumptions!$Y$28</f>
        <v>0.77</v>
      </c>
      <c r="F48" s="99"/>
      <c r="G48" s="104" t="s">
        <v>222</v>
      </c>
      <c r="H48" s="105" t="str">
        <f>H$36</f>
        <v>-</v>
      </c>
      <c r="I48" s="166" t="s">
        <v>419</v>
      </c>
      <c r="J48" s="111">
        <f>J$36*K$48</f>
        <v>0</v>
      </c>
      <c r="K48" s="106">
        <f>Assumptions!$Y$28</f>
        <v>0.77</v>
      </c>
      <c r="L48" s="55"/>
      <c r="M48" s="104" t="s">
        <v>222</v>
      </c>
      <c r="N48" s="105" t="str">
        <f>N$36</f>
        <v>-</v>
      </c>
      <c r="O48" s="166" t="s">
        <v>419</v>
      </c>
      <c r="P48" s="111">
        <f>P$36*Q$48</f>
        <v>0</v>
      </c>
      <c r="Q48" s="106">
        <f>Assumptions!$Y$28</f>
        <v>0.77</v>
      </c>
      <c r="R48" s="55"/>
      <c r="S48" s="123"/>
      <c r="T48" s="99"/>
      <c r="U48" s="135"/>
      <c r="V48" s="295"/>
      <c r="W48" s="55"/>
      <c r="X48" s="99"/>
    </row>
    <row r="49" spans="1:24" ht="15" customHeight="1">
      <c r="A49" s="104" t="s">
        <v>420</v>
      </c>
      <c r="B49" s="160">
        <v>0</v>
      </c>
      <c r="C49" s="113" t="str">
        <f>IF(C55&gt;D48,"# of Units Over Available Area","# of Units Within Available Area")</f>
        <v># of Units Within Available Area</v>
      </c>
      <c r="D49" s="112" t="s">
        <v>421</v>
      </c>
      <c r="E49" s="120">
        <v>0</v>
      </c>
      <c r="F49" s="101"/>
      <c r="G49" s="104" t="s">
        <v>420</v>
      </c>
      <c r="H49" s="160">
        <v>0</v>
      </c>
      <c r="I49" s="113" t="str">
        <f>IF(I55&gt;J48,"# of Units Over Available Area","# of Units Within Available Area")</f>
        <v># of Units Within Available Area</v>
      </c>
      <c r="J49" s="112" t="s">
        <v>421</v>
      </c>
      <c r="K49" s="120">
        <v>0</v>
      </c>
      <c r="L49" s="102"/>
      <c r="M49" s="104" t="s">
        <v>420</v>
      </c>
      <c r="N49" s="160">
        <v>0</v>
      </c>
      <c r="O49" s="113" t="str">
        <f>IF(O55&gt;P48,"# of Units Over Available Area","# of Units Within Available Area")</f>
        <v># of Units Within Available Area</v>
      </c>
      <c r="P49" s="112" t="s">
        <v>421</v>
      </c>
      <c r="Q49" s="120">
        <v>0</v>
      </c>
      <c r="R49" s="102"/>
      <c r="S49" s="123"/>
      <c r="T49" s="296"/>
      <c r="U49" s="297"/>
      <c r="V49" s="112"/>
      <c r="W49" s="102"/>
      <c r="X49" s="99"/>
    </row>
    <row r="50" spans="1:24" ht="15" customHeight="1">
      <c r="A50" s="107" t="s">
        <v>308</v>
      </c>
      <c r="B50" s="200" t="s">
        <v>422</v>
      </c>
      <c r="C50" s="109" t="s">
        <v>419</v>
      </c>
      <c r="D50" s="108" t="s">
        <v>423</v>
      </c>
      <c r="E50" s="110" t="s">
        <v>424</v>
      </c>
      <c r="F50" s="99"/>
      <c r="G50" s="107" t="s">
        <v>308</v>
      </c>
      <c r="H50" s="200" t="s">
        <v>422</v>
      </c>
      <c r="I50" s="109" t="s">
        <v>419</v>
      </c>
      <c r="J50" s="108" t="s">
        <v>423</v>
      </c>
      <c r="K50" s="110" t="s">
        <v>424</v>
      </c>
      <c r="L50" s="124"/>
      <c r="M50" s="107" t="s">
        <v>308</v>
      </c>
      <c r="N50" s="200" t="s">
        <v>422</v>
      </c>
      <c r="O50" s="109" t="s">
        <v>419</v>
      </c>
      <c r="P50" s="108" t="s">
        <v>423</v>
      </c>
      <c r="Q50" s="110" t="s">
        <v>424</v>
      </c>
      <c r="R50" s="124"/>
      <c r="S50" s="123"/>
      <c r="T50" s="306"/>
      <c r="U50" s="276"/>
      <c r="V50" s="124"/>
      <c r="W50" s="124"/>
      <c r="X50" s="99"/>
    </row>
    <row r="51" spans="1:24" ht="15" customHeight="1">
      <c r="A51" s="31" t="str">
        <f>Assumptions!$W$5</f>
        <v>Studio</v>
      </c>
      <c r="B51" s="76">
        <f>B$49*INDEX(Assumptions!$Y$5:$Y$8,MATCH(A51,Assumptions!$W$5:$W$8,0))</f>
        <v>0</v>
      </c>
      <c r="C51" s="32">
        <f>Assumptions!$R$15</f>
        <v>550</v>
      </c>
      <c r="D51" s="42">
        <f>Assumptions!$R$16*(1+E$49)</f>
        <v>3</v>
      </c>
      <c r="E51" s="43">
        <f>12*B51*C51*D51</f>
        <v>0</v>
      </c>
      <c r="F51" s="99"/>
      <c r="G51" s="31" t="str">
        <f>Assumptions!$W$5</f>
        <v>Studio</v>
      </c>
      <c r="H51" s="76">
        <f>H$49*INDEX(Assumptions!$Y$5:$Y$8,MATCH(G51,Assumptions!$W$5:$W$8,0))</f>
        <v>0</v>
      </c>
      <c r="I51" s="32">
        <f>Assumptions!$R$15</f>
        <v>550</v>
      </c>
      <c r="J51" s="42">
        <f>Assumptions!$R$16*(1+K$49)</f>
        <v>3</v>
      </c>
      <c r="K51" s="43">
        <f>12*H51*I51*J51</f>
        <v>0</v>
      </c>
      <c r="L51" s="125"/>
      <c r="M51" s="31" t="str">
        <f>Assumptions!$W$5</f>
        <v>Studio</v>
      </c>
      <c r="N51" s="76">
        <f>N$49*INDEX(Assumptions!$Y$5:$Y$8,MATCH(M51,Assumptions!$W$5:$W$8,0))</f>
        <v>0</v>
      </c>
      <c r="O51" s="32">
        <f>Assumptions!$R$15</f>
        <v>550</v>
      </c>
      <c r="P51" s="42">
        <f>Assumptions!$R$16*(1+Q$49)</f>
        <v>3</v>
      </c>
      <c r="Q51" s="43">
        <f>12*N51*O51*P51</f>
        <v>0</v>
      </c>
      <c r="R51" s="125"/>
      <c r="S51" s="307"/>
      <c r="T51" s="100"/>
      <c r="U51" s="308"/>
      <c r="V51" s="309"/>
      <c r="W51" s="125"/>
      <c r="X51" s="99"/>
    </row>
    <row r="52" spans="1:24" ht="15" customHeight="1">
      <c r="A52" s="31" t="str">
        <f>Assumptions!$W$6</f>
        <v>1BR</v>
      </c>
      <c r="B52" s="76">
        <f>B$49*INDEX(Assumptions!$Y$5:$Y$8,MATCH(A52,Assumptions!$W$5:$W$8,0))</f>
        <v>0</v>
      </c>
      <c r="C52" s="378">
        <f>Assumptions!$R$18</f>
        <v>800</v>
      </c>
      <c r="D52" s="379">
        <f>Assumptions!$R$19*(1+E$49)</f>
        <v>2.4</v>
      </c>
      <c r="E52" s="380">
        <f>12*B52*C52*D52</f>
        <v>0</v>
      </c>
      <c r="F52" s="99"/>
      <c r="G52" s="31" t="str">
        <f>Assumptions!$W$6</f>
        <v>1BR</v>
      </c>
      <c r="H52" s="76">
        <f>H$49*INDEX(Assumptions!$Y$5:$Y$8,MATCH(G52,Assumptions!$W$5:$W$8,0))</f>
        <v>0</v>
      </c>
      <c r="I52" s="378">
        <f>Assumptions!$R$18</f>
        <v>800</v>
      </c>
      <c r="J52" s="379">
        <f>Assumptions!$R$19*(1+K$49)</f>
        <v>2.4</v>
      </c>
      <c r="K52" s="380">
        <f>12*H52*I52*J52</f>
        <v>0</v>
      </c>
      <c r="L52" s="125"/>
      <c r="M52" s="31" t="str">
        <f>Assumptions!$W$6</f>
        <v>1BR</v>
      </c>
      <c r="N52" s="76">
        <f>N$49*INDEX(Assumptions!$Y$5:$Y$8,MATCH(M52,Assumptions!$W$5:$W$8,0))</f>
        <v>0</v>
      </c>
      <c r="O52" s="378">
        <f>Assumptions!$R$18</f>
        <v>800</v>
      </c>
      <c r="P52" s="379">
        <f>Assumptions!$R$19*(1+Q$49)</f>
        <v>2.4</v>
      </c>
      <c r="Q52" s="380">
        <f>12*N52*O52*P52</f>
        <v>0</v>
      </c>
      <c r="R52" s="125"/>
      <c r="S52" s="307"/>
      <c r="T52" s="100"/>
      <c r="U52" s="308"/>
      <c r="V52" s="309"/>
      <c r="W52" s="125"/>
      <c r="X52" s="99"/>
    </row>
    <row r="53" spans="1:24" ht="15" customHeight="1">
      <c r="A53" s="31" t="str">
        <f>Assumptions!$W$7</f>
        <v>2BR</v>
      </c>
      <c r="B53" s="76">
        <f>B$49*INDEX(Assumptions!$Y$5:$Y$8,MATCH(A53,Assumptions!$W$5:$W$8,0))</f>
        <v>0</v>
      </c>
      <c r="C53" s="32">
        <f>Assumptions!$R$21</f>
        <v>1200</v>
      </c>
      <c r="D53" s="379">
        <f>Assumptions!$R$22*(1+E$49)</f>
        <v>2.2000000000000002</v>
      </c>
      <c r="E53" s="380">
        <f>12*B53*C53*D53</f>
        <v>0</v>
      </c>
      <c r="F53" s="100"/>
      <c r="G53" s="31" t="str">
        <f>Assumptions!$W$7</f>
        <v>2BR</v>
      </c>
      <c r="H53" s="76">
        <f>H$49*INDEX(Assumptions!$Y$5:$Y$8,MATCH(G53,Assumptions!$W$5:$W$8,0))</f>
        <v>0</v>
      </c>
      <c r="I53" s="32">
        <f>Assumptions!$R$21</f>
        <v>1200</v>
      </c>
      <c r="J53" s="379">
        <f>Assumptions!$R$22*(1+K$49)</f>
        <v>2.2000000000000002</v>
      </c>
      <c r="K53" s="380">
        <f>12*H53*I53*J53</f>
        <v>0</v>
      </c>
      <c r="L53" s="125"/>
      <c r="M53" s="31" t="str">
        <f>Assumptions!$W$7</f>
        <v>2BR</v>
      </c>
      <c r="N53" s="76">
        <f>N$49*INDEX(Assumptions!$Y$5:$Y$8,MATCH(M53,Assumptions!$W$5:$W$8,0))</f>
        <v>0</v>
      </c>
      <c r="O53" s="32">
        <f>Assumptions!$R$21</f>
        <v>1200</v>
      </c>
      <c r="P53" s="379">
        <f>Assumptions!$R$22*(1+Q$49)</f>
        <v>2.2000000000000002</v>
      </c>
      <c r="Q53" s="380">
        <f>12*N53*O53*P53</f>
        <v>0</v>
      </c>
      <c r="R53" s="125"/>
      <c r="S53" s="307"/>
      <c r="T53" s="100"/>
      <c r="U53" s="308"/>
      <c r="V53" s="309"/>
      <c r="W53" s="125"/>
    </row>
    <row r="54" spans="1:24" ht="15" customHeight="1" thickBot="1">
      <c r="A54" s="31" t="str">
        <f>Assumptions!$W$8</f>
        <v>3BR</v>
      </c>
      <c r="B54" s="76">
        <f>B$49*INDEX(Assumptions!$Y$5:$Y$8,MATCH(A54,Assumptions!$W$5:$W$8,0))</f>
        <v>0</v>
      </c>
      <c r="C54" s="378">
        <f>Assumptions!$R$24</f>
        <v>2000</v>
      </c>
      <c r="D54" s="379">
        <f>Assumptions!$R$25*(1+E$49)</f>
        <v>2.5</v>
      </c>
      <c r="E54" s="380">
        <f>12*B54*C54*D54</f>
        <v>0</v>
      </c>
      <c r="G54" s="31" t="str">
        <f>Assumptions!$W$8</f>
        <v>3BR</v>
      </c>
      <c r="H54" s="76">
        <f>H$49*INDEX(Assumptions!$Y$5:$Y$8,MATCH(G54,Assumptions!$W$5:$W$8,0))</f>
        <v>0</v>
      </c>
      <c r="I54" s="378">
        <f>Assumptions!$R$24</f>
        <v>2000</v>
      </c>
      <c r="J54" s="379">
        <f>Assumptions!$R$25*(1+K$49)</f>
        <v>2.5</v>
      </c>
      <c r="K54" s="380">
        <f>12*H54*I54*J54</f>
        <v>0</v>
      </c>
      <c r="L54" s="125"/>
      <c r="M54" s="31" t="str">
        <f>Assumptions!$W$8</f>
        <v>3BR</v>
      </c>
      <c r="N54" s="76">
        <f>N$49*INDEX(Assumptions!$Y$5:$Y$8,MATCH(M54,Assumptions!$W$5:$W$8,0))</f>
        <v>0</v>
      </c>
      <c r="O54" s="378">
        <f>Assumptions!$R$24</f>
        <v>2000</v>
      </c>
      <c r="P54" s="379">
        <f>Assumptions!$R$25*(1+Q$49)</f>
        <v>2.5</v>
      </c>
      <c r="Q54" s="380">
        <f>12*N54*O54*P54</f>
        <v>0</v>
      </c>
      <c r="R54" s="125"/>
      <c r="S54" s="307"/>
      <c r="T54" s="100"/>
      <c r="U54" s="308"/>
      <c r="V54" s="309"/>
      <c r="W54" s="125"/>
    </row>
    <row r="55" spans="1:24" ht="15" customHeight="1" thickTop="1" thickBot="1">
      <c r="A55" s="7" t="s">
        <v>425</v>
      </c>
      <c r="B55" s="8">
        <f>SUM(B51:B54)</f>
        <v>0</v>
      </c>
      <c r="C55" s="9">
        <f>SUMPRODUCT(B51:B54,C51:C54)</f>
        <v>0</v>
      </c>
      <c r="D55" s="61"/>
      <c r="E55" s="62">
        <f>SUM(E51:E54)</f>
        <v>0</v>
      </c>
      <c r="F55" s="100"/>
      <c r="G55" s="7" t="s">
        <v>425</v>
      </c>
      <c r="H55" s="8">
        <f>SUM(H51:H54)</f>
        <v>0</v>
      </c>
      <c r="I55" s="9">
        <f>SUMPRODUCT(H51:H54,I51:I54)</f>
        <v>0</v>
      </c>
      <c r="J55" s="61"/>
      <c r="K55" s="62">
        <f>SUM(K51:K54)</f>
        <v>0</v>
      </c>
      <c r="L55" s="122"/>
      <c r="M55" s="7" t="s">
        <v>425</v>
      </c>
      <c r="N55" s="8">
        <f>SUM(N51:N54)</f>
        <v>0</v>
      </c>
      <c r="O55" s="9">
        <f>SUMPRODUCT(N51:N54,O51:O54)</f>
        <v>0</v>
      </c>
      <c r="P55" s="61"/>
      <c r="Q55" s="62">
        <f>SUM(Q51:Q54)</f>
        <v>0</v>
      </c>
      <c r="R55" s="122"/>
      <c r="S55" s="12"/>
      <c r="T55" s="310"/>
      <c r="U55" s="311"/>
      <c r="V55" s="312"/>
      <c r="W55" s="122"/>
    </row>
    <row r="56" spans="1:24" ht="15" customHeight="1" thickTop="1" thickBot="1">
      <c r="A56" s="10" t="s">
        <v>426</v>
      </c>
      <c r="B56" s="60"/>
      <c r="C56" s="11">
        <f>IFERROR(C55/B55,0)</f>
        <v>0</v>
      </c>
      <c r="D56" s="63">
        <f>IFERROR((E55/12)/C55,0)</f>
        <v>0</v>
      </c>
      <c r="E56" s="64"/>
      <c r="G56" s="10" t="s">
        <v>426</v>
      </c>
      <c r="H56" s="60"/>
      <c r="I56" s="11">
        <f>IFERROR(I55/H55,0)</f>
        <v>0</v>
      </c>
      <c r="J56" s="63">
        <f>IFERROR((K55/12)/I55,0)</f>
        <v>0</v>
      </c>
      <c r="K56" s="64"/>
      <c r="L56" s="12"/>
      <c r="M56" s="10" t="s">
        <v>426</v>
      </c>
      <c r="N56" s="60"/>
      <c r="O56" s="11">
        <f>IFERROR(O55/N55,0)</f>
        <v>0</v>
      </c>
      <c r="P56" s="63">
        <f>IFERROR((Q55/12)/O55,0)</f>
        <v>0</v>
      </c>
      <c r="Q56" s="64"/>
      <c r="R56" s="12"/>
      <c r="S56" s="12"/>
      <c r="T56" s="313"/>
      <c r="U56" s="314"/>
      <c r="V56" s="315"/>
      <c r="W56" s="12"/>
      <c r="X56" s="100"/>
    </row>
    <row r="57" spans="1:24" ht="15" customHeight="1">
      <c r="A57" s="104" t="s">
        <v>223</v>
      </c>
      <c r="B57" s="105" t="str">
        <f>B$37</f>
        <v>-</v>
      </c>
      <c r="C57" s="166" t="s">
        <v>419</v>
      </c>
      <c r="D57" s="165">
        <f>D$37*E$57</f>
        <v>0</v>
      </c>
      <c r="E57" s="106">
        <f>Assumptions!$Y$28</f>
        <v>0.77</v>
      </c>
      <c r="G57" s="104" t="s">
        <v>223</v>
      </c>
      <c r="H57" s="105" t="str">
        <f>H$37</f>
        <v>-</v>
      </c>
      <c r="I57" s="166" t="s">
        <v>419</v>
      </c>
      <c r="J57" s="165">
        <f>J$37*K$57</f>
        <v>0</v>
      </c>
      <c r="K57" s="106">
        <f>Assumptions!$Y$28</f>
        <v>0.77</v>
      </c>
      <c r="L57" s="55"/>
      <c r="M57" s="104" t="s">
        <v>223</v>
      </c>
      <c r="N57" s="105" t="str">
        <f>N$37</f>
        <v>-</v>
      </c>
      <c r="O57" s="166" t="s">
        <v>419</v>
      </c>
      <c r="P57" s="165">
        <f>P$37*Q$57</f>
        <v>0</v>
      </c>
      <c r="Q57" s="106">
        <f>Assumptions!$Y$28</f>
        <v>0.77</v>
      </c>
      <c r="R57" s="55"/>
      <c r="S57" s="123"/>
      <c r="T57" s="99"/>
      <c r="U57" s="135"/>
      <c r="V57" s="298"/>
      <c r="W57" s="55"/>
      <c r="X57" s="100"/>
    </row>
    <row r="58" spans="1:24" ht="15" customHeight="1">
      <c r="A58" s="104" t="s">
        <v>420</v>
      </c>
      <c r="B58" s="160">
        <v>0</v>
      </c>
      <c r="C58" s="113" t="str">
        <f>IF(C63&gt;D57,"# of Units Over Available Area","# of Units Within Available Area")</f>
        <v># of Units Within Available Area</v>
      </c>
      <c r="D58" s="158"/>
      <c r="E58" s="159"/>
      <c r="G58" s="104" t="s">
        <v>420</v>
      </c>
      <c r="H58" s="160">
        <v>0</v>
      </c>
      <c r="I58" s="113" t="str">
        <f>IF(I63&gt;J57,"# of Units Over Available Area","# of Units Within Available Area")</f>
        <v># of Units Within Available Area</v>
      </c>
      <c r="J58" s="158"/>
      <c r="K58" s="159"/>
      <c r="L58" s="102"/>
      <c r="M58" s="104" t="s">
        <v>420</v>
      </c>
      <c r="N58" s="160">
        <v>0</v>
      </c>
      <c r="O58" s="113" t="str">
        <f>IF(O63&gt;P57,"# of Units Over Available Area","# of Units Within Available Area")</f>
        <v># of Units Within Available Area</v>
      </c>
      <c r="P58" s="158"/>
      <c r="Q58" s="159"/>
      <c r="R58" s="102"/>
      <c r="S58" s="123"/>
      <c r="T58" s="296"/>
      <c r="U58" s="297"/>
      <c r="V58" s="112"/>
      <c r="W58" s="102"/>
      <c r="X58" s="100"/>
    </row>
    <row r="59" spans="1:24" ht="15" customHeight="1">
      <c r="A59" s="107" t="s">
        <v>308</v>
      </c>
      <c r="B59" s="108" t="s">
        <v>427</v>
      </c>
      <c r="C59" s="109" t="s">
        <v>428</v>
      </c>
      <c r="D59" s="108" t="s">
        <v>74</v>
      </c>
      <c r="E59" s="110" t="s">
        <v>429</v>
      </c>
      <c r="G59" s="107" t="s">
        <v>308</v>
      </c>
      <c r="H59" s="108" t="s">
        <v>427</v>
      </c>
      <c r="I59" s="109" t="s">
        <v>428</v>
      </c>
      <c r="J59" s="108" t="s">
        <v>74</v>
      </c>
      <c r="K59" s="110" t="s">
        <v>429</v>
      </c>
      <c r="L59" s="124"/>
      <c r="M59" s="107" t="s">
        <v>308</v>
      </c>
      <c r="N59" s="108" t="s">
        <v>427</v>
      </c>
      <c r="O59" s="109" t="s">
        <v>428</v>
      </c>
      <c r="P59" s="108" t="s">
        <v>74</v>
      </c>
      <c r="Q59" s="110" t="s">
        <v>429</v>
      </c>
      <c r="R59" s="124"/>
      <c r="S59" s="123"/>
      <c r="T59" s="124"/>
      <c r="U59" s="276"/>
      <c r="V59" s="124"/>
      <c r="W59" s="124"/>
      <c r="X59" s="100"/>
    </row>
    <row r="60" spans="1:24" ht="15" customHeight="1">
      <c r="A60" s="31" t="str">
        <f>Assumptions!$W$15</f>
        <v>1BR</v>
      </c>
      <c r="B60" s="76">
        <f>B$58*INDEX(Assumptions!$Y$10:$Y$12,MATCH(A60,Assumptions!$W$10:$W$12,0))</f>
        <v>0</v>
      </c>
      <c r="C60" s="32">
        <f>Assumptions!$S$18</f>
        <v>1000</v>
      </c>
      <c r="D60" s="379">
        <f>Assumptions!$S$19</f>
        <v>400</v>
      </c>
      <c r="E60" s="380">
        <f>B60*C60*D60</f>
        <v>0</v>
      </c>
      <c r="G60" s="31" t="str">
        <f>Assumptions!$W$15</f>
        <v>1BR</v>
      </c>
      <c r="H60" s="76">
        <f>H$58*INDEX(Assumptions!$Y$10:$Y$12,MATCH(G60,Assumptions!$W$10:$W$12,0))</f>
        <v>0</v>
      </c>
      <c r="I60" s="32">
        <f>Assumptions!$S$18</f>
        <v>1000</v>
      </c>
      <c r="J60" s="379">
        <f>Assumptions!$S$19</f>
        <v>400</v>
      </c>
      <c r="K60" s="380">
        <f>H60*I60*J60</f>
        <v>0</v>
      </c>
      <c r="L60" s="124"/>
      <c r="M60" s="31" t="str">
        <f>Assumptions!$W$15</f>
        <v>1BR</v>
      </c>
      <c r="N60" s="76">
        <f>N$58*INDEX(Assumptions!$Y$10:$Y$12,MATCH(M60,Assumptions!$W$10:$W$12,0))</f>
        <v>0</v>
      </c>
      <c r="O60" s="32">
        <f>Assumptions!$S$18</f>
        <v>1000</v>
      </c>
      <c r="P60" s="379">
        <f>Assumptions!$S$19</f>
        <v>400</v>
      </c>
      <c r="Q60" s="380">
        <f>N60*O60*P60</f>
        <v>0</v>
      </c>
      <c r="R60" s="124"/>
      <c r="S60" s="307"/>
      <c r="T60" s="100"/>
      <c r="U60" s="308"/>
      <c r="V60" s="309"/>
      <c r="W60" s="125"/>
      <c r="X60" s="100"/>
    </row>
    <row r="61" spans="1:24" ht="15" customHeight="1">
      <c r="A61" s="31" t="str">
        <f>Assumptions!$W$16</f>
        <v>2BR</v>
      </c>
      <c r="B61" s="76">
        <f>B$58*INDEX(Assumptions!$Y$10:$Y$12,MATCH(A61,Assumptions!$W$10:$W$12,0))</f>
        <v>0</v>
      </c>
      <c r="C61" s="32">
        <f>Assumptions!$S$21</f>
        <v>1500</v>
      </c>
      <c r="D61" s="379">
        <f>Assumptions!$S$22</f>
        <v>370</v>
      </c>
      <c r="E61" s="380">
        <f>B61*C61*D61</f>
        <v>0</v>
      </c>
      <c r="G61" s="31" t="str">
        <f>Assumptions!$W$16</f>
        <v>2BR</v>
      </c>
      <c r="H61" s="76">
        <f>H$58*INDEX(Assumptions!$Y$10:$Y$12,MATCH(G61,Assumptions!$W$10:$W$12,0))</f>
        <v>0</v>
      </c>
      <c r="I61" s="32">
        <f>Assumptions!$S$21</f>
        <v>1500</v>
      </c>
      <c r="J61" s="379">
        <f>Assumptions!$S$22</f>
        <v>370</v>
      </c>
      <c r="K61" s="380">
        <f>H61*I61*J61</f>
        <v>0</v>
      </c>
      <c r="L61" s="125"/>
      <c r="M61" s="31" t="str">
        <f>Assumptions!$W$16</f>
        <v>2BR</v>
      </c>
      <c r="N61" s="76">
        <f>N$58*INDEX(Assumptions!$Y$10:$Y$12,MATCH(M61,Assumptions!$W$10:$W$12,0))</f>
        <v>0</v>
      </c>
      <c r="O61" s="32">
        <f>Assumptions!$S$21</f>
        <v>1500</v>
      </c>
      <c r="P61" s="379">
        <f>Assumptions!$S$22</f>
        <v>370</v>
      </c>
      <c r="Q61" s="380">
        <f>N61*O61*P61</f>
        <v>0</v>
      </c>
      <c r="R61" s="125"/>
      <c r="S61" s="307"/>
      <c r="T61" s="100"/>
      <c r="U61" s="308"/>
      <c r="V61" s="309"/>
      <c r="W61" s="125"/>
      <c r="X61" s="100"/>
    </row>
    <row r="62" spans="1:24" ht="15" customHeight="1" thickBot="1">
      <c r="A62" s="31" t="str">
        <f>Assumptions!$W$17</f>
        <v>3BR</v>
      </c>
      <c r="B62" s="76">
        <f>B$58*INDEX(Assumptions!$Y$10:$Y$12,MATCH(A62,Assumptions!$W$10:$W$12,0))</f>
        <v>0</v>
      </c>
      <c r="C62" s="378">
        <f>Assumptions!$S$24</f>
        <v>2300</v>
      </c>
      <c r="D62" s="379">
        <f>Assumptions!$S$25</f>
        <v>340</v>
      </c>
      <c r="E62" s="380">
        <f>B62*C62*D62</f>
        <v>0</v>
      </c>
      <c r="G62" s="31" t="str">
        <f>Assumptions!$W$17</f>
        <v>3BR</v>
      </c>
      <c r="H62" s="76">
        <f>H$58*INDEX(Assumptions!$Y$10:$Y$12,MATCH(G62,Assumptions!$W$10:$W$12,0))</f>
        <v>0</v>
      </c>
      <c r="I62" s="378">
        <f>Assumptions!$S$24</f>
        <v>2300</v>
      </c>
      <c r="J62" s="379">
        <f>Assumptions!$S$25</f>
        <v>340</v>
      </c>
      <c r="K62" s="380">
        <f>H62*I62*J62</f>
        <v>0</v>
      </c>
      <c r="L62" s="125"/>
      <c r="M62" s="31" t="str">
        <f>Assumptions!$W$17</f>
        <v>3BR</v>
      </c>
      <c r="N62" s="76">
        <f>N$58*INDEX(Assumptions!$Y$10:$Y$12,MATCH(M62,Assumptions!$W$10:$W$12,0))</f>
        <v>0</v>
      </c>
      <c r="O62" s="378">
        <f>Assumptions!$S$24</f>
        <v>2300</v>
      </c>
      <c r="P62" s="379">
        <f>Assumptions!$S$25</f>
        <v>340</v>
      </c>
      <c r="Q62" s="380">
        <f>N62*O62*P62</f>
        <v>0</v>
      </c>
      <c r="R62" s="125"/>
      <c r="S62" s="307"/>
      <c r="T62" s="100"/>
      <c r="U62" s="308"/>
      <c r="V62" s="309"/>
      <c r="W62" s="125"/>
      <c r="X62" s="100"/>
    </row>
    <row r="63" spans="1:24" ht="15" customHeight="1" thickTop="1" thickBot="1">
      <c r="A63" s="7" t="s">
        <v>425</v>
      </c>
      <c r="B63" s="8">
        <f>SUM(B61:B62)</f>
        <v>0</v>
      </c>
      <c r="C63" s="9">
        <f>SUMPRODUCT(B60:B62,C60:C62)</f>
        <v>0</v>
      </c>
      <c r="D63" s="61"/>
      <c r="E63" s="62">
        <f>SUM(E60:E62)</f>
        <v>0</v>
      </c>
      <c r="G63" s="7" t="s">
        <v>425</v>
      </c>
      <c r="H63" s="8">
        <f>SUM(H61:H62)</f>
        <v>0</v>
      </c>
      <c r="I63" s="9">
        <f>SUMPRODUCT(H60:H62,I60:I62)</f>
        <v>0</v>
      </c>
      <c r="J63" s="61"/>
      <c r="K63" s="62">
        <f>SUM(K60:K62)</f>
        <v>0</v>
      </c>
      <c r="L63" s="122"/>
      <c r="M63" s="7" t="s">
        <v>425</v>
      </c>
      <c r="N63" s="8">
        <f>SUM(N61:N62)</f>
        <v>0</v>
      </c>
      <c r="O63" s="9">
        <f>SUMPRODUCT(N60:N62,O60:O62)</f>
        <v>0</v>
      </c>
      <c r="P63" s="61"/>
      <c r="Q63" s="62">
        <f>SUM(Q60:Q62)</f>
        <v>0</v>
      </c>
      <c r="R63" s="122"/>
      <c r="S63" s="12"/>
      <c r="T63" s="310"/>
      <c r="U63" s="311"/>
      <c r="V63" s="312"/>
      <c r="W63" s="122"/>
      <c r="X63" s="100"/>
    </row>
    <row r="64" spans="1:24" ht="15" customHeight="1" thickTop="1" thickBot="1">
      <c r="A64" s="10" t="s">
        <v>426</v>
      </c>
      <c r="B64" s="60"/>
      <c r="C64" s="11">
        <f>IFERROR(C63/B63,0)</f>
        <v>0</v>
      </c>
      <c r="D64" s="63">
        <f>IFERROR((E63/12)/C63,0)</f>
        <v>0</v>
      </c>
      <c r="E64" s="64"/>
      <c r="G64" s="10" t="s">
        <v>426</v>
      </c>
      <c r="H64" s="60"/>
      <c r="I64" s="11">
        <f>IFERROR(I63/H63,0)</f>
        <v>0</v>
      </c>
      <c r="J64" s="63">
        <f>IFERROR((K63/12)/I63,0)</f>
        <v>0</v>
      </c>
      <c r="K64" s="64"/>
      <c r="L64" s="12"/>
      <c r="M64" s="10" t="s">
        <v>426</v>
      </c>
      <c r="N64" s="60"/>
      <c r="O64" s="11">
        <f>IFERROR(O63/N63,0)</f>
        <v>0</v>
      </c>
      <c r="P64" s="63">
        <f>IFERROR((Q63/12)/O63,0)</f>
        <v>0</v>
      </c>
      <c r="Q64" s="64"/>
      <c r="R64" s="12"/>
      <c r="S64" s="12"/>
      <c r="T64" s="313"/>
      <c r="U64" s="314"/>
      <c r="V64" s="315"/>
      <c r="W64" s="12"/>
      <c r="X64" s="100"/>
    </row>
    <row r="65" spans="1:24" ht="15" customHeight="1">
      <c r="A65" s="104" t="s">
        <v>224</v>
      </c>
      <c r="B65" s="105" t="str">
        <f>B$38</f>
        <v>-</v>
      </c>
      <c r="C65" s="166" t="s">
        <v>419</v>
      </c>
      <c r="D65" s="111">
        <f>D$38*E$65</f>
        <v>0</v>
      </c>
      <c r="E65" s="106">
        <f>Assumptions!$Y$28</f>
        <v>0.77</v>
      </c>
      <c r="G65" s="104" t="s">
        <v>224</v>
      </c>
      <c r="H65" s="105" t="str">
        <f>H$38</f>
        <v>-</v>
      </c>
      <c r="I65" s="166" t="s">
        <v>419</v>
      </c>
      <c r="J65" s="111">
        <f>J$38*K$65</f>
        <v>0</v>
      </c>
      <c r="K65" s="106">
        <f>Assumptions!$Y$28</f>
        <v>0.77</v>
      </c>
      <c r="L65" s="12"/>
      <c r="M65" s="104" t="s">
        <v>224</v>
      </c>
      <c r="N65" s="105" t="str">
        <f>N$38</f>
        <v>-</v>
      </c>
      <c r="O65" s="166" t="s">
        <v>419</v>
      </c>
      <c r="P65" s="111">
        <f>P$38*Q$65</f>
        <v>0</v>
      </c>
      <c r="Q65" s="106">
        <f>Assumptions!$Y$28</f>
        <v>0.77</v>
      </c>
      <c r="R65" s="12"/>
      <c r="S65" s="123"/>
      <c r="T65" s="99"/>
      <c r="U65" s="135"/>
      <c r="V65" s="295"/>
      <c r="W65" s="55"/>
      <c r="X65" s="100"/>
    </row>
    <row r="66" spans="1:24" ht="15" customHeight="1">
      <c r="A66" s="104" t="s">
        <v>420</v>
      </c>
      <c r="B66" s="160">
        <v>0</v>
      </c>
      <c r="C66" s="113" t="str">
        <f>IF(C72&gt;D65,"# of Units Over Available Area","# of Units Within Available Area")</f>
        <v># of Units Within Available Area</v>
      </c>
      <c r="D66" s="112" t="s">
        <v>421</v>
      </c>
      <c r="E66" s="120">
        <v>0</v>
      </c>
      <c r="G66" s="104" t="s">
        <v>420</v>
      </c>
      <c r="H66" s="160">
        <v>0</v>
      </c>
      <c r="I66" s="113" t="str">
        <f>IF(I72&gt;J65,"# of Units Over Available Area","# of Units Within Available Area")</f>
        <v># of Units Within Available Area</v>
      </c>
      <c r="J66" s="112" t="s">
        <v>421</v>
      </c>
      <c r="K66" s="120">
        <v>0</v>
      </c>
      <c r="L66" s="12"/>
      <c r="M66" s="104" t="s">
        <v>420</v>
      </c>
      <c r="N66" s="160">
        <v>0</v>
      </c>
      <c r="O66" s="113" t="str">
        <f>IF(O72&gt;P65,"# of Units Over Available Area","# of Units Within Available Area")</f>
        <v># of Units Within Available Area</v>
      </c>
      <c r="P66" s="112" t="s">
        <v>421</v>
      </c>
      <c r="Q66" s="120">
        <v>0</v>
      </c>
      <c r="R66" s="12"/>
      <c r="S66" s="123"/>
      <c r="T66" s="296"/>
      <c r="U66" s="297"/>
      <c r="V66" s="112"/>
      <c r="W66" s="102"/>
      <c r="X66" s="100"/>
    </row>
    <row r="67" spans="1:24" ht="15" customHeight="1">
      <c r="A67" s="107" t="s">
        <v>308</v>
      </c>
      <c r="B67" s="108" t="s">
        <v>427</v>
      </c>
      <c r="C67" s="109" t="s">
        <v>428</v>
      </c>
      <c r="D67" s="108" t="s">
        <v>423</v>
      </c>
      <c r="E67" s="110" t="s">
        <v>424</v>
      </c>
      <c r="G67" s="107" t="s">
        <v>308</v>
      </c>
      <c r="H67" s="108" t="s">
        <v>427</v>
      </c>
      <c r="I67" s="109" t="s">
        <v>428</v>
      </c>
      <c r="J67" s="108" t="s">
        <v>423</v>
      </c>
      <c r="K67" s="110" t="s">
        <v>424</v>
      </c>
      <c r="L67" s="12"/>
      <c r="M67" s="107" t="s">
        <v>308</v>
      </c>
      <c r="N67" s="108" t="s">
        <v>427</v>
      </c>
      <c r="O67" s="109" t="s">
        <v>428</v>
      </c>
      <c r="P67" s="108" t="s">
        <v>423</v>
      </c>
      <c r="Q67" s="110" t="s">
        <v>424</v>
      </c>
      <c r="R67" s="12"/>
      <c r="S67" s="123"/>
      <c r="T67" s="124"/>
      <c r="U67" s="276"/>
      <c r="V67" s="124"/>
      <c r="W67" s="124"/>
      <c r="X67" s="100"/>
    </row>
    <row r="68" spans="1:24" ht="15" customHeight="1">
      <c r="A68" s="31" t="str">
        <f>Assumptions!$W$14</f>
        <v>Studio</v>
      </c>
      <c r="B68" s="76">
        <f>B$66*INDEX(Assumptions!$Y$14:$Y$17,MATCH(A68,Assumptions!$W$14:$W$17,0))</f>
        <v>0</v>
      </c>
      <c r="C68" s="32">
        <f>Assumptions!$R$28</f>
        <v>550</v>
      </c>
      <c r="D68" s="42">
        <f>Assumptions!$R29*(1+E$66)</f>
        <v>2.4</v>
      </c>
      <c r="E68" s="43">
        <f>12*B68*C68*D68</f>
        <v>0</v>
      </c>
      <c r="G68" s="31" t="str">
        <f>Assumptions!$W$14</f>
        <v>Studio</v>
      </c>
      <c r="H68" s="76">
        <f>H$66*INDEX(Assumptions!$Y$14:$Y$17,MATCH(G68,Assumptions!$W$14:$W$17,0))</f>
        <v>0</v>
      </c>
      <c r="I68" s="32">
        <f>Assumptions!$R$28</f>
        <v>550</v>
      </c>
      <c r="J68" s="42">
        <f>Assumptions!$R29*(1+K$66)</f>
        <v>2.4</v>
      </c>
      <c r="K68" s="43">
        <f>12*H68*I68*J68</f>
        <v>0</v>
      </c>
      <c r="L68" s="12"/>
      <c r="M68" s="31" t="str">
        <f>Assumptions!$W$14</f>
        <v>Studio</v>
      </c>
      <c r="N68" s="76">
        <f>N$66*INDEX(Assumptions!$Y$14:$Y$17,MATCH(M68,Assumptions!$W$14:$W$17,0))</f>
        <v>0</v>
      </c>
      <c r="O68" s="32">
        <f>Assumptions!$R$28</f>
        <v>550</v>
      </c>
      <c r="P68" s="42">
        <f>Assumptions!$R29*(1+Q$66)</f>
        <v>2.4</v>
      </c>
      <c r="Q68" s="43">
        <f>12*N68*O68*P68</f>
        <v>0</v>
      </c>
      <c r="R68" s="12"/>
      <c r="S68" s="307"/>
      <c r="T68" s="100"/>
      <c r="U68" s="308"/>
      <c r="V68" s="309"/>
      <c r="W68" s="125"/>
      <c r="X68" s="100"/>
    </row>
    <row r="69" spans="1:24" ht="15" customHeight="1">
      <c r="A69" s="31" t="str">
        <f>Assumptions!$W$15</f>
        <v>1BR</v>
      </c>
      <c r="B69" s="76">
        <f>B$66*INDEX(Assumptions!$Y$14:$Y$17,MATCH(A69,Assumptions!$W$14:$W$17,0))</f>
        <v>0</v>
      </c>
      <c r="C69" s="32">
        <f>Assumptions!$R$31</f>
        <v>800</v>
      </c>
      <c r="D69" s="42">
        <f>Assumptions!$R32*(1+E$66)</f>
        <v>2.0487500000000001</v>
      </c>
      <c r="E69" s="43">
        <f>12*B69*C69*D69</f>
        <v>0</v>
      </c>
      <c r="G69" s="31" t="str">
        <f>Assumptions!$W$15</f>
        <v>1BR</v>
      </c>
      <c r="H69" s="76">
        <f>H$66*INDEX(Assumptions!$Y$14:$Y$17,MATCH(G69,Assumptions!$W$14:$W$17,0))</f>
        <v>0</v>
      </c>
      <c r="I69" s="32">
        <f>Assumptions!$R$31</f>
        <v>800</v>
      </c>
      <c r="J69" s="42">
        <f>Assumptions!$R32*(1+K$66)</f>
        <v>2.0487500000000001</v>
      </c>
      <c r="K69" s="43">
        <f>12*H69*I69*J69</f>
        <v>0</v>
      </c>
      <c r="L69" s="12"/>
      <c r="M69" s="31" t="str">
        <f>Assumptions!$W$15</f>
        <v>1BR</v>
      </c>
      <c r="N69" s="76">
        <f>N$66*INDEX(Assumptions!$Y$14:$Y$17,MATCH(M69,Assumptions!$W$14:$W$17,0))</f>
        <v>0</v>
      </c>
      <c r="O69" s="32">
        <f>Assumptions!$R$31</f>
        <v>800</v>
      </c>
      <c r="P69" s="42">
        <f>Assumptions!$R32*(1+Q$66)</f>
        <v>2.0487500000000001</v>
      </c>
      <c r="Q69" s="43">
        <f>12*N69*O69*P69</f>
        <v>0</v>
      </c>
      <c r="R69" s="12"/>
      <c r="S69" s="307"/>
      <c r="T69" s="100"/>
      <c r="U69" s="308"/>
      <c r="V69" s="309"/>
      <c r="W69" s="125"/>
      <c r="X69" s="100"/>
    </row>
    <row r="70" spans="1:24" ht="15" customHeight="1">
      <c r="A70" s="31" t="str">
        <f>Assumptions!$W$16</f>
        <v>2BR</v>
      </c>
      <c r="B70" s="76">
        <f>B$66*INDEX(Assumptions!$Y$14:$Y$17,MATCH(A70,Assumptions!$W$14:$W$17,0))</f>
        <v>0</v>
      </c>
      <c r="C70" s="378">
        <f>Assumptions!$R$34</f>
        <v>1200</v>
      </c>
      <c r="D70" s="379">
        <f>Assumptions!$R$36*(1+E$66)</f>
        <v>1.5083333333333333</v>
      </c>
      <c r="E70" s="380">
        <f>12*B70*C70*D70</f>
        <v>0</v>
      </c>
      <c r="G70" s="31" t="str">
        <f>Assumptions!$W$16</f>
        <v>2BR</v>
      </c>
      <c r="H70" s="76">
        <f>H$66*INDEX(Assumptions!$Y$14:$Y$17,MATCH(G70,Assumptions!$W$14:$W$17,0))</f>
        <v>0</v>
      </c>
      <c r="I70" s="378">
        <f>Assumptions!$R$34</f>
        <v>1200</v>
      </c>
      <c r="J70" s="379">
        <f>Assumptions!$R$36*(1+K$66)</f>
        <v>1.5083333333333333</v>
      </c>
      <c r="K70" s="380">
        <f>12*H70*I70*J70</f>
        <v>0</v>
      </c>
      <c r="L70" s="12"/>
      <c r="M70" s="31" t="str">
        <f>Assumptions!$W$16</f>
        <v>2BR</v>
      </c>
      <c r="N70" s="76">
        <f>N$66*INDEX(Assumptions!$Y$14:$Y$17,MATCH(M70,Assumptions!$W$14:$W$17,0))</f>
        <v>0</v>
      </c>
      <c r="O70" s="378">
        <f>Assumptions!$R$34</f>
        <v>1200</v>
      </c>
      <c r="P70" s="379">
        <f>Assumptions!$R$36*(1+Q$66)</f>
        <v>1.5083333333333333</v>
      </c>
      <c r="Q70" s="380">
        <f>12*N70*O70*P70</f>
        <v>0</v>
      </c>
      <c r="R70" s="12"/>
      <c r="S70" s="307"/>
      <c r="T70" s="100"/>
      <c r="U70" s="308"/>
      <c r="V70" s="309"/>
      <c r="W70" s="125"/>
      <c r="X70" s="100"/>
    </row>
    <row r="71" spans="1:24" ht="15" customHeight="1" thickBot="1">
      <c r="A71" s="31" t="str">
        <f>Assumptions!$W$17</f>
        <v>3BR</v>
      </c>
      <c r="B71" s="76">
        <f>B$66*INDEX(Assumptions!$Y$14:$Y$17,MATCH(A71,Assumptions!$W$14:$W$17,0))</f>
        <v>0</v>
      </c>
      <c r="C71" s="32">
        <f>Assumptions!$R$38</f>
        <v>2000</v>
      </c>
      <c r="D71" s="379">
        <f>Assumptions!$R$39*(1+E$66)</f>
        <v>1.5145</v>
      </c>
      <c r="E71" s="380">
        <f>12*B71*C71*D71</f>
        <v>0</v>
      </c>
      <c r="G71" s="31" t="str">
        <f>Assumptions!$W$17</f>
        <v>3BR</v>
      </c>
      <c r="H71" s="76">
        <f>H$66*INDEX(Assumptions!$Y$14:$Y$17,MATCH(G71,Assumptions!$W$14:$W$17,0))</f>
        <v>0</v>
      </c>
      <c r="I71" s="32">
        <f>Assumptions!$R$38</f>
        <v>2000</v>
      </c>
      <c r="J71" s="379">
        <f>Assumptions!$R$39*(1+K$66)</f>
        <v>1.5145</v>
      </c>
      <c r="K71" s="380">
        <f>12*H71*I71*J71</f>
        <v>0</v>
      </c>
      <c r="L71" s="12"/>
      <c r="M71" s="31" t="str">
        <f>Assumptions!$W$17</f>
        <v>3BR</v>
      </c>
      <c r="N71" s="76">
        <f>N$66*INDEX(Assumptions!$Y$14:$Y$17,MATCH(M71,Assumptions!$W$14:$W$17,0))</f>
        <v>0</v>
      </c>
      <c r="O71" s="32">
        <f>Assumptions!$R$38</f>
        <v>2000</v>
      </c>
      <c r="P71" s="379">
        <f>Assumptions!$R$39*(1+Q$66)</f>
        <v>1.5145</v>
      </c>
      <c r="Q71" s="380">
        <f>12*N71*O71*P71</f>
        <v>0</v>
      </c>
      <c r="R71" s="12"/>
      <c r="S71" s="307"/>
      <c r="T71" s="100"/>
      <c r="U71" s="308"/>
      <c r="V71" s="309"/>
      <c r="W71" s="125"/>
      <c r="X71" s="100"/>
    </row>
    <row r="72" spans="1:24" ht="15" customHeight="1" thickTop="1" thickBot="1">
      <c r="A72" s="7" t="s">
        <v>425</v>
      </c>
      <c r="B72" s="8">
        <f>SUM(B68:B71)</f>
        <v>0</v>
      </c>
      <c r="C72" s="9">
        <f>SUMPRODUCT(B68:B71,C68:C71)</f>
        <v>0</v>
      </c>
      <c r="D72" s="61"/>
      <c r="E72" s="62">
        <f>SUM(E68:E71)</f>
        <v>0</v>
      </c>
      <c r="G72" s="7" t="s">
        <v>425</v>
      </c>
      <c r="H72" s="8">
        <f>SUM(H68:H71)</f>
        <v>0</v>
      </c>
      <c r="I72" s="9">
        <f>SUMPRODUCT(H68:H71,I68:I71)</f>
        <v>0</v>
      </c>
      <c r="J72" s="61"/>
      <c r="K72" s="62">
        <f>SUM(K68:K71)</f>
        <v>0</v>
      </c>
      <c r="L72" s="12"/>
      <c r="M72" s="7" t="s">
        <v>425</v>
      </c>
      <c r="N72" s="8">
        <f>SUM(N68:N71)</f>
        <v>0</v>
      </c>
      <c r="O72" s="9">
        <f>SUMPRODUCT(N68:N71,O68:O71)</f>
        <v>0</v>
      </c>
      <c r="P72" s="61"/>
      <c r="Q72" s="62">
        <f>SUM(Q68:Q71)</f>
        <v>0</v>
      </c>
      <c r="R72" s="12"/>
      <c r="S72" s="12"/>
      <c r="T72" s="310"/>
      <c r="U72" s="311"/>
      <c r="V72" s="312"/>
      <c r="W72" s="122"/>
      <c r="X72" s="100"/>
    </row>
    <row r="73" spans="1:24" ht="15" customHeight="1" thickTop="1" thickBot="1">
      <c r="A73" s="10" t="s">
        <v>426</v>
      </c>
      <c r="B73" s="60"/>
      <c r="C73" s="11">
        <f>IFERROR(C72/B72,0)</f>
        <v>0</v>
      </c>
      <c r="D73" s="63">
        <f>IFERROR((E72/12)/C72,0)</f>
        <v>0</v>
      </c>
      <c r="E73" s="64"/>
      <c r="G73" s="10" t="s">
        <v>426</v>
      </c>
      <c r="H73" s="60"/>
      <c r="I73" s="11">
        <f>IFERROR(I72/H72,0)</f>
        <v>0</v>
      </c>
      <c r="J73" s="63">
        <f>IFERROR((K72/12)/I72,0)</f>
        <v>0</v>
      </c>
      <c r="K73" s="64"/>
      <c r="L73" s="12"/>
      <c r="M73" s="10" t="s">
        <v>426</v>
      </c>
      <c r="N73" s="60"/>
      <c r="O73" s="11">
        <f>IFERROR(O72/N72,0)</f>
        <v>0</v>
      </c>
      <c r="P73" s="63">
        <f>IFERROR((Q72/12)/O72,0)</f>
        <v>0</v>
      </c>
      <c r="Q73" s="64"/>
      <c r="R73" s="12"/>
      <c r="S73" s="12"/>
      <c r="T73" s="313"/>
      <c r="U73" s="314"/>
      <c r="V73" s="315"/>
      <c r="W73" s="12"/>
      <c r="X73" s="100"/>
    </row>
    <row r="74" spans="1:24" ht="15" customHeight="1">
      <c r="A74" s="104" t="s">
        <v>225</v>
      </c>
      <c r="B74" s="105" t="str">
        <f>B$39</f>
        <v>-</v>
      </c>
      <c r="C74" s="166" t="s">
        <v>419</v>
      </c>
      <c r="D74" s="111">
        <f>D$39*E$74</f>
        <v>0</v>
      </c>
      <c r="E74" s="106">
        <f>Assumptions!$Y$28</f>
        <v>0.77</v>
      </c>
      <c r="G74" s="104" t="s">
        <v>225</v>
      </c>
      <c r="H74" s="105" t="str">
        <f>H$39</f>
        <v>-</v>
      </c>
      <c r="I74" s="166" t="s">
        <v>419</v>
      </c>
      <c r="J74" s="111">
        <f>J$39*K$74</f>
        <v>0</v>
      </c>
      <c r="K74" s="106">
        <f>Assumptions!$Y$28</f>
        <v>0.77</v>
      </c>
      <c r="L74" s="12"/>
      <c r="M74" s="104" t="s">
        <v>225</v>
      </c>
      <c r="N74" s="105" t="str">
        <f>N$39</f>
        <v>-</v>
      </c>
      <c r="O74" s="166" t="s">
        <v>419</v>
      </c>
      <c r="P74" s="111">
        <f>P$39*Q$74</f>
        <v>0</v>
      </c>
      <c r="Q74" s="106">
        <f>Assumptions!$Y$28</f>
        <v>0.77</v>
      </c>
      <c r="R74" s="12"/>
      <c r="S74" s="123"/>
      <c r="T74" s="99"/>
      <c r="U74" s="135"/>
      <c r="V74" s="295"/>
      <c r="W74" s="55"/>
      <c r="X74" s="100"/>
    </row>
    <row r="75" spans="1:24" ht="15" customHeight="1">
      <c r="A75" s="104" t="s">
        <v>420</v>
      </c>
      <c r="B75" s="160">
        <v>0</v>
      </c>
      <c r="C75" s="113" t="str">
        <f>IF(C80&gt;D74,"# of Units Over Available Area","# of Units Within Available Area")</f>
        <v># of Units Within Available Area</v>
      </c>
      <c r="D75" s="158"/>
      <c r="E75" s="159"/>
      <c r="G75" s="104" t="s">
        <v>420</v>
      </c>
      <c r="H75" s="160">
        <v>0</v>
      </c>
      <c r="I75" s="113" t="str">
        <f>IF(I80&gt;J74,"# of Units Over Available Area","# of Units Within Available Area")</f>
        <v># of Units Within Available Area</v>
      </c>
      <c r="J75" s="158"/>
      <c r="K75" s="159"/>
      <c r="L75" s="12"/>
      <c r="M75" s="104" t="s">
        <v>420</v>
      </c>
      <c r="N75" s="160">
        <v>0</v>
      </c>
      <c r="O75" s="113" t="str">
        <f>IF(O80&gt;P74,"# of Units Over Available Area","# of Units Within Available Area")</f>
        <v># of Units Within Available Area</v>
      </c>
      <c r="P75" s="158"/>
      <c r="Q75" s="159"/>
      <c r="R75" s="12"/>
      <c r="S75" s="123"/>
      <c r="T75" s="296"/>
      <c r="U75" s="297"/>
      <c r="V75" s="112"/>
      <c r="W75" s="102"/>
      <c r="X75" s="100"/>
    </row>
    <row r="76" spans="1:24" ht="15" customHeight="1">
      <c r="A76" s="107" t="s">
        <v>308</v>
      </c>
      <c r="B76" s="108" t="s">
        <v>427</v>
      </c>
      <c r="C76" s="109" t="s">
        <v>428</v>
      </c>
      <c r="D76" s="108" t="s">
        <v>74</v>
      </c>
      <c r="E76" s="110" t="s">
        <v>429</v>
      </c>
      <c r="G76" s="107" t="s">
        <v>308</v>
      </c>
      <c r="H76" s="108" t="s">
        <v>427</v>
      </c>
      <c r="I76" s="109" t="s">
        <v>428</v>
      </c>
      <c r="J76" s="108" t="s">
        <v>74</v>
      </c>
      <c r="K76" s="110" t="s">
        <v>429</v>
      </c>
      <c r="L76" s="12"/>
      <c r="M76" s="107" t="s">
        <v>308</v>
      </c>
      <c r="N76" s="108" t="s">
        <v>427</v>
      </c>
      <c r="O76" s="109" t="s">
        <v>428</v>
      </c>
      <c r="P76" s="108" t="s">
        <v>74</v>
      </c>
      <c r="Q76" s="110" t="s">
        <v>429</v>
      </c>
      <c r="R76" s="12"/>
      <c r="S76" s="123"/>
      <c r="T76" s="124"/>
      <c r="U76" s="276"/>
      <c r="V76" s="124"/>
      <c r="W76" s="124"/>
      <c r="X76" s="100"/>
    </row>
    <row r="77" spans="1:24" ht="15" customHeight="1">
      <c r="A77" s="31" t="str">
        <f>Assumptions!$W$19</f>
        <v>1BR</v>
      </c>
      <c r="B77" s="76">
        <f>B$75*INDEX(Assumptions!$Y$19:$Y$21,MATCH(A77,Assumptions!$W$19:$W$21,0))</f>
        <v>0</v>
      </c>
      <c r="C77" s="32">
        <f>Assumptions!$S$18</f>
        <v>1000</v>
      </c>
      <c r="D77" s="379">
        <f>Assumptions!$S$32</f>
        <v>268</v>
      </c>
      <c r="E77" s="380">
        <f>B77*C77*D77</f>
        <v>0</v>
      </c>
      <c r="G77" s="31" t="str">
        <f>Assumptions!$W$19</f>
        <v>1BR</v>
      </c>
      <c r="H77" s="76">
        <f>H$75*INDEX(Assumptions!$Y$19:$Y$21,MATCH(G77,Assumptions!$W$19:$W$21,0))</f>
        <v>0</v>
      </c>
      <c r="I77" s="32">
        <f>Assumptions!$S$18</f>
        <v>1000</v>
      </c>
      <c r="J77" s="379">
        <f>Assumptions!$S$32</f>
        <v>268</v>
      </c>
      <c r="K77" s="380">
        <f>H77*I77*J77</f>
        <v>0</v>
      </c>
      <c r="L77" s="12"/>
      <c r="M77" s="31" t="str">
        <f>Assumptions!$W$19</f>
        <v>1BR</v>
      </c>
      <c r="N77" s="76">
        <f>N$75*INDEX(Assumptions!$Y$19:$Y$21,MATCH(M77,Assumptions!$W$19:$W$21,0))</f>
        <v>0</v>
      </c>
      <c r="O77" s="32">
        <f>Assumptions!$S$18</f>
        <v>1000</v>
      </c>
      <c r="P77" s="379">
        <f>Assumptions!$S$32</f>
        <v>268</v>
      </c>
      <c r="Q77" s="380">
        <f>N77*O77*P77</f>
        <v>0</v>
      </c>
      <c r="R77" s="12"/>
      <c r="S77" s="307"/>
      <c r="T77" s="100"/>
      <c r="U77" s="308"/>
      <c r="V77" s="309"/>
      <c r="W77" s="125"/>
      <c r="X77" s="100"/>
    </row>
    <row r="78" spans="1:24" ht="15" customHeight="1">
      <c r="A78" s="31" t="str">
        <f>Assumptions!$W$20</f>
        <v>2BR</v>
      </c>
      <c r="B78" s="76">
        <f>B$75*INDEX(Assumptions!$Y$19:$Y$21,MATCH(A78,Assumptions!$W$19:$W$21,0))</f>
        <v>0</v>
      </c>
      <c r="C78" s="32">
        <f>Assumptions!$S$21</f>
        <v>1500</v>
      </c>
      <c r="D78" s="379">
        <f>Assumptions!$S$36</f>
        <v>216</v>
      </c>
      <c r="E78" s="380">
        <f>B78*C78*D78</f>
        <v>0</v>
      </c>
      <c r="G78" s="31" t="str">
        <f>Assumptions!$W$20</f>
        <v>2BR</v>
      </c>
      <c r="H78" s="76">
        <f>H$75*INDEX(Assumptions!$Y$19:$Y$21,MATCH(G78,Assumptions!$W$19:$W$21,0))</f>
        <v>0</v>
      </c>
      <c r="I78" s="32">
        <f>Assumptions!$S$21</f>
        <v>1500</v>
      </c>
      <c r="J78" s="379">
        <f>Assumptions!$S$36</f>
        <v>216</v>
      </c>
      <c r="K78" s="380">
        <f>H78*I78*J78</f>
        <v>0</v>
      </c>
      <c r="L78" s="12"/>
      <c r="M78" s="31" t="str">
        <f>Assumptions!$W$20</f>
        <v>2BR</v>
      </c>
      <c r="N78" s="76">
        <f>N$75*INDEX(Assumptions!$Y$19:$Y$21,MATCH(M78,Assumptions!$W$19:$W$21,0))</f>
        <v>0</v>
      </c>
      <c r="O78" s="32">
        <f>Assumptions!$S$21</f>
        <v>1500</v>
      </c>
      <c r="P78" s="379">
        <f>Assumptions!$S$36</f>
        <v>216</v>
      </c>
      <c r="Q78" s="380">
        <f>N78*O78*P78</f>
        <v>0</v>
      </c>
      <c r="R78" s="12"/>
      <c r="S78" s="307"/>
      <c r="T78" s="100"/>
      <c r="U78" s="308"/>
      <c r="V78" s="309"/>
      <c r="W78" s="125"/>
      <c r="X78" s="100"/>
    </row>
    <row r="79" spans="1:24" ht="15" customHeight="1" thickBot="1">
      <c r="A79" s="31" t="str">
        <f>Assumptions!$W$21</f>
        <v>3BR</v>
      </c>
      <c r="B79" s="76">
        <f>B$75*INDEX(Assumptions!$Y$19:$Y$21,MATCH(A79,Assumptions!$W$19:$W$21,0))</f>
        <v>0</v>
      </c>
      <c r="C79" s="378">
        <f>Assumptions!$S$24</f>
        <v>2300</v>
      </c>
      <c r="D79" s="379">
        <f>Assumptions!$S$39</f>
        <v>174.34782608695653</v>
      </c>
      <c r="E79" s="380">
        <f>B79*C79*D79</f>
        <v>0</v>
      </c>
      <c r="G79" s="31" t="str">
        <f>Assumptions!$W$21</f>
        <v>3BR</v>
      </c>
      <c r="H79" s="76">
        <f>H$75*INDEX(Assumptions!$Y$19:$Y$21,MATCH(G79,Assumptions!$W$19:$W$21,0))</f>
        <v>0</v>
      </c>
      <c r="I79" s="378">
        <f>Assumptions!$S$24</f>
        <v>2300</v>
      </c>
      <c r="J79" s="379">
        <f>Assumptions!$S$39</f>
        <v>174.34782608695653</v>
      </c>
      <c r="K79" s="380">
        <f>H79*I79*J79</f>
        <v>0</v>
      </c>
      <c r="L79" s="12"/>
      <c r="M79" s="31" t="str">
        <f>Assumptions!$W$21</f>
        <v>3BR</v>
      </c>
      <c r="N79" s="76">
        <f>N$75*INDEX(Assumptions!$Y$19:$Y$21,MATCH(M79,Assumptions!$W$19:$W$21,0))</f>
        <v>0</v>
      </c>
      <c r="O79" s="378">
        <f>Assumptions!$S$24</f>
        <v>2300</v>
      </c>
      <c r="P79" s="379">
        <f>Assumptions!$S$39</f>
        <v>174.34782608695653</v>
      </c>
      <c r="Q79" s="380">
        <f>N79*O79*P79</f>
        <v>0</v>
      </c>
      <c r="R79" s="12"/>
      <c r="S79" s="307"/>
      <c r="T79" s="100"/>
      <c r="U79" s="308"/>
      <c r="V79" s="309"/>
      <c r="W79" s="125"/>
      <c r="X79" s="100"/>
    </row>
    <row r="80" spans="1:24" ht="15" customHeight="1" thickTop="1" thickBot="1">
      <c r="A80" s="7" t="s">
        <v>425</v>
      </c>
      <c r="B80" s="8">
        <f>SUM(B77:B79)</f>
        <v>0</v>
      </c>
      <c r="C80" s="9">
        <f>SUMPRODUCT(B77:B79,C77:C79)</f>
        <v>0</v>
      </c>
      <c r="D80" s="61"/>
      <c r="E80" s="62">
        <f>SUM(E77:E79)</f>
        <v>0</v>
      </c>
      <c r="G80" s="7" t="s">
        <v>425</v>
      </c>
      <c r="H80" s="8">
        <f>SUM(H77:H79)</f>
        <v>0</v>
      </c>
      <c r="I80" s="9">
        <f>SUMPRODUCT(H77:H79,I77:I79)</f>
        <v>0</v>
      </c>
      <c r="J80" s="61"/>
      <c r="K80" s="62">
        <f>SUM(K77:K79)</f>
        <v>0</v>
      </c>
      <c r="L80" s="12"/>
      <c r="M80" s="7" t="s">
        <v>425</v>
      </c>
      <c r="N80" s="8">
        <f>SUM(N77:N79)</f>
        <v>0</v>
      </c>
      <c r="O80" s="9">
        <f>SUMPRODUCT(N77:N79,O77:O79)</f>
        <v>0</v>
      </c>
      <c r="P80" s="61"/>
      <c r="Q80" s="62">
        <f>SUM(Q77:Q79)</f>
        <v>0</v>
      </c>
      <c r="R80" s="12"/>
      <c r="S80" s="12"/>
      <c r="T80" s="310"/>
      <c r="U80" s="311"/>
      <c r="V80" s="312"/>
      <c r="W80" s="122"/>
      <c r="X80" s="100"/>
    </row>
    <row r="81" spans="1:24" ht="15" customHeight="1" thickTop="1" thickBot="1">
      <c r="A81" s="10" t="s">
        <v>426</v>
      </c>
      <c r="B81" s="60"/>
      <c r="C81" s="11">
        <f>IFERROR(C80/B80,0)</f>
        <v>0</v>
      </c>
      <c r="D81" s="63">
        <f>IFERROR((E80/12)/C80,0)</f>
        <v>0</v>
      </c>
      <c r="E81" s="64"/>
      <c r="G81" s="10" t="s">
        <v>426</v>
      </c>
      <c r="H81" s="60"/>
      <c r="I81" s="11">
        <f>IFERROR(I80/H80,0)</f>
        <v>0</v>
      </c>
      <c r="J81" s="63">
        <f>IFERROR((K80/12)/I80,0)</f>
        <v>0</v>
      </c>
      <c r="K81" s="64"/>
      <c r="L81" s="12"/>
      <c r="M81" s="10" t="s">
        <v>426</v>
      </c>
      <c r="N81" s="60"/>
      <c r="O81" s="11">
        <f>IFERROR(O80/N80,0)</f>
        <v>0</v>
      </c>
      <c r="P81" s="63">
        <f>IFERROR((Q80/12)/O80,0)</f>
        <v>0</v>
      </c>
      <c r="Q81" s="64"/>
      <c r="R81" s="12"/>
      <c r="S81" s="12"/>
      <c r="T81" s="313"/>
      <c r="U81" s="314"/>
      <c r="V81" s="315"/>
      <c r="W81" s="12"/>
      <c r="X81" s="100"/>
    </row>
    <row r="82" spans="1:24" ht="15" customHeight="1">
      <c r="A82" s="104" t="s">
        <v>226</v>
      </c>
      <c r="B82" s="105" t="str">
        <f>B$38</f>
        <v>-</v>
      </c>
      <c r="C82" s="166" t="s">
        <v>419</v>
      </c>
      <c r="D82" s="111">
        <f>D$40*E$82</f>
        <v>0</v>
      </c>
      <c r="E82" s="106">
        <f>Assumptions!$Y$29</f>
        <v>0.8</v>
      </c>
      <c r="G82" s="104" t="s">
        <v>226</v>
      </c>
      <c r="H82" s="105" t="str">
        <f>H$38</f>
        <v>-</v>
      </c>
      <c r="I82" s="166" t="s">
        <v>419</v>
      </c>
      <c r="J82" s="111">
        <f>J$40*K$82</f>
        <v>0</v>
      </c>
      <c r="K82" s="106">
        <f>Assumptions!$Y$29</f>
        <v>0.8</v>
      </c>
      <c r="M82" s="104" t="s">
        <v>226</v>
      </c>
      <c r="N82" s="105" t="str">
        <f>N$38</f>
        <v>-</v>
      </c>
      <c r="O82" s="166" t="s">
        <v>419</v>
      </c>
      <c r="P82" s="111">
        <f>P$40*Q$82</f>
        <v>0</v>
      </c>
      <c r="Q82" s="106">
        <f>Assumptions!$Y$29</f>
        <v>0.8</v>
      </c>
      <c r="S82" s="123"/>
      <c r="T82" s="99"/>
      <c r="U82" s="135"/>
      <c r="V82" s="295"/>
      <c r="W82" s="55"/>
    </row>
    <row r="83" spans="1:24" ht="15" customHeight="1">
      <c r="A83" s="104" t="s">
        <v>430</v>
      </c>
      <c r="B83" s="160">
        <v>0</v>
      </c>
      <c r="C83" s="113" t="str">
        <f>IF(C88&gt;D82,"# of Units Over Available Area","# of Units Within Available Area")</f>
        <v># of Units Within Available Area</v>
      </c>
      <c r="D83" s="112" t="s">
        <v>421</v>
      </c>
      <c r="E83" s="120">
        <v>0.3</v>
      </c>
      <c r="G83" s="104" t="s">
        <v>430</v>
      </c>
      <c r="H83" s="160">
        <v>0</v>
      </c>
      <c r="I83" s="113" t="str">
        <f>IF(I88&gt;J82,"# of Units Over Available Area","# of Units Within Available Area")</f>
        <v># of Units Within Available Area</v>
      </c>
      <c r="J83" s="112" t="s">
        <v>421</v>
      </c>
      <c r="K83" s="120">
        <v>0.3</v>
      </c>
      <c r="M83" s="104" t="s">
        <v>430</v>
      </c>
      <c r="N83" s="160">
        <v>0</v>
      </c>
      <c r="O83" s="113" t="str">
        <f>IF(O88&gt;P82,"# of Units Over Available Area","# of Units Within Available Area")</f>
        <v># of Units Within Available Area</v>
      </c>
      <c r="P83" s="112" t="s">
        <v>421</v>
      </c>
      <c r="Q83" s="120">
        <v>0.3</v>
      </c>
      <c r="S83" s="123"/>
      <c r="T83" s="296"/>
      <c r="U83" s="297"/>
      <c r="V83" s="112"/>
      <c r="W83" s="102"/>
    </row>
    <row r="84" spans="1:24" ht="15" customHeight="1">
      <c r="A84" s="107" t="s">
        <v>431</v>
      </c>
      <c r="B84" s="108" t="s">
        <v>427</v>
      </c>
      <c r="C84" s="109" t="s">
        <v>428</v>
      </c>
      <c r="D84" s="108" t="s">
        <v>432</v>
      </c>
      <c r="E84" s="110" t="s">
        <v>433</v>
      </c>
      <c r="G84" s="107" t="s">
        <v>431</v>
      </c>
      <c r="H84" s="108" t="s">
        <v>427</v>
      </c>
      <c r="I84" s="109" t="s">
        <v>428</v>
      </c>
      <c r="J84" s="108" t="s">
        <v>432</v>
      </c>
      <c r="K84" s="110" t="s">
        <v>433</v>
      </c>
      <c r="M84" s="107" t="s">
        <v>431</v>
      </c>
      <c r="N84" s="108" t="s">
        <v>427</v>
      </c>
      <c r="O84" s="109" t="s">
        <v>428</v>
      </c>
      <c r="P84" s="108" t="s">
        <v>432</v>
      </c>
      <c r="Q84" s="110" t="s">
        <v>433</v>
      </c>
      <c r="S84" s="123"/>
      <c r="T84" s="124"/>
      <c r="U84" s="276"/>
      <c r="V84" s="124"/>
      <c r="W84" s="124"/>
    </row>
    <row r="85" spans="1:24" ht="15" customHeight="1">
      <c r="A85" s="31" t="str">
        <f>Assumptions!$W$23</f>
        <v>Studio</v>
      </c>
      <c r="B85" s="76">
        <f>B$83*INDEX(Assumptions!$Y$23:$Y$25,MATCH(A85,Assumptions!$W$23:$W$25,0))</f>
        <v>0</v>
      </c>
      <c r="C85" s="32">
        <f>Assumptions!$R$42</f>
        <v>500</v>
      </c>
      <c r="D85" s="42">
        <f>Assumptions!$R$43*(1+$E$83)</f>
        <v>3.9000000000000004</v>
      </c>
      <c r="E85" s="43">
        <f>12*B85*C85*D85</f>
        <v>0</v>
      </c>
      <c r="G85" s="31" t="str">
        <f>Assumptions!$W$23</f>
        <v>Studio</v>
      </c>
      <c r="H85" s="76">
        <f>H$83*INDEX(Assumptions!$Y$23:$Y$25,MATCH(G85,Assumptions!$W$23:$W$25,0))</f>
        <v>0</v>
      </c>
      <c r="I85" s="32">
        <f>Assumptions!$R$42</f>
        <v>500</v>
      </c>
      <c r="J85" s="42">
        <f>Assumptions!$R$43*(1+$E$83)</f>
        <v>3.9000000000000004</v>
      </c>
      <c r="K85" s="43">
        <f>12*H85*I85*J85</f>
        <v>0</v>
      </c>
      <c r="M85" s="31" t="str">
        <f>Assumptions!$W$23</f>
        <v>Studio</v>
      </c>
      <c r="N85" s="76">
        <f>N$83*INDEX(Assumptions!$Y$23:$Y$25,MATCH(M85,Assumptions!$W$23:$W$25,0))</f>
        <v>0</v>
      </c>
      <c r="O85" s="32">
        <f>Assumptions!$R$42</f>
        <v>500</v>
      </c>
      <c r="P85" s="42">
        <f>Assumptions!$R$43*(1+$E$83)</f>
        <v>3.9000000000000004</v>
      </c>
      <c r="Q85" s="43">
        <f>12*N85*O85*P85</f>
        <v>0</v>
      </c>
      <c r="S85" s="307"/>
      <c r="T85" s="100"/>
      <c r="U85" s="308"/>
      <c r="V85" s="309"/>
      <c r="W85" s="125"/>
    </row>
    <row r="86" spans="1:24" ht="15" customHeight="1">
      <c r="A86" s="31" t="str">
        <f>Assumptions!$W$24</f>
        <v>1BR</v>
      </c>
      <c r="B86" s="76">
        <f>B$83*INDEX(Assumptions!$Y$23:$Y$25,MATCH(A86,Assumptions!$W$23:$W$25,0))</f>
        <v>0</v>
      </c>
      <c r="C86" s="378">
        <f>Assumptions!$R$45</f>
        <v>700</v>
      </c>
      <c r="D86" s="42">
        <f>Assumptions!$R$46*(1+$E$83)</f>
        <v>3.25</v>
      </c>
      <c r="E86" s="380">
        <f>12*B86*C86*D86</f>
        <v>0</v>
      </c>
      <c r="G86" s="31" t="str">
        <f>Assumptions!$W$24</f>
        <v>1BR</v>
      </c>
      <c r="H86" s="76">
        <f>H$83*INDEX(Assumptions!$Y$23:$Y$25,MATCH(G86,Assumptions!$W$23:$W$25,0))</f>
        <v>0</v>
      </c>
      <c r="I86" s="378">
        <f>Assumptions!$R$45</f>
        <v>700</v>
      </c>
      <c r="J86" s="42">
        <f>Assumptions!$R$46*(1+$E$83)</f>
        <v>3.25</v>
      </c>
      <c r="K86" s="380">
        <f>12*H86*I86*J86</f>
        <v>0</v>
      </c>
      <c r="M86" s="31" t="str">
        <f>Assumptions!$W$24</f>
        <v>1BR</v>
      </c>
      <c r="N86" s="76">
        <f>N$83*INDEX(Assumptions!$Y$23:$Y$25,MATCH(M86,Assumptions!$W$23:$W$25,0))</f>
        <v>0</v>
      </c>
      <c r="O86" s="378">
        <f>Assumptions!$R$45</f>
        <v>700</v>
      </c>
      <c r="P86" s="42">
        <f>Assumptions!$R$46*(1+$E$83)</f>
        <v>3.25</v>
      </c>
      <c r="Q86" s="380">
        <f>12*N86*O86*P86</f>
        <v>0</v>
      </c>
      <c r="S86" s="307"/>
      <c r="T86" s="100"/>
      <c r="U86" s="308"/>
      <c r="V86" s="309"/>
      <c r="W86" s="125"/>
    </row>
    <row r="87" spans="1:24" ht="15" customHeight="1" thickBot="1">
      <c r="A87" s="31" t="str">
        <f>Assumptions!$W$25</f>
        <v>2BR</v>
      </c>
      <c r="B87" s="76">
        <f>B$83*INDEX(Assumptions!$Y$23:$Y$25,MATCH(A87,Assumptions!$W$23:$W$25,0))</f>
        <v>0</v>
      </c>
      <c r="C87" s="32">
        <f>Assumptions!$R$48</f>
        <v>1100</v>
      </c>
      <c r="D87" s="42">
        <f>Assumptions!$R$49*(1+$E$83)</f>
        <v>2.9899999999999998</v>
      </c>
      <c r="E87" s="380">
        <f>12*B87*C87*D87</f>
        <v>0</v>
      </c>
      <c r="G87" s="31" t="str">
        <f>Assumptions!$W$25</f>
        <v>2BR</v>
      </c>
      <c r="H87" s="76">
        <f>H$83*INDEX(Assumptions!$Y$23:$Y$25,MATCH(G87,Assumptions!$W$23:$W$25,0))</f>
        <v>0</v>
      </c>
      <c r="I87" s="32">
        <f>Assumptions!$R$48</f>
        <v>1100</v>
      </c>
      <c r="J87" s="42">
        <f>Assumptions!$R$49*(1+$E$83)</f>
        <v>2.9899999999999998</v>
      </c>
      <c r="K87" s="380">
        <f>12*H87*I87*J87</f>
        <v>0</v>
      </c>
      <c r="M87" s="31" t="str">
        <f>Assumptions!$W$25</f>
        <v>2BR</v>
      </c>
      <c r="N87" s="76">
        <f>N$83*INDEX(Assumptions!$Y$23:$Y$25,MATCH(M87,Assumptions!$W$23:$W$25,0))</f>
        <v>0</v>
      </c>
      <c r="O87" s="32">
        <f>Assumptions!$R$48</f>
        <v>1100</v>
      </c>
      <c r="P87" s="42">
        <f>Assumptions!$R$49*(1+$E$83)</f>
        <v>2.9899999999999998</v>
      </c>
      <c r="Q87" s="380">
        <f>12*N87*O87*P87</f>
        <v>0</v>
      </c>
      <c r="S87" s="307"/>
      <c r="T87" s="100"/>
      <c r="U87" s="308"/>
      <c r="V87" s="309"/>
      <c r="W87" s="125"/>
    </row>
    <row r="88" spans="1:24" ht="15" customHeight="1" thickTop="1" thickBot="1">
      <c r="A88" s="7" t="s">
        <v>425</v>
      </c>
      <c r="B88" s="8">
        <f>SUM(B85:B87)</f>
        <v>0</v>
      </c>
      <c r="C88" s="9">
        <f>SUMPRODUCT(B85:B87,C85:C87)</f>
        <v>0</v>
      </c>
      <c r="D88" s="61"/>
      <c r="E88" s="62">
        <f>SUM(E85:E87)</f>
        <v>0</v>
      </c>
      <c r="G88" s="7" t="s">
        <v>425</v>
      </c>
      <c r="H88" s="8">
        <f>SUM(H85:H87)</f>
        <v>0</v>
      </c>
      <c r="I88" s="9">
        <f>SUMPRODUCT(H85:H87,I85:I87)</f>
        <v>0</v>
      </c>
      <c r="J88" s="61"/>
      <c r="K88" s="62">
        <f>SUM(K85:K87)</f>
        <v>0</v>
      </c>
      <c r="M88" s="7" t="s">
        <v>425</v>
      </c>
      <c r="N88" s="8">
        <f>SUM(N85:N87)</f>
        <v>0</v>
      </c>
      <c r="O88" s="9">
        <f>SUMPRODUCT(N85:N87,O85:O87)</f>
        <v>0</v>
      </c>
      <c r="P88" s="61"/>
      <c r="Q88" s="62">
        <f>SUM(Q85:Q87)</f>
        <v>0</v>
      </c>
      <c r="S88" s="12"/>
      <c r="T88" s="310"/>
      <c r="U88" s="311"/>
      <c r="V88" s="312"/>
      <c r="W88" s="122"/>
    </row>
    <row r="89" spans="1:24" ht="15" customHeight="1" thickTop="1" thickBot="1">
      <c r="A89" s="10" t="s">
        <v>426</v>
      </c>
      <c r="B89" s="60"/>
      <c r="C89" s="11">
        <f>IFERROR(C88/B88,0)</f>
        <v>0</v>
      </c>
      <c r="D89" s="63">
        <f>IFERROR((E88/12)/C88,0)</f>
        <v>0</v>
      </c>
      <c r="E89" s="64"/>
      <c r="G89" s="10" t="s">
        <v>426</v>
      </c>
      <c r="H89" s="60"/>
      <c r="I89" s="11">
        <f>IFERROR(I88/H88,0)</f>
        <v>0</v>
      </c>
      <c r="J89" s="63">
        <f>IFERROR((K88/12)/I88,0)</f>
        <v>0</v>
      </c>
      <c r="K89" s="64"/>
      <c r="M89" s="10" t="s">
        <v>426</v>
      </c>
      <c r="N89" s="60"/>
      <c r="O89" s="11">
        <f>IFERROR(O88/N88,0)</f>
        <v>0</v>
      </c>
      <c r="P89" s="63">
        <f>IFERROR((Q88/12)/O88,0)</f>
        <v>0</v>
      </c>
      <c r="Q89" s="64"/>
      <c r="S89" s="12"/>
      <c r="T89" s="313"/>
      <c r="U89" s="314"/>
      <c r="V89" s="315"/>
      <c r="W89" s="12"/>
    </row>
    <row r="90" spans="1:24" ht="15" customHeight="1">
      <c r="A90" s="104" t="s">
        <v>434</v>
      </c>
      <c r="B90" s="116" t="str">
        <f>B$41</f>
        <v>Retail</v>
      </c>
      <c r="C90" s="114"/>
      <c r="D90" s="115"/>
      <c r="E90" s="121"/>
      <c r="G90" s="104" t="s">
        <v>434</v>
      </c>
      <c r="H90" s="116" t="str">
        <f>H$41</f>
        <v>-</v>
      </c>
      <c r="I90" s="114"/>
      <c r="J90" s="115"/>
      <c r="K90" s="121"/>
      <c r="L90" s="126"/>
      <c r="M90" s="104" t="s">
        <v>434</v>
      </c>
      <c r="N90" s="116" t="str">
        <f>N$41</f>
        <v>-</v>
      </c>
      <c r="O90" s="114"/>
      <c r="P90" s="115"/>
      <c r="Q90" s="121"/>
      <c r="R90" s="126"/>
      <c r="S90" s="123"/>
      <c r="T90" s="299"/>
      <c r="U90" s="300"/>
      <c r="V90" s="316"/>
      <c r="W90" s="126"/>
    </row>
    <row r="91" spans="1:24" ht="15" customHeight="1">
      <c r="A91" s="107" t="s">
        <v>33</v>
      </c>
      <c r="B91" s="108" t="s">
        <v>435</v>
      </c>
      <c r="C91" s="109" t="s">
        <v>436</v>
      </c>
      <c r="D91" s="108" t="s">
        <v>437</v>
      </c>
      <c r="E91" s="110" t="s">
        <v>433</v>
      </c>
      <c r="G91" s="107" t="s">
        <v>33</v>
      </c>
      <c r="H91" s="108" t="s">
        <v>435</v>
      </c>
      <c r="I91" s="109" t="s">
        <v>436</v>
      </c>
      <c r="J91" s="108" t="s">
        <v>437</v>
      </c>
      <c r="K91" s="110" t="s">
        <v>433</v>
      </c>
      <c r="L91" s="124"/>
      <c r="M91" s="107" t="s">
        <v>33</v>
      </c>
      <c r="N91" s="108" t="s">
        <v>435</v>
      </c>
      <c r="O91" s="109" t="s">
        <v>436</v>
      </c>
      <c r="P91" s="108" t="s">
        <v>437</v>
      </c>
      <c r="Q91" s="110" t="s">
        <v>433</v>
      </c>
      <c r="R91" s="124"/>
      <c r="S91" s="123"/>
      <c r="T91" s="124"/>
      <c r="U91" s="276"/>
      <c r="V91" s="124"/>
      <c r="W91" s="124"/>
    </row>
    <row r="92" spans="1:24" ht="15" customHeight="1">
      <c r="A92" s="56" t="s">
        <v>40</v>
      </c>
      <c r="B92" s="41">
        <f>IFERROR(IF(B$90=A92,D$41,0),0)</f>
        <v>290254.09999999998</v>
      </c>
      <c r="C92" s="57">
        <f>IFERROR(B92*INDEX(Assumptions!$Y$30:$Y$31,MATCH(A92,Assumptions!$W$30:$W$31,0)),0)</f>
        <v>246715.98499999999</v>
      </c>
      <c r="D92" s="58">
        <f>IF(C92&gt;0,INDEX(Assumptions!$R$5:$R$6,MATCH(A92,Assumptions!$Q$5:$Q$6,0)),0)</f>
        <v>32</v>
      </c>
      <c r="E92" s="59">
        <f>C92*D92</f>
        <v>7894911.5199999996</v>
      </c>
      <c r="G92" s="56" t="s">
        <v>40</v>
      </c>
      <c r="H92" s="41">
        <f>IFERROR(IF(H$90=G92,J$41,0),0)</f>
        <v>0</v>
      </c>
      <c r="I92" s="57">
        <f>IFERROR(H92*INDEX(Assumptions!$Y$30:$Y$31,MATCH(G92,Assumptions!$W$30:$W$31,0)),0)</f>
        <v>0</v>
      </c>
      <c r="J92" s="58">
        <f>IF(I92&gt;0,INDEX(Assumptions!$R$5:$R$6,MATCH(G92,Assumptions!$Q$5:$Q$6,0)),0)</f>
        <v>0</v>
      </c>
      <c r="K92" s="59">
        <f>I92*J92</f>
        <v>0</v>
      </c>
      <c r="L92" s="127"/>
      <c r="M92" s="56" t="s">
        <v>40</v>
      </c>
      <c r="N92" s="41">
        <f>IFERROR(IF(N$90=M92,P$41,0),0)</f>
        <v>0</v>
      </c>
      <c r="O92" s="57">
        <f>IFERROR(N92*INDEX(Assumptions!$Y$30:$Y$31,MATCH(M92,Assumptions!$W$30:$W$31,0)),0)</f>
        <v>0</v>
      </c>
      <c r="P92" s="58">
        <f>IF(O92&gt;0,INDEX(Assumptions!$R$5:$R$6,MATCH(M92,Assumptions!$Q$5:$Q$6,0)),0)</f>
        <v>0</v>
      </c>
      <c r="Q92" s="59">
        <f>O92*P92</f>
        <v>0</v>
      </c>
      <c r="R92" s="127"/>
      <c r="S92" s="317"/>
      <c r="T92" s="100"/>
      <c r="U92" s="318"/>
      <c r="V92" s="319"/>
      <c r="W92" s="127"/>
    </row>
    <row r="93" spans="1:24" ht="15" customHeight="1" thickBot="1">
      <c r="A93" s="1006" t="s">
        <v>425</v>
      </c>
      <c r="B93" s="40">
        <f>SUM(B92:B92)</f>
        <v>290254.09999999998</v>
      </c>
      <c r="C93" s="40">
        <f>SUM(C92:C92)</f>
        <v>246715.98499999999</v>
      </c>
      <c r="D93" s="38">
        <f>IF(B93=0,0,E93/B93)</f>
        <v>27.2</v>
      </c>
      <c r="E93" s="39">
        <f>SUM(E92:E92)</f>
        <v>7894911.5199999996</v>
      </c>
      <c r="G93" s="1006" t="s">
        <v>425</v>
      </c>
      <c r="H93" s="40">
        <f>SUM(H92:H92)</f>
        <v>0</v>
      </c>
      <c r="I93" s="40">
        <f>SUM(I92:I92)</f>
        <v>0</v>
      </c>
      <c r="J93" s="38">
        <f>IF(H93=0,0,K93/H93)</f>
        <v>0</v>
      </c>
      <c r="K93" s="39">
        <f>SUM(K92:K92)</f>
        <v>0</v>
      </c>
      <c r="L93" s="127"/>
      <c r="M93" s="1006" t="s">
        <v>425</v>
      </c>
      <c r="N93" s="40">
        <f>SUM(N92:N92)</f>
        <v>0</v>
      </c>
      <c r="O93" s="40">
        <f>SUM(O92:O92)</f>
        <v>0</v>
      </c>
      <c r="P93" s="38">
        <f>IF(N93=0,0,Q93/N93)</f>
        <v>0</v>
      </c>
      <c r="Q93" s="39">
        <f>SUM(Q92:Q92)</f>
        <v>0</v>
      </c>
      <c r="R93" s="127"/>
      <c r="S93" s="12"/>
      <c r="T93" s="320"/>
      <c r="U93" s="320"/>
      <c r="V93" s="319"/>
      <c r="W93" s="127"/>
    </row>
    <row r="94" spans="1:24" ht="15" customHeight="1">
      <c r="A94" s="104" t="s">
        <v>438</v>
      </c>
      <c r="B94" s="116" t="str">
        <f>B$42</f>
        <v>-</v>
      </c>
      <c r="C94" s="114"/>
      <c r="D94" s="115"/>
      <c r="E94" s="121"/>
      <c r="G94" s="104" t="s">
        <v>438</v>
      </c>
      <c r="H94" s="116" t="str">
        <f>H$42</f>
        <v>-</v>
      </c>
      <c r="I94" s="114"/>
      <c r="J94" s="115"/>
      <c r="K94" s="121"/>
      <c r="L94" s="126"/>
      <c r="M94" s="104" t="s">
        <v>438</v>
      </c>
      <c r="N94" s="116" t="str">
        <f>N$42</f>
        <v>-</v>
      </c>
      <c r="O94" s="114"/>
      <c r="P94" s="115"/>
      <c r="Q94" s="121"/>
      <c r="R94" s="126"/>
      <c r="S94" s="123"/>
      <c r="T94" s="299"/>
      <c r="U94" s="300"/>
      <c r="V94" s="316"/>
      <c r="W94" s="126"/>
    </row>
    <row r="95" spans="1:24" ht="15" customHeight="1">
      <c r="A95" s="107" t="s">
        <v>33</v>
      </c>
      <c r="B95" s="108" t="s">
        <v>435</v>
      </c>
      <c r="C95" s="109" t="s">
        <v>436</v>
      </c>
      <c r="D95" s="108" t="s">
        <v>437</v>
      </c>
      <c r="E95" s="110" t="s">
        <v>433</v>
      </c>
      <c r="G95" s="107" t="s">
        <v>33</v>
      </c>
      <c r="H95" s="108" t="s">
        <v>435</v>
      </c>
      <c r="I95" s="109" t="s">
        <v>436</v>
      </c>
      <c r="J95" s="108" t="s">
        <v>437</v>
      </c>
      <c r="K95" s="110" t="s">
        <v>433</v>
      </c>
      <c r="L95" s="124"/>
      <c r="M95" s="107" t="s">
        <v>33</v>
      </c>
      <c r="N95" s="108" t="s">
        <v>435</v>
      </c>
      <c r="O95" s="109" t="s">
        <v>436</v>
      </c>
      <c r="P95" s="108" t="s">
        <v>437</v>
      </c>
      <c r="Q95" s="110" t="s">
        <v>433</v>
      </c>
      <c r="R95" s="124"/>
      <c r="S95" s="123"/>
      <c r="T95" s="124"/>
      <c r="U95" s="276"/>
      <c r="V95" s="124"/>
      <c r="W95" s="124"/>
    </row>
    <row r="96" spans="1:24" ht="15" customHeight="1" thickBot="1">
      <c r="A96" s="381" t="s">
        <v>44</v>
      </c>
      <c r="B96" s="382">
        <f>IFERROR(IF(B$94=A96,D$42,0),0)</f>
        <v>0</v>
      </c>
      <c r="C96" s="383">
        <f>IFERROR(B96*INDEX(Assumptions!$Y$30:$Y$31,MATCH(A96,Assumptions!$W$30:$W$31,0)),0)</f>
        <v>0</v>
      </c>
      <c r="D96" s="384">
        <f>IF(C96&gt;0,INDEX(Assumptions!$R$5:$R$6,MATCH(A96,Assumptions!$Q$5:$Q$6,0)),0)</f>
        <v>0</v>
      </c>
      <c r="E96" s="59">
        <f>C96*D96</f>
        <v>0</v>
      </c>
      <c r="G96" s="381" t="s">
        <v>44</v>
      </c>
      <c r="H96" s="382">
        <f>IFERROR(IF(H$94=G96,J$42,0),0)</f>
        <v>0</v>
      </c>
      <c r="I96" s="383">
        <f>IFERROR(H96*INDEX(Assumptions!$Y$30:$Y$31,MATCH(G96,Assumptions!$W$30:$W$31,0)),0)</f>
        <v>0</v>
      </c>
      <c r="J96" s="384">
        <f>IF(I96&gt;0,INDEX(Assumptions!$R$5:$R$6,MATCH(G96,Assumptions!$Q$5:$Q$6,0)),0)</f>
        <v>0</v>
      </c>
      <c r="K96" s="59">
        <f>I96*J96</f>
        <v>0</v>
      </c>
      <c r="L96" s="127"/>
      <c r="M96" s="381" t="s">
        <v>44</v>
      </c>
      <c r="N96" s="382">
        <f>IFERROR(IF(N$94=M96,P$42,0),0)</f>
        <v>0</v>
      </c>
      <c r="O96" s="383">
        <f>IFERROR(N96*INDEX(Assumptions!$Y$30:$Y$31,MATCH(M96,Assumptions!$W$30:$W$31,0)),0)</f>
        <v>0</v>
      </c>
      <c r="P96" s="384">
        <f>IF(O96&gt;0,INDEX(Assumptions!$R$5:$R$6,MATCH(M96,Assumptions!$Q$5:$Q$6,0)),0)</f>
        <v>0</v>
      </c>
      <c r="Q96" s="59">
        <f>O96*P96</f>
        <v>0</v>
      </c>
      <c r="R96" s="127"/>
      <c r="S96" s="317"/>
      <c r="T96" s="100"/>
      <c r="U96" s="318"/>
      <c r="V96" s="319"/>
      <c r="W96" s="127"/>
    </row>
    <row r="97" spans="1:23" ht="15" customHeight="1" thickTop="1" thickBot="1">
      <c r="A97" s="1006" t="s">
        <v>425</v>
      </c>
      <c r="B97" s="40">
        <f>SUM(B96:B96)</f>
        <v>0</v>
      </c>
      <c r="C97" s="40">
        <f>SUM(C96:C96)</f>
        <v>0</v>
      </c>
      <c r="D97" s="38">
        <f>IF(B97=0,0,E97/B97)</f>
        <v>0</v>
      </c>
      <c r="E97" s="39">
        <f>SUM(E96:E96)</f>
        <v>0</v>
      </c>
      <c r="G97" s="1006" t="s">
        <v>425</v>
      </c>
      <c r="H97" s="40">
        <f>SUM(H96:H96)</f>
        <v>0</v>
      </c>
      <c r="I97" s="40">
        <f>SUM(I96:I96)</f>
        <v>0</v>
      </c>
      <c r="J97" s="38">
        <f>IF(H97=0,0,K97/H97)</f>
        <v>0</v>
      </c>
      <c r="K97" s="39">
        <f>SUM(K96:K96)</f>
        <v>0</v>
      </c>
      <c r="L97" s="127"/>
      <c r="M97" s="1006" t="s">
        <v>425</v>
      </c>
      <c r="N97" s="40">
        <f>SUM(N96:N96)</f>
        <v>0</v>
      </c>
      <c r="O97" s="40">
        <f>SUM(O96:O96)</f>
        <v>0</v>
      </c>
      <c r="P97" s="38">
        <f>IF(N97=0,0,Q97/N97)</f>
        <v>0</v>
      </c>
      <c r="Q97" s="39">
        <f>SUM(Q96:Q96)</f>
        <v>0</v>
      </c>
      <c r="R97" s="127"/>
      <c r="S97" s="12"/>
      <c r="T97" s="320"/>
      <c r="U97" s="320"/>
      <c r="V97" s="319"/>
      <c r="W97" s="127"/>
    </row>
    <row r="98" spans="1:23" ht="15" customHeight="1">
      <c r="A98" s="104" t="s">
        <v>439</v>
      </c>
      <c r="B98" s="116" t="str">
        <f>B$43</f>
        <v>-</v>
      </c>
      <c r="C98" s="114"/>
      <c r="D98" s="115"/>
      <c r="E98" s="121"/>
      <c r="G98" s="104" t="s">
        <v>439</v>
      </c>
      <c r="H98" s="116" t="str">
        <f>H$43</f>
        <v>-</v>
      </c>
      <c r="I98" s="114"/>
      <c r="J98" s="115"/>
      <c r="K98" s="121"/>
      <c r="L98" s="126"/>
      <c r="M98" s="104" t="s">
        <v>439</v>
      </c>
      <c r="N98" s="116" t="str">
        <f>N$43</f>
        <v>-</v>
      </c>
      <c r="O98" s="114"/>
      <c r="P98" s="115"/>
      <c r="Q98" s="121"/>
      <c r="R98" s="126"/>
      <c r="S98" s="123"/>
      <c r="T98" s="299"/>
      <c r="U98" s="300"/>
      <c r="V98" s="316"/>
      <c r="W98" s="126"/>
    </row>
    <row r="99" spans="1:23" ht="15" customHeight="1">
      <c r="A99" s="107" t="s">
        <v>33</v>
      </c>
      <c r="B99" s="108" t="s">
        <v>435</v>
      </c>
      <c r="C99" s="109"/>
      <c r="D99" s="108" t="s">
        <v>74</v>
      </c>
      <c r="E99" s="110" t="s">
        <v>429</v>
      </c>
      <c r="G99" s="107" t="s">
        <v>33</v>
      </c>
      <c r="H99" s="108" t="s">
        <v>435</v>
      </c>
      <c r="I99" s="109"/>
      <c r="J99" s="108" t="s">
        <v>74</v>
      </c>
      <c r="K99" s="110" t="s">
        <v>429</v>
      </c>
      <c r="L99" s="124"/>
      <c r="M99" s="107" t="s">
        <v>33</v>
      </c>
      <c r="N99" s="108" t="s">
        <v>435</v>
      </c>
      <c r="O99" s="109"/>
      <c r="P99" s="108" t="s">
        <v>74</v>
      </c>
      <c r="Q99" s="110" t="s">
        <v>429</v>
      </c>
      <c r="R99" s="124"/>
      <c r="S99" s="123"/>
      <c r="T99" s="124"/>
      <c r="U99" s="276"/>
      <c r="V99" s="124"/>
      <c r="W99" s="124"/>
    </row>
    <row r="100" spans="1:23" ht="15" customHeight="1" thickBot="1">
      <c r="A100" s="381" t="s">
        <v>51</v>
      </c>
      <c r="B100" s="386">
        <f>IFERROR(IF(B$98=A100,D$43,0),0)</f>
        <v>0</v>
      </c>
      <c r="C100" s="383"/>
      <c r="D100" s="384">
        <f>Assumptions!$S$8</f>
        <v>500</v>
      </c>
      <c r="E100" s="385">
        <f>B100*D100</f>
        <v>0</v>
      </c>
      <c r="G100" s="381" t="s">
        <v>51</v>
      </c>
      <c r="H100" s="386">
        <f>IFERROR(IF(H$98=G100,J$43,0),0)</f>
        <v>0</v>
      </c>
      <c r="I100" s="383"/>
      <c r="J100" s="384">
        <f>Assumptions!$S$8</f>
        <v>500</v>
      </c>
      <c r="K100" s="385">
        <f>H100*J100</f>
        <v>0</v>
      </c>
      <c r="L100" s="127"/>
      <c r="M100" s="381" t="s">
        <v>51</v>
      </c>
      <c r="N100" s="386">
        <f>IFERROR(IF(N$98=M100,P$43,0),0)</f>
        <v>0</v>
      </c>
      <c r="O100" s="383"/>
      <c r="P100" s="384">
        <f>Assumptions!$S$8</f>
        <v>500</v>
      </c>
      <c r="Q100" s="385">
        <f>N100*P100</f>
        <v>0</v>
      </c>
      <c r="R100" s="127"/>
      <c r="S100" s="317"/>
      <c r="T100" s="100"/>
      <c r="U100" s="318"/>
      <c r="V100" s="319"/>
      <c r="W100" s="127"/>
    </row>
    <row r="101" spans="1:23" ht="15" customHeight="1" thickTop="1" thickBot="1">
      <c r="A101" s="1006" t="s">
        <v>425</v>
      </c>
      <c r="B101" s="40">
        <f>SUM(B100:B100)</f>
        <v>0</v>
      </c>
      <c r="C101" s="40"/>
      <c r="D101" s="38">
        <f>IF(B101=0,0,E101/B101)</f>
        <v>0</v>
      </c>
      <c r="E101" s="39">
        <f>SUM(E100:E100)</f>
        <v>0</v>
      </c>
      <c r="G101" s="1006" t="s">
        <v>425</v>
      </c>
      <c r="H101" s="40">
        <f>SUM(H100:H100)</f>
        <v>0</v>
      </c>
      <c r="I101" s="40"/>
      <c r="J101" s="38">
        <f>IF(H101=0,0,K101/H101)</f>
        <v>0</v>
      </c>
      <c r="K101" s="39">
        <f>SUM(K100:K100)</f>
        <v>0</v>
      </c>
      <c r="L101" s="127"/>
      <c r="M101" s="1006" t="s">
        <v>425</v>
      </c>
      <c r="N101" s="40">
        <f>SUM(N100:N100)</f>
        <v>0</v>
      </c>
      <c r="O101" s="40"/>
      <c r="P101" s="38">
        <f>IF(N101=0,0,Q101/N101)</f>
        <v>0</v>
      </c>
      <c r="Q101" s="39">
        <f>SUM(Q100:Q100)</f>
        <v>0</v>
      </c>
      <c r="R101" s="127"/>
      <c r="S101" s="12"/>
      <c r="T101" s="320"/>
      <c r="U101" s="320"/>
      <c r="V101" s="319"/>
      <c r="W101" s="127"/>
    </row>
    <row r="102" spans="1:23" ht="15" customHeight="1">
      <c r="A102" s="104" t="s">
        <v>440</v>
      </c>
      <c r="B102" s="116" t="str">
        <f>B$44</f>
        <v>Museum</v>
      </c>
      <c r="C102" s="114"/>
      <c r="D102" s="115"/>
      <c r="E102" s="121"/>
      <c r="G102" s="104" t="s">
        <v>440</v>
      </c>
      <c r="H102" s="116" t="str">
        <f>H$44</f>
        <v>-</v>
      </c>
      <c r="I102" s="114"/>
      <c r="J102" s="115"/>
      <c r="K102" s="121"/>
      <c r="L102" s="127"/>
      <c r="M102" s="104" t="s">
        <v>440</v>
      </c>
      <c r="N102" s="116" t="str">
        <f>N$44</f>
        <v>-</v>
      </c>
      <c r="O102" s="114"/>
      <c r="P102" s="115"/>
      <c r="Q102" s="121"/>
      <c r="R102" s="127"/>
      <c r="S102" s="123"/>
      <c r="T102" s="299"/>
      <c r="U102" s="300"/>
      <c r="V102" s="316"/>
      <c r="W102" s="126"/>
    </row>
    <row r="103" spans="1:23" ht="15" customHeight="1">
      <c r="A103" s="107" t="s">
        <v>33</v>
      </c>
      <c r="B103" s="108" t="s">
        <v>435</v>
      </c>
      <c r="C103" s="109" t="s">
        <v>441</v>
      </c>
      <c r="D103" s="108" t="s">
        <v>437</v>
      </c>
      <c r="E103" s="110" t="s">
        <v>433</v>
      </c>
      <c r="G103" s="107" t="s">
        <v>33</v>
      </c>
      <c r="H103" s="108" t="s">
        <v>435</v>
      </c>
      <c r="I103" s="109" t="s">
        <v>441</v>
      </c>
      <c r="J103" s="108" t="s">
        <v>437</v>
      </c>
      <c r="K103" s="110" t="s">
        <v>433</v>
      </c>
      <c r="L103" s="127"/>
      <c r="M103" s="107" t="s">
        <v>33</v>
      </c>
      <c r="N103" s="108" t="s">
        <v>435</v>
      </c>
      <c r="O103" s="109" t="s">
        <v>441</v>
      </c>
      <c r="P103" s="108" t="s">
        <v>437</v>
      </c>
      <c r="Q103" s="110" t="s">
        <v>433</v>
      </c>
      <c r="R103" s="127"/>
      <c r="S103" s="123"/>
      <c r="T103" s="124"/>
      <c r="U103" s="276"/>
      <c r="V103" s="124"/>
      <c r="W103" s="124"/>
    </row>
    <row r="104" spans="1:23" ht="15" customHeight="1" thickBot="1">
      <c r="A104" s="381" t="s">
        <v>48</v>
      </c>
      <c r="B104" s="386">
        <f>IFERROR(IF(B$102=A104,D$44,0),0)</f>
        <v>257772.5</v>
      </c>
      <c r="C104" s="383">
        <f>IFERROR(B104*INDEX(Assumptions!$Y$32:$Y$32,MATCH(A104,Assumptions!$W$32:$W$32,0)),0)</f>
        <v>206218</v>
      </c>
      <c r="D104" s="384">
        <f>IF(C104&gt;0,INDEX(Assumptions!$R$7:$R$7,MATCH(A104,Assumptions!$Q$7:$Q$7,0)),0)</f>
        <v>25</v>
      </c>
      <c r="E104" s="59">
        <f>C104*D104</f>
        <v>5155450</v>
      </c>
      <c r="G104" s="381" t="s">
        <v>48</v>
      </c>
      <c r="H104" s="386">
        <f>IFERROR(IF(H$102=G104,J$44,0),0)</f>
        <v>0</v>
      </c>
      <c r="I104" s="383">
        <f>IFERROR(H104*INDEX(Assumptions!$Y$32:$Y$32,MATCH(G104,Assumptions!$W$32:$W$32,0)),0)</f>
        <v>0</v>
      </c>
      <c r="J104" s="384">
        <f>IF(I104&gt;0,INDEX(Assumptions!$R$7:$R$7,MATCH(G104,Assumptions!$Q$7:$Q$7,0)),0)</f>
        <v>0</v>
      </c>
      <c r="K104" s="59">
        <f>I104*J104</f>
        <v>0</v>
      </c>
      <c r="L104" s="127"/>
      <c r="M104" s="381" t="s">
        <v>48</v>
      </c>
      <c r="N104" s="386">
        <f>IFERROR(IF(N$102=M104,P$44,0),0)</f>
        <v>0</v>
      </c>
      <c r="O104" s="383">
        <f>IFERROR(N104*INDEX(Assumptions!$Y$32:$Y$32,MATCH(M104,Assumptions!$W$32:$W$32,0)),0)</f>
        <v>0</v>
      </c>
      <c r="P104" s="384">
        <f>IF(O104&gt;0,INDEX(Assumptions!$R$7:$R$7,MATCH(M104,Assumptions!$Q$7:$Q$7,0)),0)</f>
        <v>0</v>
      </c>
      <c r="Q104" s="59">
        <f>O104*P104</f>
        <v>0</v>
      </c>
      <c r="R104" s="127"/>
      <c r="S104" s="317"/>
      <c r="T104" s="100"/>
      <c r="U104" s="318"/>
      <c r="V104" s="319"/>
      <c r="W104" s="127"/>
    </row>
    <row r="105" spans="1:23" ht="15" customHeight="1" thickTop="1" thickBot="1">
      <c r="A105" s="1006" t="s">
        <v>425</v>
      </c>
      <c r="B105" s="40">
        <f>SUM(B104)</f>
        <v>257772.5</v>
      </c>
      <c r="C105" s="40">
        <f>SUM(C104)</f>
        <v>206218</v>
      </c>
      <c r="D105" s="38">
        <f>IF(B105=0,0,E105/B105)</f>
        <v>20</v>
      </c>
      <c r="E105" s="39">
        <f>SUM(E104)</f>
        <v>5155450</v>
      </c>
      <c r="G105" s="1006" t="s">
        <v>425</v>
      </c>
      <c r="H105" s="40">
        <f>SUM(H104)</f>
        <v>0</v>
      </c>
      <c r="I105" s="40">
        <f>SUM(I104)</f>
        <v>0</v>
      </c>
      <c r="J105" s="38">
        <f>IF(H105=0,0,K105/H105)</f>
        <v>0</v>
      </c>
      <c r="K105" s="39">
        <f>SUM(K104)</f>
        <v>0</v>
      </c>
      <c r="L105" s="127"/>
      <c r="M105" s="1006" t="s">
        <v>425</v>
      </c>
      <c r="N105" s="40">
        <f>SUM(N104)</f>
        <v>0</v>
      </c>
      <c r="O105" s="40">
        <f>SUM(O104)</f>
        <v>0</v>
      </c>
      <c r="P105" s="38">
        <f>IF(N105=0,0,Q105/N105)</f>
        <v>0</v>
      </c>
      <c r="Q105" s="39">
        <f>SUM(Q104)</f>
        <v>0</v>
      </c>
      <c r="R105" s="127"/>
      <c r="S105" s="12"/>
      <c r="T105" s="320"/>
      <c r="U105" s="320"/>
      <c r="V105" s="319"/>
      <c r="W105" s="127"/>
    </row>
    <row r="106" spans="1:23" ht="15" customHeight="1">
      <c r="A106" s="1007" t="s">
        <v>418</v>
      </c>
      <c r="B106" s="1008" t="s">
        <v>435</v>
      </c>
      <c r="C106" s="1009" t="s">
        <v>442</v>
      </c>
      <c r="D106" s="1009" t="s">
        <v>443</v>
      </c>
      <c r="E106" s="1010" t="s">
        <v>433</v>
      </c>
      <c r="G106" s="1007" t="s">
        <v>418</v>
      </c>
      <c r="H106" s="1008" t="s">
        <v>435</v>
      </c>
      <c r="I106" s="1009" t="s">
        <v>442</v>
      </c>
      <c r="J106" s="1009" t="s">
        <v>443</v>
      </c>
      <c r="K106" s="1010" t="s">
        <v>433</v>
      </c>
      <c r="M106" s="1007" t="s">
        <v>418</v>
      </c>
      <c r="N106" s="1008" t="s">
        <v>435</v>
      </c>
      <c r="O106" s="1009" t="s">
        <v>442</v>
      </c>
      <c r="P106" s="1009" t="s">
        <v>443</v>
      </c>
      <c r="Q106" s="1010" t="s">
        <v>433</v>
      </c>
      <c r="S106" s="123"/>
      <c r="T106" s="124"/>
      <c r="U106" s="276"/>
      <c r="V106" s="276"/>
      <c r="W106" s="124"/>
    </row>
    <row r="107" spans="1:23" ht="15" customHeight="1" thickBot="1">
      <c r="A107" s="387"/>
      <c r="B107" s="388">
        <f>D45</f>
        <v>132809.70000000001</v>
      </c>
      <c r="C107" s="389">
        <f>IF(B107=0,0,IFERROR((B107/Assumptions!$Y$35)-1,0))</f>
        <v>441.69900000000001</v>
      </c>
      <c r="D107" s="390"/>
      <c r="E107" s="385"/>
      <c r="G107" s="387"/>
      <c r="H107" s="388">
        <f>J45</f>
        <v>0</v>
      </c>
      <c r="I107" s="389">
        <f>IF(H107=0,0,IFERROR((H107/Assumptions!$Y$35)-1,0))</f>
        <v>0</v>
      </c>
      <c r="J107" s="390"/>
      <c r="K107" s="385"/>
      <c r="M107" s="387"/>
      <c r="N107" s="388">
        <f>P45</f>
        <v>0</v>
      </c>
      <c r="O107" s="389">
        <f>IF(N107=0,0,IFERROR((N107/Assumptions!$Y$35)-1,0))</f>
        <v>0</v>
      </c>
      <c r="P107" s="390"/>
      <c r="Q107" s="385"/>
      <c r="T107" s="83"/>
      <c r="U107" s="168"/>
      <c r="W107" s="127"/>
    </row>
    <row r="108" spans="1:23" ht="15" customHeight="1" thickTop="1">
      <c r="A108" s="163" t="s">
        <v>61</v>
      </c>
      <c r="B108" s="128">
        <f>IF(B34="Parking Lot",B107*50%,B$107*B46)</f>
        <v>0</v>
      </c>
      <c r="C108" s="259">
        <f>IF(B108=0,0,IFERROR((B108/Assumptions!$Y$35)-1,0))</f>
        <v>0</v>
      </c>
      <c r="D108" s="36">
        <f>Assumptions!$Y36</f>
        <v>300</v>
      </c>
      <c r="E108" s="59">
        <f>IF(OR(D$37&gt;0,D$39&gt;0,D$40&gt;0,D$43&gt;0),0,IF(B$58&gt;0,0,IF(C108&lt;0,0,C108*D108*12)))</f>
        <v>0</v>
      </c>
      <c r="G108" s="163" t="s">
        <v>61</v>
      </c>
      <c r="H108" s="128">
        <f>IF(H34="Parking Lot",H107*50%,H$107*H46)</f>
        <v>0</v>
      </c>
      <c r="I108" s="259">
        <f>IF(H108=0,0,IFERROR((H108/Assumptions!$Y$35)-1,0))</f>
        <v>0</v>
      </c>
      <c r="J108" s="36">
        <f>Assumptions!$Y36</f>
        <v>300</v>
      </c>
      <c r="K108" s="59">
        <f>IF(OR(J$37&gt;0,J$39&gt;0,J$40&gt;0,J$43&gt;0),0,IF(H$58&gt;0,0,IF(I108&lt;0,0,I108*J108*12)))</f>
        <v>0</v>
      </c>
      <c r="M108" s="163" t="s">
        <v>61</v>
      </c>
      <c r="N108" s="128">
        <f>IF(N34="Parking Lot",N107*50%,N$107*N46)</f>
        <v>0</v>
      </c>
      <c r="O108" s="259">
        <f>IF(N108=0,0,IFERROR((N108/Assumptions!$Y$35)-1,0))</f>
        <v>0</v>
      </c>
      <c r="P108" s="36">
        <f>Assumptions!$Y36</f>
        <v>300</v>
      </c>
      <c r="Q108" s="59">
        <f>IF(OR(P$37&gt;0,P$39&gt;0,P$40&gt;0,P$43&gt;0),0,IF(N$58&gt;0,0,IF(O108&lt;0,0,O108*P108*12)))</f>
        <v>0</v>
      </c>
      <c r="S108" s="321"/>
      <c r="T108" s="83"/>
      <c r="U108" s="168"/>
      <c r="V108" s="286"/>
      <c r="W108" s="127"/>
    </row>
    <row r="109" spans="1:23" ht="15" customHeight="1">
      <c r="A109" s="391" t="s">
        <v>239</v>
      </c>
      <c r="B109" s="392">
        <f>B107-B108-B110</f>
        <v>132809.70000000001</v>
      </c>
      <c r="C109" s="393">
        <f>IF(B109=0,0,IFERROR((B109/Assumptions!$Y$35)-1,0))</f>
        <v>441.69900000000001</v>
      </c>
      <c r="D109" s="394">
        <f>Assumptions!$Y37</f>
        <v>250</v>
      </c>
      <c r="E109" s="59">
        <f>IF(OR(D$37&gt;0,D$39&gt;0,D$40&gt;0,D$43&gt;0),0,IF(B$58&gt;0,0,IF(C109&lt;0,0,C109*D109*12)))</f>
        <v>1325097</v>
      </c>
      <c r="G109" s="391" t="s">
        <v>239</v>
      </c>
      <c r="H109" s="392">
        <f>H107-H108-H110</f>
        <v>0</v>
      </c>
      <c r="I109" s="393">
        <f>IF(H109=0,0,IFERROR((H109/Assumptions!$Y$35)-1,0))</f>
        <v>0</v>
      </c>
      <c r="J109" s="394">
        <f>Assumptions!$Y37</f>
        <v>250</v>
      </c>
      <c r="K109" s="59">
        <f>IF(OR(J$37&gt;0,J$39&gt;0,J$40&gt;0,J$43&gt;0),0,IF(H$58&gt;0,0,IF(I109&lt;0,0,I109*J109*12)))</f>
        <v>0</v>
      </c>
      <c r="M109" s="391" t="s">
        <v>239</v>
      </c>
      <c r="N109" s="392">
        <f>N107-N108-N110</f>
        <v>0</v>
      </c>
      <c r="O109" s="393">
        <f>IF(N109=0,0,IFERROR((N109/Assumptions!$Y$35)-1,0))</f>
        <v>0</v>
      </c>
      <c r="P109" s="394">
        <f>Assumptions!$Y37</f>
        <v>250</v>
      </c>
      <c r="Q109" s="59">
        <f>IF(OR(P$37&gt;0,P$39&gt;0,P$40&gt;0,P$43&gt;0),0,IF(N$58&gt;0,0,IF(O109&lt;0,0,O109*P109*12)))</f>
        <v>0</v>
      </c>
      <c r="S109" s="203"/>
      <c r="T109" s="83"/>
      <c r="U109" s="168"/>
      <c r="V109" s="286"/>
      <c r="W109" s="127"/>
    </row>
    <row r="110" spans="1:23" ht="15" customHeight="1" thickBot="1">
      <c r="A110" s="395" t="s">
        <v>122</v>
      </c>
      <c r="B110" s="396">
        <v>0</v>
      </c>
      <c r="C110" s="397">
        <f>IF(B110=0,0,IFERROR((B110/Assumptions!$Y$35)-1,0))</f>
        <v>0</v>
      </c>
      <c r="D110" s="398">
        <f>Assumptions!$Y38</f>
        <v>50</v>
      </c>
      <c r="E110" s="39">
        <f>IF(OR(D$37&gt;0,D$39&gt;0,D$40&gt;0,D$43&gt;0),0,IF(B$58&gt;0,0,IF(C110&lt;0,0,C110*D110*12)))</f>
        <v>0</v>
      </c>
      <c r="G110" s="395" t="s">
        <v>122</v>
      </c>
      <c r="H110" s="396">
        <v>0</v>
      </c>
      <c r="I110" s="397">
        <f>IF(H110=0,0,IFERROR((H110/Assumptions!$Y$35)-1,0))</f>
        <v>0</v>
      </c>
      <c r="J110" s="398">
        <f>Assumptions!$Y38</f>
        <v>50</v>
      </c>
      <c r="K110" s="39">
        <f>IF(OR(J$37&gt;0,J$39&gt;0,J$40&gt;0,J$43&gt;0),0,IF(H$58&gt;0,0,IF(I110&lt;0,0,I110*J110*12)))</f>
        <v>0</v>
      </c>
      <c r="M110" s="395" t="s">
        <v>122</v>
      </c>
      <c r="N110" s="396">
        <v>0</v>
      </c>
      <c r="O110" s="397">
        <f>IF(N110=0,0,IFERROR((N110/Assumptions!$Y$35)-1,0))</f>
        <v>0</v>
      </c>
      <c r="P110" s="398">
        <f>Assumptions!$Y38</f>
        <v>50</v>
      </c>
      <c r="Q110" s="39">
        <f>IF(OR(P$37&gt;0,P$39&gt;0,P$40&gt;0,P$43&gt;0),0,IF(N$58&gt;0,0,IF(O110&lt;0,0,O110*P110*12)))</f>
        <v>0</v>
      </c>
      <c r="S110" s="203"/>
      <c r="T110" s="322"/>
      <c r="U110" s="168"/>
      <c r="V110" s="286"/>
      <c r="W110" s="127"/>
    </row>
    <row r="111" spans="1:23" ht="15" customHeight="1" thickBot="1">
      <c r="A111" s="203"/>
      <c r="B111" s="83"/>
      <c r="C111" s="204"/>
      <c r="D111" s="202"/>
      <c r="E111" s="127"/>
      <c r="G111" s="203"/>
      <c r="H111" s="83"/>
      <c r="I111" s="204"/>
      <c r="J111" s="202"/>
      <c r="K111" s="127"/>
      <c r="M111" s="203"/>
      <c r="N111" s="83"/>
      <c r="O111" s="204"/>
      <c r="P111" s="202"/>
      <c r="Q111" s="127"/>
      <c r="S111" s="203"/>
      <c r="T111" s="83"/>
      <c r="U111" s="301"/>
      <c r="V111" s="286"/>
      <c r="W111" s="127"/>
    </row>
    <row r="112" spans="1:23" ht="15" customHeight="1" thickBot="1">
      <c r="A112" s="1011" t="s">
        <v>444</v>
      </c>
      <c r="B112" s="80"/>
      <c r="C112" s="77" t="str">
        <f>B34</f>
        <v>Civic+Retail</v>
      </c>
      <c r="D112" s="77"/>
      <c r="E112" s="1012"/>
      <c r="F112" s="12"/>
      <c r="G112" s="1011" t="s">
        <v>444</v>
      </c>
      <c r="H112" s="80"/>
      <c r="I112" s="77">
        <f>H34</f>
        <v>0</v>
      </c>
      <c r="J112" s="77"/>
      <c r="K112" s="1012"/>
      <c r="L112" s="12"/>
      <c r="M112" s="1011" t="s">
        <v>444</v>
      </c>
      <c r="N112" s="80"/>
      <c r="O112" s="77">
        <f>N34</f>
        <v>0</v>
      </c>
      <c r="P112" s="77"/>
      <c r="Q112" s="1012"/>
      <c r="R112" s="12"/>
      <c r="S112" s="274"/>
      <c r="T112" s="274"/>
      <c r="U112" s="129"/>
      <c r="V112" s="129"/>
      <c r="W112" s="274"/>
    </row>
    <row r="113" spans="1:23" ht="13.5" thickBot="1">
      <c r="A113" s="1013" t="s">
        <v>445</v>
      </c>
      <c r="B113" s="78" t="s">
        <v>446</v>
      </c>
      <c r="C113" s="78" t="s">
        <v>447</v>
      </c>
      <c r="D113" s="78" t="s">
        <v>448</v>
      </c>
      <c r="E113" s="1014" t="s">
        <v>449</v>
      </c>
      <c r="F113" s="12"/>
      <c r="G113" s="1013" t="s">
        <v>445</v>
      </c>
      <c r="H113" s="78" t="s">
        <v>446</v>
      </c>
      <c r="I113" s="78" t="s">
        <v>447</v>
      </c>
      <c r="J113" s="78" t="s">
        <v>448</v>
      </c>
      <c r="K113" s="1014" t="s">
        <v>449</v>
      </c>
      <c r="L113" s="12"/>
      <c r="M113" s="1013" t="s">
        <v>445</v>
      </c>
      <c r="N113" s="78" t="s">
        <v>446</v>
      </c>
      <c r="O113" s="78" t="s">
        <v>447</v>
      </c>
      <c r="P113" s="78" t="s">
        <v>448</v>
      </c>
      <c r="Q113" s="1014" t="s">
        <v>449</v>
      </c>
      <c r="R113" s="12"/>
      <c r="S113" s="123"/>
      <c r="T113" s="124"/>
      <c r="U113" s="124"/>
      <c r="V113" s="124"/>
      <c r="W113" s="124"/>
    </row>
    <row r="114" spans="1:23" ht="12.6">
      <c r="A114" s="33" t="s">
        <v>450</v>
      </c>
      <c r="B114" s="34"/>
      <c r="C114" s="35"/>
      <c r="D114" s="82"/>
      <c r="E114" s="13">
        <f>SUM(E55,E72,E88)</f>
        <v>0</v>
      </c>
      <c r="F114" s="12"/>
      <c r="G114" s="33" t="s">
        <v>450</v>
      </c>
      <c r="H114" s="34"/>
      <c r="I114" s="35"/>
      <c r="J114" s="82"/>
      <c r="K114" s="13">
        <f>SUM(K55,K72,K88)</f>
        <v>0</v>
      </c>
      <c r="L114" s="12"/>
      <c r="M114" s="33" t="s">
        <v>450</v>
      </c>
      <c r="N114" s="34"/>
      <c r="O114" s="35"/>
      <c r="P114" s="82"/>
      <c r="Q114" s="13">
        <f>SUM(Q55,Q72,Q88)</f>
        <v>0</v>
      </c>
      <c r="R114" s="12"/>
      <c r="S114" s="12"/>
      <c r="T114" s="286"/>
      <c r="U114" s="323"/>
      <c r="V114" s="324"/>
      <c r="W114" s="286"/>
    </row>
    <row r="115" spans="1:23" ht="12.6">
      <c r="A115" s="91" t="s">
        <v>451</v>
      </c>
      <c r="B115" s="34"/>
      <c r="C115" s="35"/>
      <c r="D115" s="399"/>
      <c r="E115" s="92">
        <f>SUM(E93,E97)</f>
        <v>7894911.5199999996</v>
      </c>
      <c r="F115" s="12"/>
      <c r="G115" s="91" t="s">
        <v>451</v>
      </c>
      <c r="H115" s="34"/>
      <c r="I115" s="35"/>
      <c r="J115" s="399"/>
      <c r="K115" s="92">
        <f>SUM(K93,K97)</f>
        <v>0</v>
      </c>
      <c r="L115" s="12"/>
      <c r="M115" s="91" t="s">
        <v>451</v>
      </c>
      <c r="N115" s="34"/>
      <c r="O115" s="35"/>
      <c r="P115" s="399"/>
      <c r="Q115" s="92">
        <f>SUM(Q93,Q97)</f>
        <v>0</v>
      </c>
      <c r="R115" s="12"/>
      <c r="S115" s="12"/>
      <c r="T115" s="286"/>
      <c r="U115" s="323"/>
      <c r="V115" s="324"/>
      <c r="W115" s="286"/>
    </row>
    <row r="116" spans="1:23" ht="12.6">
      <c r="A116" s="400" t="s">
        <v>452</v>
      </c>
      <c r="B116" s="1077"/>
      <c r="C116" s="1078"/>
      <c r="D116" s="401"/>
      <c r="E116" s="1015">
        <f>E105</f>
        <v>5155450</v>
      </c>
      <c r="F116" s="12"/>
      <c r="G116" s="400" t="s">
        <v>452</v>
      </c>
      <c r="H116" s="1077"/>
      <c r="I116" s="1078"/>
      <c r="J116" s="401"/>
      <c r="K116" s="1015">
        <f>K105</f>
        <v>0</v>
      </c>
      <c r="L116" s="12"/>
      <c r="M116" s="400" t="s">
        <v>452</v>
      </c>
      <c r="N116" s="1077"/>
      <c r="O116" s="1078"/>
      <c r="P116" s="401"/>
      <c r="Q116" s="1015">
        <f>Q105</f>
        <v>0</v>
      </c>
      <c r="R116" s="12"/>
      <c r="S116" s="325"/>
      <c r="T116" s="1079"/>
      <c r="U116" s="1079"/>
      <c r="V116" s="326"/>
      <c r="W116" s="286"/>
    </row>
    <row r="117" spans="1:23" ht="12.95">
      <c r="A117" s="402" t="s">
        <v>453</v>
      </c>
      <c r="B117" s="89"/>
      <c r="C117" s="89"/>
      <c r="D117" s="86"/>
      <c r="E117" s="403">
        <f>SUM(E114:E116)</f>
        <v>13050361.52</v>
      </c>
      <c r="F117" s="12"/>
      <c r="G117" s="402" t="s">
        <v>453</v>
      </c>
      <c r="H117" s="89"/>
      <c r="I117" s="89"/>
      <c r="J117" s="86"/>
      <c r="K117" s="403">
        <f>SUM(K114:K116)</f>
        <v>0</v>
      </c>
      <c r="L117" s="12"/>
      <c r="M117" s="402" t="s">
        <v>453</v>
      </c>
      <c r="N117" s="89"/>
      <c r="O117" s="89"/>
      <c r="P117" s="86"/>
      <c r="Q117" s="403">
        <f>SUM(Q114:Q116)</f>
        <v>0</v>
      </c>
      <c r="R117" s="12"/>
      <c r="S117" s="277"/>
      <c r="T117" s="302"/>
      <c r="U117" s="302"/>
      <c r="V117" s="167"/>
      <c r="W117" s="167"/>
    </row>
    <row r="118" spans="1:23" ht="12.95">
      <c r="A118" s="1071"/>
      <c r="B118" s="1072"/>
      <c r="C118" s="1072"/>
      <c r="D118" s="1072"/>
      <c r="E118" s="1073"/>
      <c r="F118" s="12"/>
      <c r="G118" s="1071"/>
      <c r="H118" s="1072"/>
      <c r="I118" s="1072"/>
      <c r="J118" s="1072"/>
      <c r="K118" s="1073"/>
      <c r="L118" s="12"/>
      <c r="M118" s="1071"/>
      <c r="N118" s="1072"/>
      <c r="O118" s="1072"/>
      <c r="P118" s="1072"/>
      <c r="Q118" s="1073"/>
      <c r="R118" s="12"/>
      <c r="S118" s="1074"/>
      <c r="T118" s="1074"/>
      <c r="U118" s="1074"/>
      <c r="V118" s="1074"/>
      <c r="W118" s="1074"/>
    </row>
    <row r="119" spans="1:23" ht="12.95">
      <c r="A119" s="95" t="s">
        <v>454</v>
      </c>
      <c r="B119" s="85"/>
      <c r="C119" s="85"/>
      <c r="D119" s="85"/>
      <c r="E119" s="96"/>
      <c r="F119" s="12"/>
      <c r="G119" s="95" t="s">
        <v>454</v>
      </c>
      <c r="H119" s="85"/>
      <c r="I119" s="85"/>
      <c r="J119" s="85"/>
      <c r="K119" s="96"/>
      <c r="L119" s="12"/>
      <c r="M119" s="95" t="s">
        <v>454</v>
      </c>
      <c r="N119" s="85"/>
      <c r="O119" s="85"/>
      <c r="P119" s="85"/>
      <c r="Q119" s="96"/>
      <c r="R119" s="12"/>
      <c r="S119" s="277"/>
      <c r="T119" s="167"/>
      <c r="U119" s="167"/>
      <c r="V119" s="167"/>
      <c r="W119" s="167"/>
    </row>
    <row r="120" spans="1:23" ht="12.6">
      <c r="A120" s="404" t="s">
        <v>455</v>
      </c>
      <c r="B120" s="394"/>
      <c r="C120" s="401"/>
      <c r="D120" s="401"/>
      <c r="E120" s="405">
        <f>E108</f>
        <v>0</v>
      </c>
      <c r="F120" s="12"/>
      <c r="G120" s="404" t="s">
        <v>455</v>
      </c>
      <c r="H120" s="394"/>
      <c r="I120" s="401"/>
      <c r="J120" s="401"/>
      <c r="K120" s="405">
        <f>K108</f>
        <v>0</v>
      </c>
      <c r="L120" s="12"/>
      <c r="M120" s="404" t="s">
        <v>455</v>
      </c>
      <c r="N120" s="394"/>
      <c r="O120" s="401"/>
      <c r="P120" s="401"/>
      <c r="Q120" s="405">
        <f>Q108</f>
        <v>0</v>
      </c>
      <c r="R120" s="12"/>
      <c r="S120" s="327"/>
      <c r="T120" s="286"/>
      <c r="U120" s="326"/>
      <c r="V120" s="326"/>
      <c r="W120" s="286"/>
    </row>
    <row r="121" spans="1:23" ht="12.6">
      <c r="A121" s="404" t="s">
        <v>456</v>
      </c>
      <c r="B121" s="394"/>
      <c r="C121" s="401"/>
      <c r="D121" s="401"/>
      <c r="E121" s="405">
        <f>E109</f>
        <v>1325097</v>
      </c>
      <c r="F121" s="12"/>
      <c r="G121" s="404" t="s">
        <v>456</v>
      </c>
      <c r="H121" s="394"/>
      <c r="I121" s="401"/>
      <c r="J121" s="401"/>
      <c r="K121" s="405">
        <f>K109</f>
        <v>0</v>
      </c>
      <c r="L121" s="12"/>
      <c r="M121" s="404" t="s">
        <v>456</v>
      </c>
      <c r="N121" s="394"/>
      <c r="O121" s="401"/>
      <c r="P121" s="401"/>
      <c r="Q121" s="405">
        <f>Q109</f>
        <v>0</v>
      </c>
      <c r="R121" s="12"/>
      <c r="S121" s="327"/>
      <c r="T121" s="286"/>
      <c r="U121" s="326"/>
      <c r="V121" s="326"/>
      <c r="W121" s="286"/>
    </row>
    <row r="122" spans="1:23" ht="12.6">
      <c r="A122" s="404" t="s">
        <v>457</v>
      </c>
      <c r="B122" s="394"/>
      <c r="C122" s="401"/>
      <c r="D122" s="401"/>
      <c r="E122" s="405">
        <f>E110</f>
        <v>0</v>
      </c>
      <c r="F122" s="12"/>
      <c r="G122" s="404" t="s">
        <v>457</v>
      </c>
      <c r="H122" s="394"/>
      <c r="I122" s="401"/>
      <c r="J122" s="401"/>
      <c r="K122" s="405">
        <f>K110</f>
        <v>0</v>
      </c>
      <c r="L122" s="12"/>
      <c r="M122" s="404" t="s">
        <v>457</v>
      </c>
      <c r="N122" s="394"/>
      <c r="O122" s="401"/>
      <c r="P122" s="401"/>
      <c r="Q122" s="405">
        <f>Q110</f>
        <v>0</v>
      </c>
      <c r="R122" s="12"/>
      <c r="S122" s="327"/>
      <c r="T122" s="286"/>
      <c r="U122" s="326"/>
      <c r="V122" s="326"/>
      <c r="W122" s="286"/>
    </row>
    <row r="123" spans="1:23" ht="12.6">
      <c r="A123" s="404" t="s">
        <v>458</v>
      </c>
      <c r="B123" s="401"/>
      <c r="C123" s="401"/>
      <c r="D123" s="401"/>
      <c r="E123" s="405">
        <f>Assumptions!$L$44*E117</f>
        <v>391510.8456</v>
      </c>
      <c r="F123" s="12"/>
      <c r="G123" s="404" t="s">
        <v>458</v>
      </c>
      <c r="H123" s="401"/>
      <c r="I123" s="401"/>
      <c r="J123" s="401"/>
      <c r="K123" s="405">
        <f>Assumptions!$L$44*K117</f>
        <v>0</v>
      </c>
      <c r="L123" s="12"/>
      <c r="M123" s="404" t="s">
        <v>458</v>
      </c>
      <c r="N123" s="401"/>
      <c r="O123" s="401"/>
      <c r="P123" s="401"/>
      <c r="Q123" s="405">
        <f>Assumptions!$L$44*Q117</f>
        <v>0</v>
      </c>
      <c r="R123" s="12"/>
      <c r="S123" s="327"/>
      <c r="T123" s="326"/>
      <c r="U123" s="326"/>
      <c r="V123" s="326"/>
      <c r="W123" s="286"/>
    </row>
    <row r="124" spans="1:23" ht="13.5" thickBot="1">
      <c r="A124" s="84" t="s">
        <v>459</v>
      </c>
      <c r="B124" s="72"/>
      <c r="C124" s="87"/>
      <c r="D124" s="406"/>
      <c r="E124" s="73">
        <f>SUM(E120:E123)</f>
        <v>1716607.8456000001</v>
      </c>
      <c r="F124" s="12"/>
      <c r="G124" s="84" t="s">
        <v>459</v>
      </c>
      <c r="H124" s="72"/>
      <c r="I124" s="87"/>
      <c r="J124" s="406"/>
      <c r="K124" s="73">
        <f>SUM(K120:K123)</f>
        <v>0</v>
      </c>
      <c r="L124" s="12"/>
      <c r="M124" s="84" t="s">
        <v>459</v>
      </c>
      <c r="N124" s="72"/>
      <c r="O124" s="87"/>
      <c r="P124" s="406"/>
      <c r="Q124" s="73">
        <f>SUM(Q120:Q123)</f>
        <v>0</v>
      </c>
      <c r="R124" s="12"/>
      <c r="S124" s="328"/>
      <c r="T124" s="167"/>
      <c r="U124" s="167"/>
      <c r="V124" s="167"/>
      <c r="W124" s="167"/>
    </row>
    <row r="125" spans="1:23" ht="14.1" thickTop="1" thickBot="1">
      <c r="A125" s="27">
        <v>0.05</v>
      </c>
      <c r="B125" s="74"/>
      <c r="C125" s="88"/>
      <c r="D125" s="94"/>
      <c r="E125" s="79">
        <f>-A125*E117</f>
        <v>-652518.076</v>
      </c>
      <c r="F125" s="12"/>
      <c r="G125" s="27">
        <v>0.05</v>
      </c>
      <c r="H125" s="74"/>
      <c r="I125" s="88"/>
      <c r="J125" s="94"/>
      <c r="K125" s="79">
        <f>-G125*K117</f>
        <v>0</v>
      </c>
      <c r="L125" s="12"/>
      <c r="M125" s="27">
        <v>0.05</v>
      </c>
      <c r="N125" s="74"/>
      <c r="O125" s="88"/>
      <c r="P125" s="94"/>
      <c r="Q125" s="79">
        <f>-M125*Q117</f>
        <v>0</v>
      </c>
      <c r="R125" s="12"/>
      <c r="S125" s="329"/>
      <c r="T125" s="286"/>
      <c r="U125" s="286"/>
      <c r="V125" s="286"/>
      <c r="W125" s="286"/>
    </row>
    <row r="126" spans="1:23" ht="14.1" thickTop="1" thickBot="1">
      <c r="A126" s="1016" t="s">
        <v>460</v>
      </c>
      <c r="B126" s="14"/>
      <c r="C126" s="1017"/>
      <c r="D126" s="93"/>
      <c r="E126" s="1018">
        <f>E117+E124+E125</f>
        <v>14114451.2896</v>
      </c>
      <c r="F126" s="12"/>
      <c r="G126" s="1016" t="s">
        <v>460</v>
      </c>
      <c r="H126" s="14"/>
      <c r="I126" s="1017"/>
      <c r="J126" s="93"/>
      <c r="K126" s="1018">
        <f>K117+K124+K125</f>
        <v>0</v>
      </c>
      <c r="L126" s="12"/>
      <c r="M126" s="1016" t="s">
        <v>460</v>
      </c>
      <c r="N126" s="14"/>
      <c r="O126" s="1017"/>
      <c r="P126" s="93"/>
      <c r="Q126" s="1018">
        <f>Q117+Q124+Q125</f>
        <v>0</v>
      </c>
      <c r="R126" s="12"/>
      <c r="S126" s="330"/>
      <c r="T126" s="167"/>
      <c r="U126" s="331"/>
      <c r="V126" s="331"/>
      <c r="W126" s="167"/>
    </row>
    <row r="127" spans="1:23" ht="13.5" thickBot="1">
      <c r="A127" s="6" t="s">
        <v>461</v>
      </c>
      <c r="B127" s="78" t="s">
        <v>462</v>
      </c>
      <c r="C127" s="78"/>
      <c r="D127" s="78"/>
      <c r="E127" s="15" t="s">
        <v>463</v>
      </c>
      <c r="F127" s="12"/>
      <c r="G127" s="6" t="s">
        <v>461</v>
      </c>
      <c r="H127" s="78" t="s">
        <v>462</v>
      </c>
      <c r="I127" s="78"/>
      <c r="J127" s="78"/>
      <c r="K127" s="15" t="s">
        <v>463</v>
      </c>
      <c r="L127" s="12"/>
      <c r="M127" s="6" t="s">
        <v>461</v>
      </c>
      <c r="N127" s="78" t="s">
        <v>462</v>
      </c>
      <c r="O127" s="78"/>
      <c r="P127" s="78"/>
      <c r="Q127" s="15" t="s">
        <v>463</v>
      </c>
      <c r="R127" s="12"/>
      <c r="S127" s="123"/>
      <c r="T127" s="124"/>
      <c r="U127" s="124"/>
      <c r="V127" s="124"/>
      <c r="W127" s="124"/>
    </row>
    <row r="128" spans="1:23" ht="13.5" thickBot="1">
      <c r="A128" s="97" t="s">
        <v>464</v>
      </c>
      <c r="B128" s="90"/>
      <c r="C128" s="16"/>
      <c r="D128" s="16"/>
      <c r="E128" s="98">
        <f>-0.3*E117</f>
        <v>-3915108.4559999998</v>
      </c>
      <c r="F128" s="12"/>
      <c r="G128" s="97" t="s">
        <v>464</v>
      </c>
      <c r="H128" s="90"/>
      <c r="I128" s="16"/>
      <c r="J128" s="16"/>
      <c r="K128" s="98">
        <f>-0.3*K117</f>
        <v>0</v>
      </c>
      <c r="L128" s="12"/>
      <c r="M128" s="97" t="s">
        <v>464</v>
      </c>
      <c r="N128" s="90"/>
      <c r="O128" s="16"/>
      <c r="P128" s="16"/>
      <c r="Q128" s="98">
        <f>-0.3*Q117</f>
        <v>0</v>
      </c>
      <c r="R128" s="12"/>
      <c r="S128" s="289"/>
      <c r="T128" s="332"/>
      <c r="U128" s="333"/>
      <c r="V128" s="333"/>
      <c r="W128" s="333"/>
    </row>
    <row r="129" spans="1:25" ht="13.5" thickBot="1">
      <c r="A129" s="1019" t="s">
        <v>465</v>
      </c>
      <c r="B129" s="81"/>
      <c r="C129" s="81"/>
      <c r="D129" s="81"/>
      <c r="E129" s="1020">
        <f>E126+E128</f>
        <v>10199342.8336</v>
      </c>
      <c r="F129" s="12"/>
      <c r="G129" s="1019" t="s">
        <v>465</v>
      </c>
      <c r="H129" s="81"/>
      <c r="I129" s="81"/>
      <c r="J129" s="81"/>
      <c r="K129" s="1020">
        <f>K126+K128</f>
        <v>0</v>
      </c>
      <c r="L129" s="12"/>
      <c r="M129" s="1019" t="s">
        <v>465</v>
      </c>
      <c r="N129" s="81"/>
      <c r="O129" s="81"/>
      <c r="P129" s="81"/>
      <c r="Q129" s="1020">
        <f>Q126+Q128</f>
        <v>0</v>
      </c>
      <c r="R129" s="12"/>
      <c r="S129" s="118"/>
      <c r="T129" s="334"/>
      <c r="U129" s="334"/>
      <c r="V129" s="334"/>
      <c r="W129" s="335"/>
    </row>
    <row r="130" spans="1:25" ht="12.6">
      <c r="E130" s="836"/>
      <c r="F130" s="12"/>
      <c r="L130" s="12"/>
      <c r="R130" s="12"/>
    </row>
    <row r="131" spans="1:25" ht="12.95">
      <c r="A131" s="734" t="s">
        <v>383</v>
      </c>
      <c r="B131" s="734"/>
      <c r="C131" s="734"/>
      <c r="F131" s="12"/>
      <c r="G131" s="734" t="s">
        <v>383</v>
      </c>
      <c r="H131" s="734"/>
      <c r="I131" s="734"/>
      <c r="L131" s="12"/>
      <c r="M131" s="734" t="s">
        <v>383</v>
      </c>
      <c r="N131" s="734"/>
      <c r="O131" s="734"/>
      <c r="R131" s="12"/>
      <c r="S131" s="274"/>
      <c r="T131" s="274"/>
      <c r="U131" s="274"/>
    </row>
    <row r="132" spans="1:25" ht="12.95">
      <c r="A132" s="735"/>
      <c r="B132" s="736" t="s">
        <v>466</v>
      </c>
      <c r="C132" s="736" t="s">
        <v>467</v>
      </c>
      <c r="F132" s="83"/>
      <c r="G132" s="735"/>
      <c r="H132" s="736" t="s">
        <v>466</v>
      </c>
      <c r="I132" s="736" t="s">
        <v>467</v>
      </c>
      <c r="L132" s="83"/>
      <c r="M132" s="735"/>
      <c r="N132" s="736" t="s">
        <v>466</v>
      </c>
      <c r="O132" s="736" t="s">
        <v>467</v>
      </c>
      <c r="R132" s="83"/>
      <c r="S132" s="274"/>
      <c r="T132" s="282"/>
      <c r="U132" s="282"/>
    </row>
    <row r="133" spans="1:25" ht="12.75" customHeight="1">
      <c r="A133" s="737" t="s">
        <v>387</v>
      </c>
      <c r="B133" s="738">
        <f>IFERROR(INDEX(Assumptions!$D$4:$E$16,MATCH('4-J Financial'!B$34,Assumptions!$D$4:$D$16,0),2),0)</f>
        <v>205</v>
      </c>
      <c r="C133" s="739">
        <f>B133*D34</f>
        <v>139571441.5</v>
      </c>
      <c r="F133" s="12"/>
      <c r="G133" s="737" t="s">
        <v>387</v>
      </c>
      <c r="H133" s="738">
        <f>IFERROR(INDEX(Assumptions!$D$4:$E$16,MATCH('4-J Financial'!H$34,Assumptions!$D$4:$D$16,0),2),0)</f>
        <v>0</v>
      </c>
      <c r="I133" s="739">
        <f>H133*J34</f>
        <v>0</v>
      </c>
      <c r="L133" s="12"/>
      <c r="M133" s="737" t="s">
        <v>387</v>
      </c>
      <c r="N133" s="738">
        <f>IFERROR(INDEX(Assumptions!$D$4:$E$16,MATCH('4-J Financial'!N$34,Assumptions!$D$4:$D$16,0),2),0)</f>
        <v>0</v>
      </c>
      <c r="O133" s="739">
        <f>N133*P34</f>
        <v>0</v>
      </c>
      <c r="R133" s="12"/>
      <c r="S133" s="177"/>
      <c r="T133" s="336"/>
      <c r="U133" s="286"/>
    </row>
    <row r="134" spans="1:25" ht="12.75" customHeight="1">
      <c r="A134" s="737" t="s">
        <v>77</v>
      </c>
      <c r="B134" s="562">
        <f>Assumptions!$E$19</f>
        <v>0.05</v>
      </c>
      <c r="C134" s="740">
        <f>B134*C133</f>
        <v>6978572.0750000002</v>
      </c>
      <c r="F134" s="12"/>
      <c r="G134" s="737" t="s">
        <v>77</v>
      </c>
      <c r="H134" s="562">
        <f>Assumptions!$E$19</f>
        <v>0.05</v>
      </c>
      <c r="I134" s="740">
        <f>H134*I133</f>
        <v>0</v>
      </c>
      <c r="L134" s="12"/>
      <c r="M134" s="737" t="s">
        <v>77</v>
      </c>
      <c r="N134" s="562">
        <f>Assumptions!$E$19</f>
        <v>0.05</v>
      </c>
      <c r="O134" s="740">
        <f>N134*O133</f>
        <v>0</v>
      </c>
      <c r="R134" s="12"/>
      <c r="S134" s="177"/>
      <c r="T134" s="337"/>
      <c r="U134" s="290"/>
      <c r="Y134" s="12"/>
    </row>
    <row r="135" spans="1:25" ht="12.75" customHeight="1">
      <c r="A135" s="737" t="s">
        <v>389</v>
      </c>
      <c r="B135" s="407" t="s">
        <v>101</v>
      </c>
      <c r="C135" s="741">
        <v>0</v>
      </c>
      <c r="F135" s="12"/>
      <c r="G135" s="737" t="s">
        <v>389</v>
      </c>
      <c r="H135" s="407" t="s">
        <v>101</v>
      </c>
      <c r="I135" s="741">
        <v>0</v>
      </c>
      <c r="L135" s="12"/>
      <c r="M135" s="737" t="s">
        <v>389</v>
      </c>
      <c r="N135" s="407" t="s">
        <v>101</v>
      </c>
      <c r="O135" s="741">
        <v>0</v>
      </c>
      <c r="R135" s="12"/>
      <c r="S135" s="177"/>
      <c r="T135" s="338"/>
      <c r="U135" s="339"/>
      <c r="Y135" s="12"/>
    </row>
    <row r="136" spans="1:25" ht="12.75" customHeight="1">
      <c r="A136" s="737" t="s">
        <v>391</v>
      </c>
      <c r="B136" s="748" t="s">
        <v>468</v>
      </c>
      <c r="C136" s="739">
        <f>IF(C133=0,0,INDEX('Development Program'!$C$58:$L$62,5,MATCH($D$2,'Development Program'!$C$58:$L$58,0))/INDEX('Development Program'!$L$9:$M$18,MATCH($D$2,'Development Program'!$L$9:$L$18,0),2))</f>
        <v>0</v>
      </c>
      <c r="F136" s="12"/>
      <c r="G136" s="737" t="s">
        <v>391</v>
      </c>
      <c r="H136" s="748" t="s">
        <v>468</v>
      </c>
      <c r="I136" s="739">
        <f>IF(I133=0,0,INDEX('Development Program'!$C$58:$L$62,5,MATCH($D$2,'Development Program'!$C$58:$L$58,0))/INDEX('Development Program'!$L$9:$M$18,MATCH($D$2,'Development Program'!$L$9:$L$18,0),2))</f>
        <v>0</v>
      </c>
      <c r="L136" s="12"/>
      <c r="M136" s="737" t="s">
        <v>391</v>
      </c>
      <c r="N136" s="748" t="s">
        <v>468</v>
      </c>
      <c r="O136" s="739">
        <f>IF(O133=0,0,INDEX('Development Program'!$C$58:$L$62,5,MATCH($D$2,'Development Program'!$C$58:$L$58,0))/INDEX('Development Program'!$L$9:$M$18,MATCH($D$2,'Development Program'!$L$9:$L$18,0),2))</f>
        <v>0</v>
      </c>
      <c r="R136" s="12"/>
      <c r="S136" s="177"/>
      <c r="T136" s="340"/>
      <c r="U136" s="179"/>
    </row>
    <row r="137" spans="1:25" ht="12.75" customHeight="1">
      <c r="A137" s="426" t="s">
        <v>16</v>
      </c>
      <c r="B137" s="748" t="s">
        <v>468</v>
      </c>
      <c r="C137" s="739">
        <f>IF(C133=0,0,INDEX('Development Program'!$D$40:$M$55,16,MATCH($D$2,'Development Program'!$D$40:$M$40,0))/INDEX('Development Program'!$L$9:$M$18,MATCH($D$2,'Development Program'!$L$9:$L$18,0),2))</f>
        <v>4146666.666666667</v>
      </c>
      <c r="F137" s="12"/>
      <c r="G137" s="426" t="s">
        <v>16</v>
      </c>
      <c r="H137" s="748" t="s">
        <v>468</v>
      </c>
      <c r="I137" s="739">
        <f>IF(I133=0,0,INDEX('Development Program'!$D$40:$M$55,16,MATCH($D$2,'Development Program'!$D$40:$M$40,0))/INDEX('Development Program'!$L$9:$M$18,MATCH($D$2,'Development Program'!$L$9:$L$18,0),2))</f>
        <v>0</v>
      </c>
      <c r="L137" s="12"/>
      <c r="M137" s="426" t="s">
        <v>16</v>
      </c>
      <c r="N137" s="748" t="s">
        <v>468</v>
      </c>
      <c r="O137" s="739">
        <f>IF(O133=0,0,INDEX('Development Program'!$D$40:$M$55,16,MATCH($D$2,'Development Program'!$D$40:$M$40,0))/INDEX('Development Program'!$L$9:$M$18,MATCH($D$2,'Development Program'!$L$9:$L$18,0),2))</f>
        <v>0</v>
      </c>
      <c r="R137" s="12"/>
    </row>
    <row r="138" spans="1:25" ht="12.75" customHeight="1">
      <c r="A138" s="737" t="s">
        <v>79</v>
      </c>
      <c r="B138" s="409">
        <f>Assumptions!$E$20</f>
        <v>0.02</v>
      </c>
      <c r="C138" s="739">
        <f>B138*(C$133)</f>
        <v>2791428.83</v>
      </c>
      <c r="F138" s="12"/>
      <c r="G138" s="737" t="s">
        <v>79</v>
      </c>
      <c r="H138" s="409">
        <f>Assumptions!$E$20</f>
        <v>0.02</v>
      </c>
      <c r="I138" s="739">
        <f>H138*(I$133)</f>
        <v>0</v>
      </c>
      <c r="L138" s="12"/>
      <c r="M138" s="737" t="s">
        <v>79</v>
      </c>
      <c r="N138" s="409">
        <f>Assumptions!$E$20</f>
        <v>0.02</v>
      </c>
      <c r="O138" s="739">
        <f>N138*(O$133)</f>
        <v>0</v>
      </c>
      <c r="R138" s="12"/>
      <c r="S138" s="177"/>
      <c r="T138" s="341"/>
      <c r="U138" s="286"/>
    </row>
    <row r="139" spans="1:25" ht="12.75" customHeight="1">
      <c r="A139" s="730" t="s">
        <v>83</v>
      </c>
      <c r="B139" s="409">
        <f>Assumptions!$E$22</f>
        <v>1.4999999999999999E-2</v>
      </c>
      <c r="C139" s="739">
        <f>B139*(C$133)</f>
        <v>2093571.6224999998</v>
      </c>
      <c r="F139" s="12"/>
      <c r="G139" s="730" t="s">
        <v>83</v>
      </c>
      <c r="H139" s="409">
        <f>Assumptions!$E$22</f>
        <v>1.4999999999999999E-2</v>
      </c>
      <c r="I139" s="739">
        <f>H139*(I$133)</f>
        <v>0</v>
      </c>
      <c r="L139" s="12"/>
      <c r="M139" s="730" t="s">
        <v>83</v>
      </c>
      <c r="N139" s="409">
        <f>Assumptions!$E$22</f>
        <v>1.4999999999999999E-2</v>
      </c>
      <c r="O139" s="739">
        <f>N139*(O$133)</f>
        <v>0</v>
      </c>
      <c r="R139" s="12"/>
      <c r="S139" s="12"/>
      <c r="T139" s="341"/>
      <c r="U139" s="286"/>
    </row>
    <row r="140" spans="1:25" ht="12.75" customHeight="1">
      <c r="A140" s="730" t="s">
        <v>84</v>
      </c>
      <c r="B140" s="564">
        <f>Assumptions!$E$23</f>
        <v>2.5000000000000001E-2</v>
      </c>
      <c r="C140" s="739">
        <f>IF(D34=0,0,B140*$B$10)</f>
        <v>0</v>
      </c>
      <c r="F140" s="12"/>
      <c r="G140" s="730" t="s">
        <v>84</v>
      </c>
      <c r="H140" s="564">
        <f>Assumptions!$E$23</f>
        <v>2.5000000000000001E-2</v>
      </c>
      <c r="I140" s="739">
        <f>IF(J34=0,0,H140*$B$10)</f>
        <v>0</v>
      </c>
      <c r="L140" s="12"/>
      <c r="M140" s="730" t="s">
        <v>84</v>
      </c>
      <c r="N140" s="564">
        <f>Assumptions!$E$23</f>
        <v>2.5000000000000001E-2</v>
      </c>
      <c r="O140" s="739">
        <f>IF(P34=0,0,N140*$B$10)</f>
        <v>0</v>
      </c>
      <c r="R140" s="12"/>
      <c r="S140" s="12"/>
      <c r="T140" s="26"/>
      <c r="U140" s="339"/>
    </row>
    <row r="141" spans="1:25" ht="12.75" customHeight="1">
      <c r="A141" s="730" t="s">
        <v>85</v>
      </c>
      <c r="B141" s="409">
        <f>Assumptions!$E$24</f>
        <v>0.02</v>
      </c>
      <c r="C141" s="739">
        <f>B141*(C133)</f>
        <v>2791428.83</v>
      </c>
      <c r="F141" s="12"/>
      <c r="G141" s="730" t="s">
        <v>85</v>
      </c>
      <c r="H141" s="409">
        <f>Assumptions!$E$24</f>
        <v>0.02</v>
      </c>
      <c r="I141" s="739">
        <f>H141*(I133)</f>
        <v>0</v>
      </c>
      <c r="L141" s="12"/>
      <c r="M141" s="730" t="s">
        <v>85</v>
      </c>
      <c r="N141" s="409">
        <f>Assumptions!$E$24</f>
        <v>0.02</v>
      </c>
      <c r="O141" s="739">
        <f>N141*(O133)</f>
        <v>0</v>
      </c>
      <c r="R141" s="12"/>
      <c r="S141" s="12"/>
      <c r="T141" s="341"/>
      <c r="U141" s="286"/>
    </row>
    <row r="142" spans="1:25" ht="12.75" customHeight="1">
      <c r="A142" s="730" t="s">
        <v>86</v>
      </c>
      <c r="B142" s="409">
        <f>Assumptions!$E$25</f>
        <v>3.5000000000000003E-2</v>
      </c>
      <c r="C142" s="739">
        <f>B142*(C133)</f>
        <v>4885000.4525000006</v>
      </c>
      <c r="F142" s="12"/>
      <c r="G142" s="730" t="s">
        <v>86</v>
      </c>
      <c r="H142" s="409">
        <f>Assumptions!$E$25</f>
        <v>3.5000000000000003E-2</v>
      </c>
      <c r="I142" s="739">
        <f>H142*(I133)</f>
        <v>0</v>
      </c>
      <c r="L142" s="12"/>
      <c r="M142" s="730" t="s">
        <v>86</v>
      </c>
      <c r="N142" s="409">
        <f>Assumptions!$E$25</f>
        <v>3.5000000000000003E-2</v>
      </c>
      <c r="O142" s="739">
        <f>N142*(O133)</f>
        <v>0</v>
      </c>
      <c r="R142" s="12"/>
      <c r="S142" s="12"/>
      <c r="T142" s="341"/>
      <c r="U142" s="286"/>
    </row>
    <row r="143" spans="1:25" ht="12.75" customHeight="1">
      <c r="A143" s="730" t="s">
        <v>88</v>
      </c>
      <c r="B143" s="409">
        <f>Assumptions!$E$26</f>
        <v>0.02</v>
      </c>
      <c r="C143" s="739">
        <f>B143*(C133)</f>
        <v>2791428.83</v>
      </c>
      <c r="D143" s="276"/>
      <c r="E143" s="275"/>
      <c r="F143" s="12"/>
      <c r="G143" s="730" t="s">
        <v>88</v>
      </c>
      <c r="H143" s="409">
        <f>Assumptions!$E$26</f>
        <v>0.02</v>
      </c>
      <c r="I143" s="739">
        <f>H143*(I133)</f>
        <v>0</v>
      </c>
      <c r="J143" s="276"/>
      <c r="K143" s="275"/>
      <c r="L143" s="12"/>
      <c r="M143" s="730" t="s">
        <v>88</v>
      </c>
      <c r="N143" s="409">
        <f>Assumptions!$E$26</f>
        <v>0.02</v>
      </c>
      <c r="O143" s="739">
        <f>N143*(O133)</f>
        <v>0</v>
      </c>
      <c r="P143" s="276"/>
      <c r="Q143" s="275"/>
      <c r="R143" s="12"/>
      <c r="S143" s="12"/>
      <c r="T143" s="341"/>
      <c r="U143" s="286"/>
      <c r="V143" s="276"/>
      <c r="W143" s="275"/>
    </row>
    <row r="144" spans="1:25" ht="12.75" customHeight="1">
      <c r="A144" s="730" t="s">
        <v>93</v>
      </c>
      <c r="B144" s="409">
        <f>Assumptions!$E$27</f>
        <v>0.05</v>
      </c>
      <c r="C144" s="739">
        <f>B144*C133</f>
        <v>6978572.0750000002</v>
      </c>
      <c r="D144" s="276"/>
      <c r="E144" s="275"/>
      <c r="F144" s="12"/>
      <c r="G144" s="730" t="s">
        <v>93</v>
      </c>
      <c r="H144" s="409">
        <f>Assumptions!$E$27</f>
        <v>0.05</v>
      </c>
      <c r="I144" s="739">
        <f>H144*I133</f>
        <v>0</v>
      </c>
      <c r="J144" s="276"/>
      <c r="K144" s="275"/>
      <c r="L144" s="12"/>
      <c r="M144" s="730" t="s">
        <v>93</v>
      </c>
      <c r="N144" s="409">
        <f>Assumptions!$E$27</f>
        <v>0.05</v>
      </c>
      <c r="O144" s="739">
        <f>N144*O133</f>
        <v>0</v>
      </c>
      <c r="P144" s="276"/>
      <c r="Q144" s="275"/>
      <c r="R144" s="12"/>
      <c r="S144" s="12"/>
      <c r="T144" s="342"/>
      <c r="U144" s="286"/>
      <c r="V144" s="276"/>
      <c r="W144" s="275"/>
    </row>
    <row r="145" spans="1:23" ht="12.75" customHeight="1">
      <c r="A145" s="730" t="s">
        <v>97</v>
      </c>
      <c r="B145" s="409">
        <f>Assumptions!$E$28</f>
        <v>1.4999999999999999E-2</v>
      </c>
      <c r="C145" s="739">
        <f>B145*C133</f>
        <v>2093571.6224999998</v>
      </c>
      <c r="D145" s="276"/>
      <c r="E145" s="275"/>
      <c r="F145" s="12"/>
      <c r="G145" s="730" t="s">
        <v>97</v>
      </c>
      <c r="H145" s="409">
        <f>Assumptions!$E$28</f>
        <v>1.4999999999999999E-2</v>
      </c>
      <c r="I145" s="739">
        <f>H145*I133</f>
        <v>0</v>
      </c>
      <c r="J145" s="276"/>
      <c r="K145" s="275"/>
      <c r="L145" s="12"/>
      <c r="M145" s="730" t="s">
        <v>97</v>
      </c>
      <c r="N145" s="409">
        <f>Assumptions!$E$28</f>
        <v>1.4999999999999999E-2</v>
      </c>
      <c r="O145" s="739">
        <f>N145*O133</f>
        <v>0</v>
      </c>
      <c r="P145" s="276"/>
      <c r="Q145" s="275"/>
      <c r="R145" s="12"/>
      <c r="S145" s="12"/>
      <c r="T145" s="341"/>
      <c r="U145" s="286"/>
      <c r="V145" s="276"/>
      <c r="W145" s="275"/>
    </row>
    <row r="146" spans="1:23" ht="12.75" customHeight="1">
      <c r="A146" s="730" t="s">
        <v>100</v>
      </c>
      <c r="B146" s="410" t="s">
        <v>101</v>
      </c>
      <c r="C146" s="741">
        <v>200000</v>
      </c>
      <c r="F146" s="12"/>
      <c r="G146" s="730" t="s">
        <v>100</v>
      </c>
      <c r="H146" s="410" t="s">
        <v>101</v>
      </c>
      <c r="I146" s="741">
        <v>0</v>
      </c>
      <c r="L146" s="12"/>
      <c r="M146" s="730" t="s">
        <v>100</v>
      </c>
      <c r="N146" s="410" t="s">
        <v>101</v>
      </c>
      <c r="O146" s="741">
        <v>0</v>
      </c>
      <c r="R146" s="12"/>
      <c r="S146" s="12"/>
      <c r="T146" s="26"/>
      <c r="U146" s="339"/>
    </row>
    <row r="147" spans="1:23" ht="12.75" customHeight="1">
      <c r="A147" s="730" t="s">
        <v>103</v>
      </c>
      <c r="B147" s="411">
        <f>Assumptions!$E$30</f>
        <v>6</v>
      </c>
      <c r="C147" s="739">
        <f>-B147*(E128/6)</f>
        <v>3915108.4560000002</v>
      </c>
      <c r="F147" s="12"/>
      <c r="G147" s="730" t="s">
        <v>103</v>
      </c>
      <c r="H147" s="411">
        <f>Assumptions!$E$30</f>
        <v>6</v>
      </c>
      <c r="I147" s="739">
        <f>-H147*(K128/6)</f>
        <v>0</v>
      </c>
      <c r="L147" s="12"/>
      <c r="M147" s="730" t="s">
        <v>103</v>
      </c>
      <c r="N147" s="411">
        <f>Assumptions!$E$30</f>
        <v>6</v>
      </c>
      <c r="O147" s="739">
        <f>-N147*(Q128/6)</f>
        <v>0</v>
      </c>
      <c r="R147" s="12"/>
      <c r="S147" s="12"/>
      <c r="T147" s="343"/>
      <c r="U147" s="286"/>
    </row>
    <row r="148" spans="1:23" ht="12.75" customHeight="1">
      <c r="A148" s="730" t="s">
        <v>106</v>
      </c>
      <c r="B148" s="742">
        <f>Assumptions!$E$31</f>
        <v>30</v>
      </c>
      <c r="C148" s="739">
        <f>B148*SUM(C93,C97)</f>
        <v>7401479.5499999998</v>
      </c>
      <c r="G148" s="730" t="s">
        <v>106</v>
      </c>
      <c r="H148" s="742">
        <f>Assumptions!$E$31</f>
        <v>30</v>
      </c>
      <c r="I148" s="739">
        <f>H148*SUM(I93,I97)</f>
        <v>0</v>
      </c>
      <c r="L148" s="12"/>
      <c r="M148" s="730" t="s">
        <v>106</v>
      </c>
      <c r="N148" s="742">
        <f>Assumptions!$E$31</f>
        <v>30</v>
      </c>
      <c r="O148" s="739">
        <f>N148*SUM(O93,O97)</f>
        <v>0</v>
      </c>
      <c r="R148" s="12"/>
      <c r="S148" s="12"/>
      <c r="T148" s="303"/>
      <c r="U148" s="286"/>
    </row>
    <row r="149" spans="1:23" ht="12.75" customHeight="1">
      <c r="A149" s="730" t="s">
        <v>403</v>
      </c>
      <c r="B149" s="563">
        <f>Assumptions!$E$32</f>
        <v>0.03</v>
      </c>
      <c r="C149" s="731">
        <f>B149*SUM(E93,E97)</f>
        <v>236847.34559999997</v>
      </c>
      <c r="G149" s="730" t="s">
        <v>403</v>
      </c>
      <c r="H149" s="563">
        <f>Assumptions!$E$32</f>
        <v>0.03</v>
      </c>
      <c r="I149" s="731">
        <f>H149*SUM(K93,K97)</f>
        <v>0</v>
      </c>
      <c r="M149" s="730" t="s">
        <v>403</v>
      </c>
      <c r="N149" s="563">
        <f>Assumptions!$E$32</f>
        <v>0.03</v>
      </c>
      <c r="O149" s="731">
        <f>N149*SUM(Q93,Q97)</f>
        <v>0</v>
      </c>
      <c r="S149" s="12"/>
      <c r="T149" s="344"/>
      <c r="U149" s="345"/>
    </row>
    <row r="150" spans="1:23" ht="12.75" customHeight="1">
      <c r="A150" s="730" t="s">
        <v>112</v>
      </c>
      <c r="B150" s="732">
        <f>Assumptions!$E$33</f>
        <v>1.4999999999999999E-2</v>
      </c>
      <c r="C150" s="733">
        <f>B150*SUM(C138:C149,C135,C152,C153)</f>
        <v>690876.56421149999</v>
      </c>
      <c r="D150" s="18"/>
      <c r="E150" s="18"/>
      <c r="G150" s="730" t="s">
        <v>112</v>
      </c>
      <c r="H150" s="732">
        <f>Assumptions!$E$33</f>
        <v>1.4999999999999999E-2</v>
      </c>
      <c r="I150" s="733">
        <f>H150*SUM(I138:I149,I135,I152,I153)</f>
        <v>0</v>
      </c>
      <c r="J150" s="18"/>
      <c r="K150" s="18"/>
      <c r="M150" s="730" t="s">
        <v>112</v>
      </c>
      <c r="N150" s="732">
        <f>Assumptions!$E$33</f>
        <v>1.4999999999999999E-2</v>
      </c>
      <c r="O150" s="733">
        <f>N150*SUM(O138:O149,O135,O152,O153)</f>
        <v>0</v>
      </c>
      <c r="P150" s="18"/>
      <c r="Q150" s="18"/>
      <c r="S150" s="12"/>
      <c r="T150" s="346"/>
      <c r="U150" s="339"/>
      <c r="V150" s="347"/>
      <c r="W150" s="347"/>
    </row>
    <row r="151" spans="1:23" ht="12.75" customHeight="1">
      <c r="A151" s="730" t="s">
        <v>165</v>
      </c>
      <c r="B151" s="732" t="s">
        <v>468</v>
      </c>
      <c r="C151" s="733">
        <f>IF(C133=0,0,-INDEX('Development Program'!$C$30:$L$37,8,MATCH($D$2,'Development Program'!$C$30:$L$30,0))/INDEX('Development Program'!$L$9:$M$18,MATCH($D$2,'Development Program'!$L$9:$L$18,0),2))</f>
        <v>-3500000</v>
      </c>
      <c r="D151" s="18"/>
      <c r="E151" s="18"/>
      <c r="G151" s="730" t="s">
        <v>165</v>
      </c>
      <c r="H151" s="732" t="s">
        <v>468</v>
      </c>
      <c r="I151" s="733">
        <f>IF(I133=0,0,-INDEX('Development Program'!$C$30:$L$37,8,MATCH($D$2,'Development Program'!$C$30:$L$30,0))/INDEX('Development Program'!$L$9:$M$18,MATCH($D$2,'Development Program'!$L$9:$L$18,0),2))</f>
        <v>0</v>
      </c>
      <c r="J151" s="18"/>
      <c r="K151" s="18"/>
      <c r="M151" s="730" t="s">
        <v>165</v>
      </c>
      <c r="N151" s="732" t="s">
        <v>468</v>
      </c>
      <c r="O151" s="733">
        <f>IF(O133=0,0,-INDEX('Development Program'!$C$30:$L$37,8,MATCH($D$2,'Development Program'!$C$30:$L$30,0))/INDEX('Development Program'!$L$9:$M$18,MATCH($D$2,'Development Program'!$L$9:$L$18,0),2))</f>
        <v>0</v>
      </c>
      <c r="P151" s="18"/>
      <c r="Q151" s="18"/>
      <c r="S151" s="12"/>
      <c r="T151" s="346"/>
      <c r="U151" s="339"/>
      <c r="V151" s="347"/>
      <c r="W151" s="347"/>
    </row>
    <row r="152" spans="1:23" ht="12.75" customHeight="1">
      <c r="A152" s="426" t="s">
        <v>38</v>
      </c>
      <c r="B152" s="732">
        <f>Assumptions!$L$5</f>
        <v>5.0000000000000001E-3</v>
      </c>
      <c r="C152" s="741">
        <v>580000</v>
      </c>
      <c r="D152" s="18">
        <f>C152/B$157</f>
        <v>4.9842053689101162E-3</v>
      </c>
      <c r="E152" s="18"/>
      <c r="G152" s="426" t="s">
        <v>38</v>
      </c>
      <c r="H152" s="732">
        <f>Assumptions!$L$5</f>
        <v>5.0000000000000001E-3</v>
      </c>
      <c r="I152" s="741">
        <v>0</v>
      </c>
      <c r="J152" s="18" t="e">
        <f>I152/H$157</f>
        <v>#DIV/0!</v>
      </c>
      <c r="K152" s="18"/>
      <c r="M152" s="426" t="s">
        <v>38</v>
      </c>
      <c r="N152" s="732">
        <f>Assumptions!$L$5</f>
        <v>5.0000000000000001E-3</v>
      </c>
      <c r="O152" s="741">
        <v>0</v>
      </c>
      <c r="P152" s="18" t="e">
        <f>O152/N$157</f>
        <v>#DIV/0!</v>
      </c>
      <c r="Q152" s="18"/>
      <c r="S152" s="12"/>
      <c r="T152" s="346"/>
      <c r="U152" s="339"/>
      <c r="V152" s="347"/>
      <c r="W152" s="347"/>
    </row>
    <row r="153" spans="1:23" ht="12.75" customHeight="1">
      <c r="A153" s="426" t="s">
        <v>407</v>
      </c>
      <c r="B153" s="732">
        <f>Assumptions!$L$4</f>
        <v>0.08</v>
      </c>
      <c r="C153" s="741">
        <v>9300000</v>
      </c>
      <c r="D153" s="18">
        <f>C153/B$157</f>
        <v>7.9919155053213925E-2</v>
      </c>
      <c r="E153" s="18"/>
      <c r="G153" s="426" t="s">
        <v>407</v>
      </c>
      <c r="H153" s="732">
        <f>Assumptions!$L$4</f>
        <v>0.08</v>
      </c>
      <c r="I153" s="741">
        <v>0</v>
      </c>
      <c r="J153" s="18" t="e">
        <f>I153/H$157</f>
        <v>#DIV/0!</v>
      </c>
      <c r="K153" s="18"/>
      <c r="M153" s="426" t="s">
        <v>407</v>
      </c>
      <c r="N153" s="732">
        <f>Assumptions!$L$4</f>
        <v>0.08</v>
      </c>
      <c r="O153" s="741">
        <v>0</v>
      </c>
      <c r="P153" s="18" t="e">
        <f>O153/N$157</f>
        <v>#DIV/0!</v>
      </c>
      <c r="Q153" s="18"/>
      <c r="S153" s="12"/>
      <c r="T153" s="346"/>
      <c r="U153" s="339"/>
      <c r="V153" s="347"/>
      <c r="W153" s="347"/>
    </row>
    <row r="154" spans="1:23" ht="12.75" customHeight="1">
      <c r="A154" s="743" t="s">
        <v>408</v>
      </c>
      <c r="B154" s="744"/>
      <c r="C154" s="745">
        <f>SUM(C133:C153)</f>
        <v>193945994.4199782</v>
      </c>
      <c r="D154" s="18"/>
      <c r="E154" s="18"/>
      <c r="G154" s="743" t="s">
        <v>408</v>
      </c>
      <c r="H154" s="744"/>
      <c r="I154" s="745">
        <f>SUM(I133:I153)</f>
        <v>0</v>
      </c>
      <c r="J154" s="18"/>
      <c r="K154" s="18"/>
      <c r="M154" s="743" t="s">
        <v>408</v>
      </c>
      <c r="N154" s="744"/>
      <c r="O154" s="745">
        <f>SUM(O133:O153)</f>
        <v>0</v>
      </c>
      <c r="P154" s="18"/>
      <c r="Q154" s="18"/>
    </row>
    <row r="155" spans="1:23" ht="12.75" customHeight="1" thickBot="1">
      <c r="A155" s="328"/>
      <c r="C155" s="167"/>
      <c r="D155" s="746"/>
      <c r="E155" s="18"/>
      <c r="G155" s="328"/>
      <c r="I155" s="167"/>
      <c r="J155" s="746"/>
      <c r="K155" s="18"/>
      <c r="M155" s="328"/>
      <c r="O155" s="167"/>
      <c r="P155" s="746"/>
      <c r="Q155" s="18"/>
    </row>
    <row r="156" spans="1:23" ht="12.75" customHeight="1">
      <c r="A156" s="1021" t="s">
        <v>23</v>
      </c>
      <c r="B156" s="1022"/>
      <c r="C156" s="167"/>
      <c r="D156" s="18"/>
      <c r="E156" s="18"/>
      <c r="G156" s="1021" t="s">
        <v>23</v>
      </c>
      <c r="H156" s="1022"/>
      <c r="I156" s="167"/>
      <c r="J156" s="18"/>
      <c r="K156" s="18"/>
      <c r="M156" s="1021" t="s">
        <v>23</v>
      </c>
      <c r="N156" s="1022"/>
      <c r="O156" s="167"/>
      <c r="P156" s="18"/>
      <c r="Q156" s="18"/>
    </row>
    <row r="157" spans="1:23" ht="12.75" customHeight="1">
      <c r="A157" s="840">
        <f>IFERROR(INDEX(Assumptions!$J$11:$L$23,MATCH('4-J Financial'!B$34,Assumptions!$J$11:$J$23,0),3),0)</f>
        <v>0.6</v>
      </c>
      <c r="B157" s="747">
        <f>C154*A157</f>
        <v>116367596.65198691</v>
      </c>
      <c r="C157" s="167"/>
      <c r="D157" s="18"/>
      <c r="E157" s="18"/>
      <c r="G157" s="840">
        <f>IFERROR(INDEX(Assumptions!$J$11:$L$23,MATCH('4-J Financial'!H$34,Assumptions!$J$11:$J$23,0),3),0)</f>
        <v>0</v>
      </c>
      <c r="H157" s="747">
        <f>I154*G157</f>
        <v>0</v>
      </c>
      <c r="I157" s="167"/>
      <c r="J157" s="18"/>
      <c r="K157" s="18"/>
      <c r="M157" s="840">
        <f>IFERROR(INDEX(Assumptions!$J$11:$L$23,MATCH('4-J Financial'!N$34,Assumptions!$J$11:$J$23,0),3),0)</f>
        <v>0</v>
      </c>
      <c r="N157" s="747">
        <f>O154*M157</f>
        <v>0</v>
      </c>
      <c r="O157" s="167"/>
      <c r="P157" s="18"/>
      <c r="Q157" s="18"/>
    </row>
    <row r="158" spans="1:23" ht="12.75" customHeight="1">
      <c r="A158" s="841">
        <f>1-A157</f>
        <v>0.4</v>
      </c>
      <c r="B158" s="747">
        <f>C154*A158</f>
        <v>77578397.767991289</v>
      </c>
      <c r="C158" s="167"/>
      <c r="D158" s="18"/>
      <c r="E158" s="18"/>
      <c r="G158" s="841">
        <f>1-G157</f>
        <v>1</v>
      </c>
      <c r="H158" s="747">
        <f>I154*G158</f>
        <v>0</v>
      </c>
      <c r="I158" s="167"/>
      <c r="J158" s="18"/>
      <c r="K158" s="18"/>
      <c r="M158" s="841">
        <f>1-M157</f>
        <v>1</v>
      </c>
      <c r="N158" s="747">
        <f>O154*M158</f>
        <v>0</v>
      </c>
      <c r="O158" s="167"/>
      <c r="P158" s="18"/>
      <c r="Q158" s="18"/>
    </row>
    <row r="159" spans="1:23" ht="12.75" customHeight="1" thickBot="1">
      <c r="S159" s="12"/>
      <c r="T159" s="349"/>
      <c r="U159" s="339"/>
      <c r="V159" s="347"/>
      <c r="W159" s="347"/>
    </row>
    <row r="160" spans="1:23" ht="13.5" thickBot="1">
      <c r="A160" s="1021" t="s">
        <v>469</v>
      </c>
      <c r="B160" s="1022"/>
      <c r="D160" s="18"/>
      <c r="G160" s="1021" t="s">
        <v>469</v>
      </c>
      <c r="H160" s="1022"/>
      <c r="J160" s="18"/>
      <c r="M160" s="1021" t="s">
        <v>469</v>
      </c>
      <c r="N160" s="1022"/>
      <c r="P160" s="18"/>
      <c r="S160" s="328"/>
      <c r="U160" s="167"/>
    </row>
    <row r="161" spans="1:22" ht="13.5" thickBot="1">
      <c r="A161" s="565" t="s">
        <v>470</v>
      </c>
      <c r="B161" s="566"/>
      <c r="C161" s="12"/>
      <c r="D161" s="346"/>
      <c r="E161" s="339"/>
      <c r="G161" s="565" t="s">
        <v>470</v>
      </c>
      <c r="H161" s="566"/>
      <c r="I161" s="12"/>
      <c r="J161" s="12"/>
      <c r="K161" s="346"/>
      <c r="L161" s="339"/>
      <c r="M161" s="565" t="s">
        <v>470</v>
      </c>
      <c r="N161" s="566"/>
      <c r="O161" s="12"/>
      <c r="P161" s="12"/>
      <c r="Q161" s="346"/>
      <c r="R161" s="339"/>
      <c r="S161" s="274"/>
      <c r="T161" s="274"/>
      <c r="V161" s="347"/>
    </row>
    <row r="162" spans="1:22" ht="12.95">
      <c r="A162" s="358" t="s">
        <v>471</v>
      </c>
      <c r="B162" s="359">
        <f>E63+E80+E101</f>
        <v>0</v>
      </c>
      <c r="D162" s="281"/>
      <c r="G162" s="358" t="s">
        <v>471</v>
      </c>
      <c r="H162" s="359">
        <f>K63+K80+K101</f>
        <v>0</v>
      </c>
      <c r="J162" s="281"/>
      <c r="M162" s="358" t="s">
        <v>471</v>
      </c>
      <c r="N162" s="359">
        <f>Q63+Q80+Q101</f>
        <v>0</v>
      </c>
      <c r="P162" s="281"/>
      <c r="S162" s="137"/>
      <c r="T162" s="281"/>
      <c r="V162" s="129"/>
    </row>
    <row r="163" spans="1:22" ht="12.95">
      <c r="A163" s="479">
        <v>0.03</v>
      </c>
      <c r="B163" s="480">
        <f>-B162*A163</f>
        <v>0</v>
      </c>
      <c r="D163" s="167"/>
      <c r="G163" s="479">
        <v>0.03</v>
      </c>
      <c r="H163" s="480">
        <f>-H162*G163</f>
        <v>0</v>
      </c>
      <c r="J163" s="167"/>
      <c r="M163" s="479">
        <v>0.03</v>
      </c>
      <c r="N163" s="480">
        <f>-N162*M163</f>
        <v>0</v>
      </c>
      <c r="P163" s="167"/>
      <c r="S163" s="277"/>
      <c r="T163" s="288"/>
      <c r="V163" s="281"/>
    </row>
    <row r="164" spans="1:22" ht="13.5" thickBot="1">
      <c r="A164" s="414" t="s">
        <v>472</v>
      </c>
      <c r="B164" s="481">
        <f>SUM(B162:B163)</f>
        <v>0</v>
      </c>
      <c r="G164" s="414" t="s">
        <v>472</v>
      </c>
      <c r="H164" s="481">
        <f>SUM(H162:H163)</f>
        <v>0</v>
      </c>
      <c r="M164" s="414" t="s">
        <v>472</v>
      </c>
      <c r="N164" s="481">
        <f>SUM(N162:N163)</f>
        <v>0</v>
      </c>
      <c r="S164" s="280"/>
      <c r="T164" s="350"/>
      <c r="V164" s="167"/>
    </row>
    <row r="165" spans="1:22" ht="13.5" thickBot="1">
      <c r="A165" s="1023" t="s">
        <v>473</v>
      </c>
      <c r="B165" s="1024"/>
      <c r="G165" s="1023" t="s">
        <v>473</v>
      </c>
      <c r="H165" s="1024"/>
      <c r="M165" s="1023" t="s">
        <v>473</v>
      </c>
      <c r="N165" s="1024"/>
      <c r="S165" s="277"/>
      <c r="T165" s="351"/>
    </row>
    <row r="166" spans="1:22" ht="12.95">
      <c r="A166" s="360" t="s">
        <v>474</v>
      </c>
      <c r="B166" s="567">
        <f>IFERROR(INDEX(Assumptions!$J$64:$L$76,MATCH('4-J Financial'!B$34,Assumptions!$J$64:$J$76,0),3),0)</f>
        <v>5.5E-2</v>
      </c>
      <c r="G166" s="360" t="s">
        <v>474</v>
      </c>
      <c r="H166" s="567">
        <f>IFERROR(INDEX(Assumptions!$J$64:$L$76,MATCH('4-J Financial'!H$34,Assumptions!$J$64:$J$76,0),3),0)</f>
        <v>0</v>
      </c>
      <c r="M166" s="360" t="s">
        <v>474</v>
      </c>
      <c r="N166" s="567">
        <f>IFERROR(INDEX(Assumptions!$J$64:$L$76,MATCH('4-J Financial'!N$34,Assumptions!$J$64:$J$76,0),3),0)</f>
        <v>0</v>
      </c>
      <c r="S166" s="277"/>
      <c r="T166" s="351"/>
    </row>
    <row r="167" spans="1:22" ht="12.95">
      <c r="A167" s="482" t="s">
        <v>475</v>
      </c>
      <c r="B167" s="483">
        <f>IFERROR(E$129/B$166,0)</f>
        <v>185442596.97454545</v>
      </c>
      <c r="C167" s="279"/>
      <c r="G167" s="482" t="s">
        <v>475</v>
      </c>
      <c r="H167" s="483">
        <f>IFERROR(K$129/H$166,0)</f>
        <v>0</v>
      </c>
      <c r="I167" s="279"/>
      <c r="M167" s="482" t="s">
        <v>475</v>
      </c>
      <c r="N167" s="483">
        <f>IFERROR(Q$129/N$166,0)</f>
        <v>0</v>
      </c>
      <c r="O167" s="279"/>
      <c r="S167" s="277"/>
      <c r="T167" s="351"/>
    </row>
    <row r="168" spans="1:22" ht="12.95">
      <c r="A168" s="408" t="s">
        <v>476</v>
      </c>
      <c r="B168" s="484">
        <f>IFERROR(B166-1%,0)</f>
        <v>4.4999999999999998E-2</v>
      </c>
      <c r="C168" s="288"/>
      <c r="F168" s="18"/>
      <c r="G168" s="408" t="s">
        <v>476</v>
      </c>
      <c r="H168" s="484">
        <f>IFERROR(H166-1%,0)</f>
        <v>-0.01</v>
      </c>
      <c r="I168" s="288"/>
      <c r="L168" s="18"/>
      <c r="M168" s="408" t="s">
        <v>476</v>
      </c>
      <c r="N168" s="484">
        <f>IFERROR(N166-1%,0)</f>
        <v>-0.01</v>
      </c>
      <c r="O168" s="288"/>
      <c r="R168" s="18"/>
      <c r="S168" s="352"/>
      <c r="T168" s="281"/>
    </row>
    <row r="169" spans="1:22" ht="12.95">
      <c r="A169" s="408" t="s">
        <v>127</v>
      </c>
      <c r="B169" s="872">
        <f>IFERROR(INDEX(Assumptions!$J$48:$L$60,MATCH('4-J Financial'!B$34,Assumptions!$J$48:$J$60,0),3),0)</f>
        <v>3.5000000000000003E-2</v>
      </c>
      <c r="F169" s="18"/>
      <c r="G169" s="408" t="s">
        <v>127</v>
      </c>
      <c r="H169" s="872">
        <f>IFERROR(INDEX(Assumptions!$J$48:$L$60,MATCH('4-J Financial'!H$34,Assumptions!$J$48:$J$60,0),3),0)</f>
        <v>0</v>
      </c>
      <c r="L169" s="18"/>
      <c r="M169" s="408" t="s">
        <v>127</v>
      </c>
      <c r="N169" s="872">
        <f>IFERROR(INDEX(Assumptions!$J$48:$L$60,MATCH('4-J Financial'!N$34,Assumptions!$J$48:$J$60,0),3),0)</f>
        <v>0</v>
      </c>
      <c r="R169" s="18"/>
      <c r="S169" s="352"/>
      <c r="T169" s="281"/>
    </row>
    <row r="170" spans="1:22" ht="12.95">
      <c r="A170" s="408" t="s">
        <v>125</v>
      </c>
      <c r="B170" s="485">
        <f>Assumptions!$L$41</f>
        <v>5</v>
      </c>
      <c r="D170" s="279"/>
      <c r="F170" s="18"/>
      <c r="G170" s="408" t="s">
        <v>125</v>
      </c>
      <c r="H170" s="485">
        <f>Assumptions!$L$41</f>
        <v>5</v>
      </c>
      <c r="J170" s="279"/>
      <c r="L170" s="18"/>
      <c r="M170" s="408" t="s">
        <v>125</v>
      </c>
      <c r="N170" s="485">
        <f>Assumptions!$L$41</f>
        <v>5</v>
      </c>
      <c r="P170" s="279"/>
      <c r="R170" s="18"/>
      <c r="S170" s="352"/>
      <c r="T170" s="281"/>
    </row>
    <row r="171" spans="1:22" ht="12.95">
      <c r="A171" s="408" t="s">
        <v>386</v>
      </c>
      <c r="B171" s="419">
        <f>(E$129*(1+B$169)^(B$170+1))</f>
        <v>12537596.503416559</v>
      </c>
      <c r="D171" s="279"/>
      <c r="F171" s="18"/>
      <c r="G171" s="408" t="s">
        <v>386</v>
      </c>
      <c r="H171" s="419">
        <f>(K$129*(1+H$169)^(H$170+1))</f>
        <v>0</v>
      </c>
      <c r="J171" s="279"/>
      <c r="L171" s="18"/>
      <c r="M171" s="408" t="s">
        <v>386</v>
      </c>
      <c r="N171" s="419">
        <f>(Q$129*(1+N$169)^(N$170+1))</f>
        <v>0</v>
      </c>
      <c r="P171" s="279"/>
      <c r="R171" s="18"/>
      <c r="S171" s="352"/>
      <c r="T171" s="281"/>
    </row>
    <row r="172" spans="1:22" ht="12.95">
      <c r="A172" s="418" t="s">
        <v>477</v>
      </c>
      <c r="B172" s="483">
        <f>IFERROR(B171/B$168,0)</f>
        <v>278613255.63147908</v>
      </c>
      <c r="C172" s="357"/>
      <c r="D172" s="279"/>
      <c r="F172" s="18"/>
      <c r="G172" s="418" t="s">
        <v>477</v>
      </c>
      <c r="H172" s="483">
        <f>IFERROR(H171/H$168,0)</f>
        <v>0</v>
      </c>
      <c r="I172" s="357"/>
      <c r="J172" s="279"/>
      <c r="L172" s="18"/>
      <c r="M172" s="418" t="s">
        <v>477</v>
      </c>
      <c r="N172" s="483">
        <f>IFERROR(N171/N$168,0)</f>
        <v>0</v>
      </c>
      <c r="O172" s="357"/>
      <c r="P172" s="279"/>
      <c r="R172" s="18"/>
      <c r="S172" s="352"/>
      <c r="T172" s="281"/>
    </row>
    <row r="173" spans="1:22" ht="12.95">
      <c r="A173" s="412" t="s">
        <v>471</v>
      </c>
      <c r="B173" s="486">
        <f>B172</f>
        <v>278613255.63147908</v>
      </c>
      <c r="F173" s="18"/>
      <c r="G173" s="412" t="s">
        <v>471</v>
      </c>
      <c r="H173" s="486">
        <f>H172</f>
        <v>0</v>
      </c>
      <c r="L173" s="18"/>
      <c r="M173" s="412" t="s">
        <v>471</v>
      </c>
      <c r="N173" s="486">
        <f>N172</f>
        <v>0</v>
      </c>
      <c r="R173" s="18"/>
      <c r="S173" s="352"/>
      <c r="T173" s="281"/>
    </row>
    <row r="174" spans="1:22" ht="12.95">
      <c r="A174" s="479">
        <v>0.03</v>
      </c>
      <c r="B174" s="413">
        <f>-A$174*B$167</f>
        <v>-5563277.9092363631</v>
      </c>
      <c r="D174" s="167"/>
      <c r="G174" s="479">
        <v>0.03</v>
      </c>
      <c r="H174" s="413">
        <f>-G$174*H$167</f>
        <v>0</v>
      </c>
      <c r="J174" s="167"/>
      <c r="M174" s="479">
        <v>0.03</v>
      </c>
      <c r="N174" s="413">
        <f>-M$174*N$167</f>
        <v>0</v>
      </c>
      <c r="P174" s="167"/>
      <c r="S174" s="353"/>
      <c r="T174" s="283"/>
    </row>
    <row r="175" spans="1:22" ht="13.5" thickBot="1">
      <c r="A175" s="414" t="s">
        <v>472</v>
      </c>
      <c r="B175" s="415">
        <f>SUM(B173:B174)</f>
        <v>273049977.72224271</v>
      </c>
      <c r="D175" s="283"/>
      <c r="E175" s="274"/>
      <c r="G175" s="414" t="s">
        <v>472</v>
      </c>
      <c r="H175" s="415">
        <f>SUM(H173:H174)</f>
        <v>0</v>
      </c>
      <c r="J175" s="283"/>
      <c r="K175" s="274"/>
      <c r="M175" s="414" t="s">
        <v>472</v>
      </c>
      <c r="N175" s="415">
        <f>SUM(N173:N174)</f>
        <v>0</v>
      </c>
      <c r="P175" s="283"/>
      <c r="Q175" s="274"/>
      <c r="S175" s="277"/>
      <c r="T175" s="288"/>
      <c r="V175" s="167"/>
    </row>
    <row r="176" spans="1:22" ht="13.5" thickBot="1">
      <c r="A176" s="1023" t="s">
        <v>478</v>
      </c>
      <c r="B176" s="566"/>
      <c r="D176" s="276"/>
      <c r="G176" s="1023" t="s">
        <v>478</v>
      </c>
      <c r="H176" s="566"/>
      <c r="J176" s="276"/>
      <c r="M176" s="1023" t="s">
        <v>478</v>
      </c>
      <c r="N176" s="566"/>
      <c r="P176" s="276"/>
      <c r="S176" s="280"/>
      <c r="T176" s="278"/>
    </row>
    <row r="177" spans="1:22" ht="12.95">
      <c r="A177" s="291" t="s">
        <v>479</v>
      </c>
      <c r="B177" s="292">
        <f>B162+B173</f>
        <v>278613255.63147908</v>
      </c>
      <c r="G177" s="291" t="s">
        <v>479</v>
      </c>
      <c r="H177" s="292">
        <f>H162+H173</f>
        <v>0</v>
      </c>
      <c r="M177" s="291" t="s">
        <v>479</v>
      </c>
      <c r="N177" s="292">
        <f>N162+N173</f>
        <v>0</v>
      </c>
      <c r="S177" s="277"/>
      <c r="T177" s="302"/>
      <c r="V177" s="276"/>
    </row>
    <row r="178" spans="1:22" ht="12.95">
      <c r="A178" s="418" t="s">
        <v>480</v>
      </c>
      <c r="B178" s="486">
        <f>SUM(B164,B175)</f>
        <v>273049977.72224271</v>
      </c>
      <c r="G178" s="418" t="s">
        <v>480</v>
      </c>
      <c r="H178" s="486">
        <f>SUM(H164,H175)</f>
        <v>0</v>
      </c>
      <c r="M178" s="418" t="s">
        <v>480</v>
      </c>
      <c r="N178" s="486">
        <f>SUM(N164,N175)</f>
        <v>0</v>
      </c>
      <c r="S178" s="277"/>
      <c r="T178" s="302"/>
      <c r="V178" s="276"/>
    </row>
    <row r="179" spans="1:22" ht="13.5" thickBot="1">
      <c r="A179" s="416" t="s">
        <v>481</v>
      </c>
      <c r="B179" s="417">
        <f>SUM(B178:B178)</f>
        <v>273049977.72224271</v>
      </c>
      <c r="G179" s="416" t="s">
        <v>481</v>
      </c>
      <c r="H179" s="417">
        <f>SUM(H178:H178)</f>
        <v>0</v>
      </c>
      <c r="M179" s="416" t="s">
        <v>481</v>
      </c>
      <c r="N179" s="417">
        <f>SUM(N178:N178)</f>
        <v>0</v>
      </c>
      <c r="S179" s="277"/>
      <c r="T179" s="302"/>
      <c r="V179" s="276"/>
    </row>
    <row r="180" spans="1:22" ht="23.25" customHeight="1">
      <c r="G180" s="355"/>
      <c r="H180" s="354"/>
      <c r="M180" s="355"/>
      <c r="N180" s="354"/>
      <c r="S180" s="284"/>
      <c r="T180" s="287"/>
    </row>
    <row r="181" spans="1:22" ht="23.25" customHeight="1">
      <c r="D181" s="277"/>
      <c r="G181" s="356"/>
      <c r="H181" s="288"/>
      <c r="J181" s="277"/>
      <c r="M181" s="356"/>
      <c r="N181" s="288"/>
      <c r="P181" s="277"/>
      <c r="S181" s="355"/>
      <c r="T181" s="354"/>
    </row>
    <row r="182" spans="1:22" ht="23.25" customHeight="1">
      <c r="S182" s="356"/>
      <c r="T182" s="288"/>
      <c r="V182" s="277"/>
    </row>
    <row r="183" spans="1:22" ht="23.25" customHeight="1">
      <c r="B183" s="130"/>
      <c r="D183" s="277"/>
    </row>
    <row r="184" spans="1:22" ht="23.25" customHeight="1">
      <c r="B184" s="130"/>
    </row>
  </sheetData>
  <mergeCells count="9">
    <mergeCell ref="A118:E118"/>
    <mergeCell ref="G118:K118"/>
    <mergeCell ref="M118:Q118"/>
    <mergeCell ref="S118:W118"/>
    <mergeCell ref="D2:E2"/>
    <mergeCell ref="B116:C116"/>
    <mergeCell ref="H116:I116"/>
    <mergeCell ref="N116:O116"/>
    <mergeCell ref="T116:U116"/>
  </mergeCells>
  <conditionalFormatting sqref="C49 C66">
    <cfRule type="expression" dxfId="13" priority="8">
      <formula>C55&gt;D48</formula>
    </cfRule>
  </conditionalFormatting>
  <conditionalFormatting sqref="C58 C75 C83">
    <cfRule type="expression" dxfId="12" priority="7">
      <formula>C63&gt;D57</formula>
    </cfRule>
  </conditionalFormatting>
  <conditionalFormatting sqref="I49 I66">
    <cfRule type="expression" dxfId="11" priority="4">
      <formula>I55&gt;J48</formula>
    </cfRule>
  </conditionalFormatting>
  <conditionalFormatting sqref="I58 I75 I83">
    <cfRule type="expression" dxfId="10" priority="3">
      <formula>I63&gt;J57</formula>
    </cfRule>
  </conditionalFormatting>
  <conditionalFormatting sqref="O49 O66">
    <cfRule type="expression" dxfId="9" priority="2">
      <formula>O55&gt;P48</formula>
    </cfRule>
  </conditionalFormatting>
  <conditionalFormatting sqref="O58 O75 O83">
    <cfRule type="expression" dxfId="8" priority="1">
      <formula>O63&gt;P57</formula>
    </cfRule>
  </conditionalFormatting>
  <conditionalFormatting sqref="U49 U66">
    <cfRule type="expression" dxfId="7" priority="6">
      <formula>U55&gt;V48</formula>
    </cfRule>
  </conditionalFormatting>
  <conditionalFormatting sqref="U58 U75 U83">
    <cfRule type="expression" dxfId="6" priority="5">
      <formula>U63&gt;V57</formula>
    </cfRule>
  </conditionalFormatting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1" manualBreakCount="1">
    <brk id="111" max="4" man="1"/>
  </rowBreaks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5CD75-3393-49EC-8372-8891D33172FE}">
  <sheetPr>
    <tabColor theme="2" tint="-9.9978637043366805E-2"/>
  </sheetPr>
  <dimension ref="A1:CI185"/>
  <sheetViews>
    <sheetView zoomScale="85" zoomScaleNormal="85" zoomScalePageLayoutView="125" workbookViewId="0">
      <pane xSplit="1" ySplit="9" topLeftCell="V41" activePane="bottomRight" state="frozen"/>
      <selection pane="bottomRight" activeCell="V48" sqref="V48"/>
      <selection pane="bottomLeft" activeCell="Y9" sqref="Y9"/>
      <selection pane="topRight" activeCell="Y9" sqref="Y9"/>
    </sheetView>
  </sheetViews>
  <sheetFormatPr defaultColWidth="8.85546875" defaultRowHeight="14.1"/>
  <cols>
    <col min="1" max="1" width="44" style="207" bestFit="1" customWidth="1"/>
    <col min="2" max="2" width="42.5703125" style="208" customWidth="1"/>
    <col min="3" max="4" width="17.85546875" style="207" hidden="1" customWidth="1"/>
    <col min="5" max="43" width="17.85546875" style="207" customWidth="1"/>
    <col min="44" max="44" width="17.85546875" style="208" customWidth="1"/>
    <col min="45" max="58" width="17.5703125" style="207" customWidth="1"/>
    <col min="59" max="59" width="20.42578125" style="207" customWidth="1"/>
    <col min="60" max="84" width="17" style="207" customWidth="1"/>
    <col min="85" max="85" width="16.42578125" style="207" customWidth="1"/>
    <col min="86" max="86" width="15" style="209" customWidth="1"/>
    <col min="87" max="87" width="17.85546875" style="209" bestFit="1" customWidth="1"/>
    <col min="88" max="88" width="9.42578125" style="207" bestFit="1" customWidth="1"/>
    <col min="89" max="89" width="11.85546875" style="207" bestFit="1" customWidth="1"/>
    <col min="90" max="91" width="9.42578125" style="207" bestFit="1" customWidth="1"/>
    <col min="92" max="16384" width="8.85546875" style="207"/>
  </cols>
  <sheetData>
    <row r="1" spans="1:87" ht="20.25" customHeight="1"/>
    <row r="2" spans="1:87" s="488" customFormat="1" ht="20.25" customHeight="1">
      <c r="A2" s="1081" t="str">
        <f>'4-J Financial'!D2</f>
        <v>4-J</v>
      </c>
      <c r="B2" s="775"/>
      <c r="C2" s="1092"/>
      <c r="D2" s="1092"/>
      <c r="E2" s="1082" t="str">
        <f>'Development Program'!C65</f>
        <v>Pre-Development</v>
      </c>
      <c r="F2" s="1083"/>
      <c r="G2" s="1083"/>
      <c r="H2" s="1082" t="str">
        <f>'Development Program'!F65</f>
        <v>Construction</v>
      </c>
      <c r="I2" s="1083"/>
      <c r="J2" s="1083"/>
      <c r="K2" s="1082" t="str">
        <f>'Development Program'!I65</f>
        <v>Close-Out</v>
      </c>
      <c r="L2" s="1083"/>
      <c r="M2" s="1084"/>
      <c r="N2" s="420" t="s">
        <v>202</v>
      </c>
      <c r="O2" s="1092"/>
      <c r="P2" s="1092"/>
      <c r="Q2" s="1092"/>
      <c r="R2" s="1092"/>
      <c r="S2" s="1092"/>
      <c r="T2" s="1092"/>
      <c r="U2" s="1092"/>
      <c r="V2" s="1092"/>
      <c r="W2" s="1092"/>
      <c r="X2" s="1092"/>
      <c r="Y2" s="1092"/>
      <c r="Z2" s="1092"/>
      <c r="AA2" s="1092"/>
      <c r="AB2" s="1092"/>
      <c r="AC2" s="1092"/>
      <c r="AD2" s="1092"/>
      <c r="AE2" s="1092"/>
      <c r="AF2" s="1092"/>
      <c r="AG2" s="1092"/>
      <c r="AH2" s="1092"/>
      <c r="AI2" s="1092"/>
      <c r="AJ2" s="1092"/>
      <c r="AK2" s="1092"/>
      <c r="AL2" s="1092"/>
      <c r="AM2" s="1092"/>
      <c r="AN2" s="1092"/>
      <c r="AO2" s="1092"/>
      <c r="AP2" s="1092"/>
      <c r="AQ2" s="1092"/>
      <c r="AR2" s="775"/>
      <c r="AS2" s="1092"/>
      <c r="AT2" s="1092"/>
      <c r="AU2" s="1092"/>
      <c r="AV2" s="1092"/>
      <c r="AW2" s="1092"/>
      <c r="AX2" s="1092"/>
      <c r="AY2" s="1092"/>
      <c r="AZ2" s="1092"/>
      <c r="BA2" s="1092"/>
      <c r="BB2" s="1092"/>
      <c r="BC2" s="1092"/>
      <c r="BD2" s="1092"/>
      <c r="BE2" s="1092"/>
      <c r="BF2" s="1092"/>
      <c r="BG2" s="1092"/>
      <c r="BH2" s="1092"/>
      <c r="BI2" s="1092"/>
      <c r="BJ2" s="1092"/>
      <c r="BK2" s="1092"/>
      <c r="BL2" s="1092"/>
      <c r="BM2" s="1092"/>
      <c r="BN2" s="1092"/>
      <c r="BO2" s="1092"/>
      <c r="BP2" s="1092"/>
      <c r="BQ2" s="1092"/>
      <c r="BR2" s="1092"/>
      <c r="BS2" s="1092"/>
      <c r="BT2" s="1092"/>
      <c r="BU2" s="1092"/>
      <c r="BV2" s="1092"/>
      <c r="BW2" s="1092"/>
      <c r="BX2" s="1092"/>
      <c r="BY2" s="1092"/>
      <c r="BZ2" s="1092"/>
      <c r="CA2" s="1092"/>
      <c r="CB2" s="1092"/>
      <c r="CC2" s="1092"/>
      <c r="CD2" s="1092"/>
      <c r="CE2" s="1092"/>
      <c r="CF2" s="1092"/>
      <c r="CG2" s="1092"/>
      <c r="CH2" s="1093"/>
      <c r="CI2" s="1093"/>
    </row>
    <row r="3" spans="1:87" ht="20.25" customHeight="1">
      <c r="A3" s="1081"/>
      <c r="B3" s="248" t="s">
        <v>482</v>
      </c>
      <c r="E3" s="765" t="str">
        <f>'Development Program'!C66</f>
        <v>PD Start</v>
      </c>
      <c r="F3" s="1094" t="str">
        <f>'Development Program'!D66</f>
        <v>PD End</v>
      </c>
      <c r="G3" s="766" t="str">
        <f>'Development Program'!E66</f>
        <v>PD Duration</v>
      </c>
      <c r="H3" s="765" t="str">
        <f>'Development Program'!F66</f>
        <v>CS Start</v>
      </c>
      <c r="I3" s="1094" t="str">
        <f>'Development Program'!G66</f>
        <v>CS End</v>
      </c>
      <c r="J3" s="766" t="str">
        <f>'Development Program'!H66</f>
        <v>CS Duration</v>
      </c>
      <c r="K3" s="1025" t="str">
        <f>'Development Program'!I66</f>
        <v>CO Start</v>
      </c>
      <c r="L3" s="767" t="str">
        <f>'Development Program'!J66</f>
        <v>CO End</v>
      </c>
      <c r="M3" s="266" t="str">
        <f>'Development Program'!K66</f>
        <v>CO Duration</v>
      </c>
      <c r="N3" s="262"/>
    </row>
    <row r="4" spans="1:87" s="768" customFormat="1" ht="20.25" customHeight="1">
      <c r="A4" s="1081"/>
      <c r="B4" s="776" t="s">
        <v>483</v>
      </c>
      <c r="E4" s="263">
        <f>INDEX('Development Program'!$B$66:$K$76,MATCH($A$2,'Development Program'!$B$66:$B$76,0),MATCH(E3,'Development Program'!$B$66:$K$66,0))</f>
        <v>48214</v>
      </c>
      <c r="F4" s="264">
        <f>INDEX('Development Program'!$B$66:$K$76,MATCH($A$2,'Development Program'!$B$66:$B$76,0),MATCH(F3,'Development Program'!$B$66:$K$66,0))</f>
        <v>48669</v>
      </c>
      <c r="G4" s="265">
        <f>INDEX('Development Program'!$B$66:$K$76,MATCH($A$2,'Development Program'!$B$66:$B$76,0),MATCH(G3,'Development Program'!$B$66:$K$66,0))</f>
        <v>15</v>
      </c>
      <c r="H4" s="263">
        <f>INDEX('Development Program'!$B$66:$K$76,MATCH($A$2,'Development Program'!$B$66:$B$76,0),MATCH(H3,'Development Program'!$B$66:$K$66,0))</f>
        <v>48670</v>
      </c>
      <c r="I4" s="264">
        <f>INDEX('Development Program'!$B$66:$K$76,MATCH($A$2,'Development Program'!$B$66:$B$76,0),MATCH(I3,'Development Program'!$B$66:$K$66,0))</f>
        <v>49765</v>
      </c>
      <c r="J4" s="265">
        <f>INDEX('Development Program'!$B$66:$K$76,MATCH($A$2,'Development Program'!$B$66:$B$76,0),MATCH(J3,'Development Program'!$B$66:$K$66,0))</f>
        <v>36</v>
      </c>
      <c r="K4" s="263">
        <f>INDEX('Development Program'!$B$66:$K$76,MATCH($A$2,'Development Program'!$B$66:$B$76,0),MATCH(K3,'Development Program'!$B$66:$K$66,0))</f>
        <v>49766</v>
      </c>
      <c r="L4" s="264">
        <f>INDEX('Development Program'!$B$66:$K$76,MATCH($A$2,'Development Program'!$B$66:$B$76,0),MATCH(L3,'Development Program'!$B$66:$K$66,0))</f>
        <v>49948</v>
      </c>
      <c r="M4" s="265">
        <f>INDEX('Development Program'!$B$66:$K$76,MATCH($A$2,'Development Program'!$B$66:$B$76,0),MATCH(M3,'Development Program'!$B$66:$K$66,0))</f>
        <v>6</v>
      </c>
      <c r="N4" s="265">
        <f>INDEX('Development Program'!$B$66:$L$76,MATCH($A$2,'Development Program'!$B$66:$B$76,0),MATCH(N2,'Development Program'!$B$65:$L$65,0))</f>
        <v>57</v>
      </c>
      <c r="O4" s="769"/>
      <c r="U4" s="770"/>
      <c r="AR4" s="771"/>
      <c r="AS4" s="772"/>
      <c r="AT4" s="772"/>
      <c r="AU4" s="772"/>
      <c r="BA4" s="1085" t="s">
        <v>484</v>
      </c>
      <c r="BB4" s="1085"/>
      <c r="BC4" s="1085"/>
      <c r="BD4" s="1085"/>
      <c r="BE4" s="1085"/>
      <c r="BF4" s="773"/>
      <c r="BG4" s="1080" t="s">
        <v>485</v>
      </c>
      <c r="BH4" s="1080"/>
      <c r="BI4" s="1080"/>
      <c r="CH4" s="774"/>
      <c r="CI4" s="774"/>
    </row>
    <row r="5" spans="1:87" s="210" customFormat="1" ht="20.25" customHeight="1">
      <c r="A5" s="261"/>
      <c r="B5" s="249"/>
      <c r="C5" s="258" t="str">
        <f>IFERROR(INDEX($E$2:$N$4,2,MATCH(#REF!+1,$E$4:$N$4,0)),"")</f>
        <v/>
      </c>
      <c r="D5" s="258" t="str">
        <f>IFERROR(INDEX($E$2:$N$4,2,MATCH(C9+1,$E$4:$N$4,0)),"")</f>
        <v/>
      </c>
      <c r="E5" s="258"/>
      <c r="F5" s="258" t="str">
        <f t="shared" ref="F5:X5" si="0">IFERROR(INDEX($E$2:$N$4,2,MATCH(E9+1,$E$4:$N$4,0)),"")</f>
        <v>PD Start</v>
      </c>
      <c r="G5" s="258" t="str">
        <f t="shared" si="0"/>
        <v/>
      </c>
      <c r="H5" s="258" t="str">
        <f t="shared" si="0"/>
        <v/>
      </c>
      <c r="I5" s="258" t="str">
        <f t="shared" si="0"/>
        <v/>
      </c>
      <c r="J5" s="258" t="str">
        <f t="shared" si="0"/>
        <v/>
      </c>
      <c r="K5" s="258" t="str">
        <f t="shared" si="0"/>
        <v>CS Start</v>
      </c>
      <c r="L5" s="258" t="str">
        <f t="shared" si="0"/>
        <v/>
      </c>
      <c r="M5" s="258" t="str">
        <f t="shared" si="0"/>
        <v/>
      </c>
      <c r="N5" s="258" t="str">
        <f t="shared" si="0"/>
        <v/>
      </c>
      <c r="O5" s="258" t="str">
        <f t="shared" si="0"/>
        <v/>
      </c>
      <c r="P5" s="258" t="str">
        <f t="shared" si="0"/>
        <v/>
      </c>
      <c r="Q5" s="258" t="str">
        <f t="shared" si="0"/>
        <v/>
      </c>
      <c r="R5" s="258" t="str">
        <f t="shared" si="0"/>
        <v/>
      </c>
      <c r="S5" s="258" t="str">
        <f t="shared" si="0"/>
        <v/>
      </c>
      <c r="T5" s="258" t="str">
        <f t="shared" si="0"/>
        <v/>
      </c>
      <c r="U5" s="258" t="str">
        <f t="shared" si="0"/>
        <v/>
      </c>
      <c r="V5" s="258" t="str">
        <f t="shared" si="0"/>
        <v/>
      </c>
      <c r="W5" s="258" t="str">
        <f t="shared" si="0"/>
        <v>CO Start</v>
      </c>
      <c r="X5" s="258" t="str">
        <f t="shared" si="0"/>
        <v/>
      </c>
      <c r="Y5" s="246">
        <v>1</v>
      </c>
      <c r="Z5" s="246">
        <v>1</v>
      </c>
      <c r="AA5" s="246">
        <v>1</v>
      </c>
      <c r="AB5" s="246">
        <v>1</v>
      </c>
      <c r="AC5" s="246">
        <v>2</v>
      </c>
      <c r="AD5" s="246">
        <v>2</v>
      </c>
      <c r="AE5" s="246">
        <v>2</v>
      </c>
      <c r="AF5" s="246">
        <v>2</v>
      </c>
      <c r="AG5" s="246">
        <v>3</v>
      </c>
      <c r="AH5" s="246">
        <v>3</v>
      </c>
      <c r="AI5" s="246">
        <v>3</v>
      </c>
      <c r="AJ5" s="246">
        <v>3</v>
      </c>
      <c r="AK5" s="246">
        <v>4</v>
      </c>
      <c r="AL5" s="246">
        <v>4</v>
      </c>
      <c r="AM5" s="246">
        <v>4</v>
      </c>
      <c r="AN5" s="246">
        <v>4</v>
      </c>
      <c r="AO5" s="246">
        <v>5</v>
      </c>
      <c r="AP5" s="246">
        <v>5</v>
      </c>
      <c r="AQ5" s="246">
        <v>5</v>
      </c>
      <c r="AR5" s="247">
        <v>5</v>
      </c>
      <c r="AS5" s="211"/>
      <c r="AT5" s="211"/>
      <c r="AU5" s="211"/>
      <c r="BA5" s="212"/>
      <c r="BB5" s="212"/>
      <c r="BC5" s="212"/>
      <c r="BD5" s="212"/>
      <c r="BE5" s="212"/>
      <c r="BF5" s="212"/>
      <c r="BG5" s="213"/>
      <c r="BH5" s="213"/>
      <c r="BI5" s="213"/>
      <c r="CH5" s="214"/>
      <c r="CI5" s="214"/>
    </row>
    <row r="6" spans="1:87" s="210" customFormat="1" ht="20.25" customHeight="1">
      <c r="A6" s="261"/>
      <c r="B6" s="249"/>
      <c r="C6" s="258"/>
      <c r="D6" s="258"/>
      <c r="E6" s="258" t="str">
        <f t="shared" ref="E6:X6" si="1">IFERROR(INDEX($E$2:$N$4,2,MATCH(E9,$E$4:$N$4,0)),"")</f>
        <v/>
      </c>
      <c r="F6" s="258" t="str">
        <f t="shared" si="1"/>
        <v/>
      </c>
      <c r="G6" s="258" t="str">
        <f t="shared" si="1"/>
        <v/>
      </c>
      <c r="H6" s="258" t="str">
        <f t="shared" si="1"/>
        <v/>
      </c>
      <c r="I6" s="258" t="str">
        <f t="shared" si="1"/>
        <v/>
      </c>
      <c r="J6" s="258" t="str">
        <f t="shared" si="1"/>
        <v>PD End</v>
      </c>
      <c r="K6" s="258" t="str">
        <f t="shared" si="1"/>
        <v/>
      </c>
      <c r="L6" s="258" t="str">
        <f t="shared" si="1"/>
        <v/>
      </c>
      <c r="M6" s="258" t="str">
        <f t="shared" si="1"/>
        <v/>
      </c>
      <c r="N6" s="258" t="str">
        <f t="shared" si="1"/>
        <v/>
      </c>
      <c r="O6" s="258" t="str">
        <f t="shared" si="1"/>
        <v/>
      </c>
      <c r="P6" s="258" t="str">
        <f t="shared" si="1"/>
        <v/>
      </c>
      <c r="Q6" s="258" t="str">
        <f t="shared" si="1"/>
        <v/>
      </c>
      <c r="R6" s="258" t="str">
        <f t="shared" si="1"/>
        <v/>
      </c>
      <c r="S6" s="258" t="str">
        <f t="shared" si="1"/>
        <v/>
      </c>
      <c r="T6" s="258" t="str">
        <f t="shared" si="1"/>
        <v/>
      </c>
      <c r="U6" s="258" t="str">
        <f t="shared" si="1"/>
        <v/>
      </c>
      <c r="V6" s="258" t="str">
        <f t="shared" si="1"/>
        <v>CS End</v>
      </c>
      <c r="W6" s="258" t="str">
        <f t="shared" si="1"/>
        <v/>
      </c>
      <c r="X6" s="258" t="str">
        <f t="shared" si="1"/>
        <v>CO End</v>
      </c>
      <c r="Y6" s="828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247"/>
      <c r="AS6" s="211"/>
      <c r="AT6" s="211"/>
      <c r="AU6" s="211"/>
      <c r="BA6" s="212"/>
      <c r="BB6" s="212"/>
      <c r="BC6" s="212"/>
      <c r="BD6" s="212"/>
      <c r="BE6" s="212"/>
      <c r="BF6" s="212"/>
      <c r="BG6" s="213"/>
      <c r="BH6" s="213"/>
      <c r="BI6" s="213"/>
      <c r="CH6" s="214"/>
      <c r="CI6" s="214"/>
    </row>
    <row r="7" spans="1:87" s="210" customFormat="1" ht="20.25" customHeight="1">
      <c r="A7" s="261"/>
      <c r="B7" s="249" t="s">
        <v>486</v>
      </c>
      <c r="C7" s="258"/>
      <c r="D7" s="258"/>
      <c r="E7" s="258">
        <v>0</v>
      </c>
      <c r="F7" s="258">
        <f t="shared" ref="F7:X7" si="2">IF(OR($H$4&gt;F9,$K$4&lt;F9),0,E7+1)</f>
        <v>0</v>
      </c>
      <c r="G7" s="258">
        <f t="shared" si="2"/>
        <v>0</v>
      </c>
      <c r="H7" s="258">
        <f t="shared" si="2"/>
        <v>0</v>
      </c>
      <c r="I7" s="258">
        <f t="shared" si="2"/>
        <v>0</v>
      </c>
      <c r="J7" s="258">
        <f t="shared" si="2"/>
        <v>0</v>
      </c>
      <c r="K7" s="258">
        <f t="shared" si="2"/>
        <v>1</v>
      </c>
      <c r="L7" s="258">
        <f t="shared" si="2"/>
        <v>2</v>
      </c>
      <c r="M7" s="258">
        <f t="shared" si="2"/>
        <v>3</v>
      </c>
      <c r="N7" s="258">
        <f t="shared" si="2"/>
        <v>4</v>
      </c>
      <c r="O7" s="258">
        <f t="shared" si="2"/>
        <v>5</v>
      </c>
      <c r="P7" s="258">
        <f t="shared" si="2"/>
        <v>6</v>
      </c>
      <c r="Q7" s="258">
        <f t="shared" si="2"/>
        <v>7</v>
      </c>
      <c r="R7" s="258">
        <f t="shared" si="2"/>
        <v>8</v>
      </c>
      <c r="S7" s="258">
        <f t="shared" si="2"/>
        <v>9</v>
      </c>
      <c r="T7" s="258">
        <f t="shared" si="2"/>
        <v>10</v>
      </c>
      <c r="U7" s="258">
        <f t="shared" si="2"/>
        <v>11</v>
      </c>
      <c r="V7" s="258">
        <f t="shared" si="2"/>
        <v>12</v>
      </c>
      <c r="W7" s="258">
        <f t="shared" si="2"/>
        <v>0</v>
      </c>
      <c r="X7" s="258">
        <f t="shared" si="2"/>
        <v>0</v>
      </c>
      <c r="Y7" s="829">
        <v>1</v>
      </c>
      <c r="Z7" s="829">
        <v>2</v>
      </c>
      <c r="AA7" s="829">
        <v>3</v>
      </c>
      <c r="AB7" s="829">
        <v>4</v>
      </c>
      <c r="AC7" s="829">
        <v>1</v>
      </c>
      <c r="AD7" s="829">
        <v>2</v>
      </c>
      <c r="AE7" s="829">
        <v>3</v>
      </c>
      <c r="AF7" s="829">
        <v>4</v>
      </c>
      <c r="AG7" s="829">
        <v>1</v>
      </c>
      <c r="AH7" s="829">
        <v>2</v>
      </c>
      <c r="AI7" s="829">
        <v>3</v>
      </c>
      <c r="AJ7" s="829">
        <v>4</v>
      </c>
      <c r="AK7" s="829">
        <v>1</v>
      </c>
      <c r="AL7" s="829">
        <v>2</v>
      </c>
      <c r="AM7" s="829">
        <v>3</v>
      </c>
      <c r="AN7" s="829">
        <v>4</v>
      </c>
      <c r="AO7" s="829">
        <v>1</v>
      </c>
      <c r="AP7" s="829">
        <v>2</v>
      </c>
      <c r="AQ7" s="829">
        <v>3</v>
      </c>
      <c r="AR7" s="830">
        <v>4</v>
      </c>
      <c r="AS7" s="211"/>
      <c r="AT7" s="211"/>
      <c r="AU7" s="211"/>
      <c r="BA7" s="212"/>
      <c r="BB7" s="212"/>
      <c r="BC7" s="212"/>
      <c r="BD7" s="212"/>
      <c r="BE7" s="212"/>
      <c r="BF7" s="212"/>
      <c r="BG7" s="213"/>
      <c r="BH7" s="213"/>
      <c r="BI7" s="213"/>
      <c r="CH7" s="214"/>
      <c r="CI7" s="214"/>
    </row>
    <row r="8" spans="1:87" s="210" customFormat="1" ht="20.25" customHeight="1">
      <c r="A8" s="261"/>
      <c r="B8" s="249" t="s">
        <v>487</v>
      </c>
      <c r="C8" s="258"/>
      <c r="D8" s="258"/>
      <c r="E8" s="258">
        <v>0</v>
      </c>
      <c r="F8" s="258">
        <f>IF(OR(G6=$I$3,F6=$I$3,F5=$K$3),1,0)</f>
        <v>0</v>
      </c>
      <c r="G8" s="258">
        <f t="shared" ref="G8:W8" si="3">IF(OR(H6=$I$3,G6=$I$3,G5=$K$3),1,0)</f>
        <v>0</v>
      </c>
      <c r="H8" s="258">
        <f t="shared" si="3"/>
        <v>0</v>
      </c>
      <c r="I8" s="258">
        <f t="shared" si="3"/>
        <v>0</v>
      </c>
      <c r="J8" s="258">
        <f t="shared" si="3"/>
        <v>0</v>
      </c>
      <c r="K8" s="258">
        <f t="shared" si="3"/>
        <v>0</v>
      </c>
      <c r="L8" s="258">
        <f t="shared" si="3"/>
        <v>0</v>
      </c>
      <c r="M8" s="258">
        <f t="shared" si="3"/>
        <v>0</v>
      </c>
      <c r="N8" s="258">
        <f t="shared" si="3"/>
        <v>0</v>
      </c>
      <c r="O8" s="258">
        <f t="shared" si="3"/>
        <v>0</v>
      </c>
      <c r="P8" s="258">
        <f t="shared" si="3"/>
        <v>0</v>
      </c>
      <c r="Q8" s="258">
        <f t="shared" si="3"/>
        <v>0</v>
      </c>
      <c r="R8" s="258">
        <f t="shared" si="3"/>
        <v>0</v>
      </c>
      <c r="S8" s="258">
        <f t="shared" si="3"/>
        <v>0</v>
      </c>
      <c r="T8" s="258">
        <f t="shared" si="3"/>
        <v>0</v>
      </c>
      <c r="U8" s="258">
        <f t="shared" si="3"/>
        <v>1</v>
      </c>
      <c r="V8" s="258">
        <f t="shared" si="3"/>
        <v>1</v>
      </c>
      <c r="W8" s="258">
        <f t="shared" si="3"/>
        <v>1</v>
      </c>
      <c r="X8" s="258">
        <f>IF(OR(Y6=$I$3,X6=$I$3,X5=$K$3),1,0)</f>
        <v>0</v>
      </c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7"/>
      <c r="AS8" s="211"/>
      <c r="AT8" s="211"/>
      <c r="AU8" s="211"/>
      <c r="BA8" s="212"/>
      <c r="BB8" s="212"/>
      <c r="BC8" s="212"/>
      <c r="BD8" s="212"/>
      <c r="BE8" s="212"/>
      <c r="BF8" s="212"/>
      <c r="BG8" s="213"/>
      <c r="BH8" s="213"/>
      <c r="BI8" s="213"/>
      <c r="CH8" s="214"/>
      <c r="CI8" s="214"/>
    </row>
    <row r="9" spans="1:87" s="215" customFormat="1" ht="20.25" customHeight="1">
      <c r="A9" s="261"/>
      <c r="B9" s="250" t="s">
        <v>373</v>
      </c>
      <c r="C9" s="218" t="s">
        <v>488</v>
      </c>
      <c r="D9" s="218" t="s">
        <v>489</v>
      </c>
      <c r="E9" s="216">
        <f>E4-1</f>
        <v>48213</v>
      </c>
      <c r="F9" s="216">
        <f>EOMONTH(E9,3)</f>
        <v>48304</v>
      </c>
      <c r="G9" s="216">
        <f t="shared" ref="G9:V9" si="4">EOMONTH(F9,3)</f>
        <v>48395</v>
      </c>
      <c r="H9" s="216">
        <f t="shared" si="4"/>
        <v>48487</v>
      </c>
      <c r="I9" s="216">
        <f t="shared" si="4"/>
        <v>48579</v>
      </c>
      <c r="J9" s="216">
        <f t="shared" si="4"/>
        <v>48669</v>
      </c>
      <c r="K9" s="216">
        <f t="shared" si="4"/>
        <v>48760</v>
      </c>
      <c r="L9" s="216">
        <f t="shared" si="4"/>
        <v>48852</v>
      </c>
      <c r="M9" s="216">
        <f t="shared" si="4"/>
        <v>48944</v>
      </c>
      <c r="N9" s="216">
        <f t="shared" si="4"/>
        <v>49034</v>
      </c>
      <c r="O9" s="216">
        <f t="shared" si="4"/>
        <v>49125</v>
      </c>
      <c r="P9" s="216">
        <f t="shared" si="4"/>
        <v>49217</v>
      </c>
      <c r="Q9" s="216">
        <f t="shared" si="4"/>
        <v>49309</v>
      </c>
      <c r="R9" s="216">
        <f t="shared" si="4"/>
        <v>49399</v>
      </c>
      <c r="S9" s="216">
        <f t="shared" si="4"/>
        <v>49490</v>
      </c>
      <c r="T9" s="216">
        <f t="shared" si="4"/>
        <v>49582</v>
      </c>
      <c r="U9" s="216">
        <f t="shared" si="4"/>
        <v>49674</v>
      </c>
      <c r="V9" s="216">
        <f t="shared" si="4"/>
        <v>49765</v>
      </c>
      <c r="W9" s="216">
        <f>EOMONTH(V9,3)</f>
        <v>49856</v>
      </c>
      <c r="X9" s="216">
        <f>EOMONTH(W9,3)</f>
        <v>49948</v>
      </c>
      <c r="Y9" s="216">
        <f>EOMONTH(X9,3)</f>
        <v>50040</v>
      </c>
      <c r="Z9" s="216">
        <f t="shared" ref="Z9:AR9" si="5">EOMONTH(Y9,3)</f>
        <v>50130</v>
      </c>
      <c r="AA9" s="216">
        <f t="shared" si="5"/>
        <v>50221</v>
      </c>
      <c r="AB9" s="216">
        <f t="shared" si="5"/>
        <v>50313</v>
      </c>
      <c r="AC9" s="216">
        <f t="shared" si="5"/>
        <v>50405</v>
      </c>
      <c r="AD9" s="216">
        <f t="shared" si="5"/>
        <v>50495</v>
      </c>
      <c r="AE9" s="216">
        <f t="shared" si="5"/>
        <v>50586</v>
      </c>
      <c r="AF9" s="216">
        <f t="shared" si="5"/>
        <v>50678</v>
      </c>
      <c r="AG9" s="216">
        <f t="shared" si="5"/>
        <v>50770</v>
      </c>
      <c r="AH9" s="216">
        <f t="shared" si="5"/>
        <v>50860</v>
      </c>
      <c r="AI9" s="216">
        <f t="shared" si="5"/>
        <v>50951</v>
      </c>
      <c r="AJ9" s="216">
        <f t="shared" si="5"/>
        <v>51043</v>
      </c>
      <c r="AK9" s="216">
        <f t="shared" si="5"/>
        <v>51135</v>
      </c>
      <c r="AL9" s="216">
        <f t="shared" si="5"/>
        <v>51226</v>
      </c>
      <c r="AM9" s="216">
        <f t="shared" si="5"/>
        <v>51317</v>
      </c>
      <c r="AN9" s="216">
        <f t="shared" si="5"/>
        <v>51409</v>
      </c>
      <c r="AO9" s="216">
        <f t="shared" si="5"/>
        <v>51501</v>
      </c>
      <c r="AP9" s="216">
        <f t="shared" si="5"/>
        <v>51591</v>
      </c>
      <c r="AQ9" s="216">
        <f t="shared" si="5"/>
        <v>51682</v>
      </c>
      <c r="AR9" s="217">
        <f t="shared" si="5"/>
        <v>51774</v>
      </c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</row>
    <row r="10" spans="1:87" ht="20.25" customHeight="1">
      <c r="A10" s="207" t="s">
        <v>490</v>
      </c>
      <c r="B10" s="251"/>
      <c r="C10" s="220"/>
      <c r="D10" s="222"/>
      <c r="E10" s="271">
        <f>IF(E7&gt;0,NORMSDIST((E7-(($J$4)/6))/1.8),0)</f>
        <v>0</v>
      </c>
      <c r="F10" s="220">
        <f t="shared" ref="F10:X10" si="6">IF(F7&gt;0,NORMSDIST((F7-(($J$4)/6))/1.8),0)</f>
        <v>0</v>
      </c>
      <c r="G10" s="220">
        <f t="shared" si="6"/>
        <v>0</v>
      </c>
      <c r="H10" s="220">
        <f t="shared" si="6"/>
        <v>0</v>
      </c>
      <c r="I10" s="220">
        <f t="shared" si="6"/>
        <v>0</v>
      </c>
      <c r="J10" s="220">
        <f t="shared" si="6"/>
        <v>0</v>
      </c>
      <c r="K10" s="220">
        <f t="shared" si="6"/>
        <v>2.7366017862441431E-3</v>
      </c>
      <c r="L10" s="220">
        <f t="shared" si="6"/>
        <v>1.3134145691021117E-2</v>
      </c>
      <c r="M10" s="220">
        <f t="shared" si="6"/>
        <v>4.7790352272814703E-2</v>
      </c>
      <c r="N10" s="220">
        <f t="shared" si="6"/>
        <v>0.13326026290250542</v>
      </c>
      <c r="O10" s="220">
        <f t="shared" si="6"/>
        <v>0.28925736075397196</v>
      </c>
      <c r="P10" s="220">
        <f t="shared" si="6"/>
        <v>0.5</v>
      </c>
      <c r="Q10" s="220">
        <f t="shared" si="6"/>
        <v>0.7107426392460281</v>
      </c>
      <c r="R10" s="220">
        <f t="shared" si="6"/>
        <v>0.86673973709749452</v>
      </c>
      <c r="S10" s="220">
        <f t="shared" si="6"/>
        <v>0.9522096477271853</v>
      </c>
      <c r="T10" s="220">
        <f t="shared" si="6"/>
        <v>0.98686585430897888</v>
      </c>
      <c r="U10" s="220">
        <f t="shared" si="6"/>
        <v>0.99726339821375587</v>
      </c>
      <c r="V10" s="220">
        <f t="shared" si="6"/>
        <v>0.99957093966680322</v>
      </c>
      <c r="W10" s="220">
        <f t="shared" si="6"/>
        <v>0</v>
      </c>
      <c r="X10" s="220">
        <f t="shared" si="6"/>
        <v>0</v>
      </c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1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CH10" s="207"/>
      <c r="CI10" s="207"/>
    </row>
    <row r="11" spans="1:87" ht="20.25" customHeight="1">
      <c r="A11" s="207" t="s">
        <v>491</v>
      </c>
      <c r="B11" s="268">
        <f>SUM(E11:W11)</f>
        <v>0.99957093966680322</v>
      </c>
      <c r="C11" s="220">
        <f>SUM(E11:X11)</f>
        <v>0.99957093966680322</v>
      </c>
      <c r="D11" s="222"/>
      <c r="E11" s="271">
        <f>IF(E10-B10&lt;0,0,E10-B10)</f>
        <v>0</v>
      </c>
      <c r="F11" s="220">
        <f t="shared" ref="F11:X11" si="7">IF(F10-E10&lt;0,0,F10-E10)</f>
        <v>0</v>
      </c>
      <c r="G11" s="220">
        <f t="shared" si="7"/>
        <v>0</v>
      </c>
      <c r="H11" s="220">
        <f t="shared" si="7"/>
        <v>0</v>
      </c>
      <c r="I11" s="220">
        <f t="shared" si="7"/>
        <v>0</v>
      </c>
      <c r="J11" s="220">
        <f t="shared" si="7"/>
        <v>0</v>
      </c>
      <c r="K11" s="220">
        <f t="shared" si="7"/>
        <v>2.7366017862441431E-3</v>
      </c>
      <c r="L11" s="220">
        <f t="shared" si="7"/>
        <v>1.0397543904776974E-2</v>
      </c>
      <c r="M11" s="220">
        <f t="shared" si="7"/>
        <v>3.4656206581793587E-2</v>
      </c>
      <c r="N11" s="220">
        <f t="shared" si="7"/>
        <v>8.5469910629690726E-2</v>
      </c>
      <c r="O11" s="220">
        <f t="shared" si="7"/>
        <v>0.15599709785146654</v>
      </c>
      <c r="P11" s="220">
        <f t="shared" si="7"/>
        <v>0.21074263924602804</v>
      </c>
      <c r="Q11" s="220">
        <f t="shared" si="7"/>
        <v>0.2107426392460281</v>
      </c>
      <c r="R11" s="220">
        <f t="shared" si="7"/>
        <v>0.15599709785146643</v>
      </c>
      <c r="S11" s="220">
        <f t="shared" si="7"/>
        <v>8.5469910629690782E-2</v>
      </c>
      <c r="T11" s="220">
        <f t="shared" si="7"/>
        <v>3.465620658179358E-2</v>
      </c>
      <c r="U11" s="220">
        <f t="shared" si="7"/>
        <v>1.0397543904776985E-2</v>
      </c>
      <c r="V11" s="220">
        <f t="shared" si="7"/>
        <v>2.3075414530473459E-3</v>
      </c>
      <c r="W11" s="220">
        <f t="shared" si="7"/>
        <v>0</v>
      </c>
      <c r="X11" s="220">
        <f t="shared" si="7"/>
        <v>0</v>
      </c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1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CH11" s="207"/>
      <c r="CI11" s="207"/>
    </row>
    <row r="12" spans="1:87" ht="20.25" customHeight="1">
      <c r="A12" s="207" t="s">
        <v>492</v>
      </c>
      <c r="B12" s="268">
        <f>SUM(E12:W12)</f>
        <v>4.290603331967846E-4</v>
      </c>
      <c r="C12" s="220">
        <f>SUM(E12:X12)</f>
        <v>4.290603331967846E-4</v>
      </c>
      <c r="D12" s="487">
        <f>B12-C12</f>
        <v>0</v>
      </c>
      <c r="E12" s="269">
        <f t="shared" ref="E12:X12" si="8">IF(E6=$I$3,100%-E10,0)</f>
        <v>0</v>
      </c>
      <c r="F12" s="267">
        <f t="shared" si="8"/>
        <v>0</v>
      </c>
      <c r="G12" s="267">
        <f t="shared" si="8"/>
        <v>0</v>
      </c>
      <c r="H12" s="267">
        <f t="shared" si="8"/>
        <v>0</v>
      </c>
      <c r="I12" s="267">
        <f t="shared" si="8"/>
        <v>0</v>
      </c>
      <c r="J12" s="267">
        <f t="shared" si="8"/>
        <v>0</v>
      </c>
      <c r="K12" s="267">
        <f t="shared" si="8"/>
        <v>0</v>
      </c>
      <c r="L12" s="267">
        <f t="shared" si="8"/>
        <v>0</v>
      </c>
      <c r="M12" s="267">
        <f t="shared" si="8"/>
        <v>0</v>
      </c>
      <c r="N12" s="267">
        <f t="shared" si="8"/>
        <v>0</v>
      </c>
      <c r="O12" s="267">
        <f t="shared" si="8"/>
        <v>0</v>
      </c>
      <c r="P12" s="267">
        <f t="shared" si="8"/>
        <v>0</v>
      </c>
      <c r="Q12" s="267">
        <f t="shared" si="8"/>
        <v>0</v>
      </c>
      <c r="R12" s="267">
        <f t="shared" si="8"/>
        <v>0</v>
      </c>
      <c r="S12" s="267">
        <f t="shared" si="8"/>
        <v>0</v>
      </c>
      <c r="T12" s="267">
        <f t="shared" si="8"/>
        <v>0</v>
      </c>
      <c r="U12" s="267">
        <f t="shared" si="8"/>
        <v>0</v>
      </c>
      <c r="V12" s="267">
        <f t="shared" si="8"/>
        <v>4.290603331967846E-4</v>
      </c>
      <c r="W12" s="267">
        <f t="shared" si="8"/>
        <v>0</v>
      </c>
      <c r="X12" s="267">
        <f t="shared" si="8"/>
        <v>0</v>
      </c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1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CH12" s="207"/>
      <c r="CI12" s="207"/>
    </row>
    <row r="13" spans="1:87" ht="20.25" customHeight="1">
      <c r="A13" s="207" t="s">
        <v>491</v>
      </c>
      <c r="B13" s="251">
        <f>SUM(E13:W13)</f>
        <v>1</v>
      </c>
      <c r="C13" s="220">
        <f>SUM(E13:X13)</f>
        <v>1</v>
      </c>
      <c r="D13" s="222"/>
      <c r="E13" s="269">
        <f t="shared" ref="E13:X13" si="9">SUM(E11:E12)</f>
        <v>0</v>
      </c>
      <c r="F13" s="267">
        <f t="shared" si="9"/>
        <v>0</v>
      </c>
      <c r="G13" s="267">
        <f t="shared" si="9"/>
        <v>0</v>
      </c>
      <c r="H13" s="267">
        <f t="shared" si="9"/>
        <v>0</v>
      </c>
      <c r="I13" s="267">
        <f t="shared" si="9"/>
        <v>0</v>
      </c>
      <c r="J13" s="267">
        <f t="shared" si="9"/>
        <v>0</v>
      </c>
      <c r="K13" s="267">
        <f t="shared" si="9"/>
        <v>2.7366017862441431E-3</v>
      </c>
      <c r="L13" s="267">
        <f t="shared" si="9"/>
        <v>1.0397543904776974E-2</v>
      </c>
      <c r="M13" s="267">
        <f t="shared" si="9"/>
        <v>3.4656206581793587E-2</v>
      </c>
      <c r="N13" s="267">
        <f t="shared" si="9"/>
        <v>8.5469910629690726E-2</v>
      </c>
      <c r="O13" s="267">
        <f t="shared" si="9"/>
        <v>0.15599709785146654</v>
      </c>
      <c r="P13" s="267">
        <f t="shared" si="9"/>
        <v>0.21074263924602804</v>
      </c>
      <c r="Q13" s="267">
        <f t="shared" si="9"/>
        <v>0.2107426392460281</v>
      </c>
      <c r="R13" s="267">
        <f t="shared" si="9"/>
        <v>0.15599709785146643</v>
      </c>
      <c r="S13" s="267">
        <f t="shared" si="9"/>
        <v>8.5469910629690782E-2</v>
      </c>
      <c r="T13" s="267">
        <f t="shared" si="9"/>
        <v>3.465620658179358E-2</v>
      </c>
      <c r="U13" s="267">
        <f t="shared" si="9"/>
        <v>1.0397543904776985E-2</v>
      </c>
      <c r="V13" s="267">
        <f t="shared" si="9"/>
        <v>2.7366017862441305E-3</v>
      </c>
      <c r="W13" s="267">
        <f t="shared" si="9"/>
        <v>0</v>
      </c>
      <c r="X13" s="267">
        <f t="shared" si="9"/>
        <v>0</v>
      </c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1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CH13" s="207"/>
      <c r="CI13" s="207"/>
    </row>
    <row r="14" spans="1:87" s="488" customFormat="1" ht="20.25" customHeight="1">
      <c r="A14" s="1092" t="s">
        <v>387</v>
      </c>
      <c r="B14" s="764">
        <f t="shared" ref="B14:B31" si="10">SUM(E14:X14)</f>
        <v>139571441.5</v>
      </c>
      <c r="C14" s="1095">
        <f>'4-J Financial'!$B7</f>
        <v>139571441.5</v>
      </c>
      <c r="D14" s="1095">
        <f t="shared" ref="D14:D30" si="11">B14-C14</f>
        <v>0</v>
      </c>
      <c r="E14" s="1096">
        <v>0</v>
      </c>
      <c r="F14" s="1095">
        <f>$C$14*F13</f>
        <v>0</v>
      </c>
      <c r="G14" s="1095">
        <f t="shared" ref="G14:X14" si="12">$C$14*G13</f>
        <v>0</v>
      </c>
      <c r="H14" s="1095">
        <f t="shared" si="12"/>
        <v>0</v>
      </c>
      <c r="I14" s="1095">
        <f t="shared" si="12"/>
        <v>0</v>
      </c>
      <c r="J14" s="1095">
        <f t="shared" si="12"/>
        <v>0</v>
      </c>
      <c r="K14" s="1095">
        <f t="shared" si="12"/>
        <v>381951.45611756993</v>
      </c>
      <c r="L14" s="1095">
        <f t="shared" si="12"/>
        <v>1451200.1908492611</v>
      </c>
      <c r="M14" s="1095">
        <f t="shared" si="12"/>
        <v>4837016.7095427187</v>
      </c>
      <c r="N14" s="1095">
        <f t="shared" si="12"/>
        <v>11929158.631462106</v>
      </c>
      <c r="O14" s="1095">
        <f t="shared" si="12"/>
        <v>21772739.816945739</v>
      </c>
      <c r="P14" s="1095">
        <f t="shared" si="12"/>
        <v>29413653.945082609</v>
      </c>
      <c r="Q14" s="1095">
        <f t="shared" si="12"/>
        <v>29413653.945082616</v>
      </c>
      <c r="R14" s="1095">
        <f t="shared" si="12"/>
        <v>21772739.81694572</v>
      </c>
      <c r="S14" s="1095">
        <f t="shared" si="12"/>
        <v>11929158.631462116</v>
      </c>
      <c r="T14" s="1095">
        <f t="shared" si="12"/>
        <v>4837016.7095427178</v>
      </c>
      <c r="U14" s="1095">
        <f t="shared" si="12"/>
        <v>1451200.1908492625</v>
      </c>
      <c r="V14" s="1095">
        <f t="shared" si="12"/>
        <v>381951.45611756819</v>
      </c>
      <c r="W14" s="1095">
        <f t="shared" si="12"/>
        <v>0</v>
      </c>
      <c r="X14" s="1095">
        <f t="shared" si="12"/>
        <v>0</v>
      </c>
      <c r="Y14" s="1095"/>
      <c r="Z14" s="1095"/>
      <c r="AA14" s="1095"/>
      <c r="AB14" s="1095"/>
      <c r="AC14" s="1095"/>
      <c r="AD14" s="1095"/>
      <c r="AE14" s="1095"/>
      <c r="AF14" s="1095"/>
      <c r="AG14" s="1095"/>
      <c r="AH14" s="1095"/>
      <c r="AI14" s="1095"/>
      <c r="AJ14" s="1095"/>
      <c r="AK14" s="1095"/>
      <c r="AL14" s="1095"/>
      <c r="AM14" s="1095"/>
      <c r="AN14" s="1095"/>
      <c r="AO14" s="1095"/>
      <c r="AP14" s="1095"/>
      <c r="AQ14" s="1095"/>
      <c r="AR14" s="764"/>
      <c r="AS14" s="1092"/>
      <c r="AT14" s="1092"/>
      <c r="AU14" s="1092"/>
      <c r="AV14" s="1093"/>
      <c r="AW14" s="1093"/>
      <c r="AX14" s="1093"/>
      <c r="AY14" s="1093"/>
      <c r="AZ14" s="1093"/>
      <c r="BA14" s="1093"/>
      <c r="BB14" s="1093"/>
      <c r="BC14" s="1093"/>
      <c r="BD14" s="1093"/>
      <c r="BE14" s="1093"/>
      <c r="BF14" s="1093"/>
      <c r="BG14" s="1093"/>
      <c r="BH14" s="1093"/>
      <c r="BI14" s="1093"/>
      <c r="BJ14" s="1093"/>
      <c r="BK14" s="1093"/>
      <c r="BL14" s="1093"/>
      <c r="BM14" s="1093"/>
      <c r="BN14" s="1093"/>
      <c r="BO14" s="1093"/>
      <c r="BP14" s="1093"/>
      <c r="BQ14" s="1093"/>
      <c r="BR14" s="1093"/>
      <c r="BS14" s="1093"/>
      <c r="BT14" s="1093"/>
      <c r="BU14" s="1093"/>
      <c r="BV14" s="1092"/>
      <c r="BW14" s="1092"/>
      <c r="BX14" s="1092"/>
      <c r="BY14" s="1092"/>
      <c r="BZ14" s="1092"/>
      <c r="CA14" s="1092"/>
      <c r="CB14" s="1092"/>
      <c r="CC14" s="1092"/>
      <c r="CD14" s="1092"/>
      <c r="CE14" s="1092"/>
      <c r="CF14" s="1092"/>
      <c r="CG14" s="1092"/>
      <c r="CH14" s="1092"/>
      <c r="CI14" s="1092"/>
    </row>
    <row r="15" spans="1:87" ht="20.25" customHeight="1">
      <c r="A15" s="207" t="s">
        <v>77</v>
      </c>
      <c r="B15" s="224">
        <f t="shared" si="10"/>
        <v>6978572.0750000011</v>
      </c>
      <c r="C15" s="223">
        <f>'4-J Financial'!$B8</f>
        <v>6978572.0750000002</v>
      </c>
      <c r="D15" s="223">
        <f t="shared" si="11"/>
        <v>0</v>
      </c>
      <c r="E15" s="270">
        <v>0</v>
      </c>
      <c r="F15" s="223">
        <f>$C15*F$13</f>
        <v>0</v>
      </c>
      <c r="G15" s="223">
        <f t="shared" ref="G15:X15" si="13">$C15*G$13</f>
        <v>0</v>
      </c>
      <c r="H15" s="223">
        <f t="shared" si="13"/>
        <v>0</v>
      </c>
      <c r="I15" s="223">
        <f t="shared" si="13"/>
        <v>0</v>
      </c>
      <c r="J15" s="223">
        <f t="shared" si="13"/>
        <v>0</v>
      </c>
      <c r="K15" s="223">
        <f t="shared" si="13"/>
        <v>19097.572805878495</v>
      </c>
      <c r="L15" s="223">
        <f t="shared" si="13"/>
        <v>72560.009542463056</v>
      </c>
      <c r="M15" s="223">
        <f t="shared" si="13"/>
        <v>241850.83547713593</v>
      </c>
      <c r="N15" s="223">
        <f t="shared" si="13"/>
        <v>596457.93157310539</v>
      </c>
      <c r="O15" s="223">
        <f t="shared" si="13"/>
        <v>1088636.990847287</v>
      </c>
      <c r="P15" s="223">
        <f t="shared" si="13"/>
        <v>1470682.6972541304</v>
      </c>
      <c r="Q15" s="223">
        <f t="shared" si="13"/>
        <v>1470682.6972541308</v>
      </c>
      <c r="R15" s="223">
        <f t="shared" si="13"/>
        <v>1088636.9908472861</v>
      </c>
      <c r="S15" s="223">
        <f t="shared" si="13"/>
        <v>596457.93157310574</v>
      </c>
      <c r="T15" s="223">
        <f t="shared" si="13"/>
        <v>241850.8354771359</v>
      </c>
      <c r="U15" s="223">
        <f t="shared" si="13"/>
        <v>72560.009542463129</v>
      </c>
      <c r="V15" s="223">
        <f t="shared" si="13"/>
        <v>19097.572805878408</v>
      </c>
      <c r="W15" s="223">
        <f t="shared" si="13"/>
        <v>0</v>
      </c>
      <c r="X15" s="223">
        <f t="shared" si="13"/>
        <v>0</v>
      </c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4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CH15" s="207"/>
      <c r="CI15" s="207"/>
    </row>
    <row r="16" spans="1:87" ht="20.25" customHeight="1">
      <c r="A16" s="207" t="s">
        <v>389</v>
      </c>
      <c r="B16" s="224">
        <f t="shared" si="10"/>
        <v>0</v>
      </c>
      <c r="C16" s="223">
        <f>'4-J Financial'!$B9</f>
        <v>0</v>
      </c>
      <c r="D16" s="223">
        <f t="shared" si="11"/>
        <v>0</v>
      </c>
      <c r="E16" s="270">
        <v>0</v>
      </c>
      <c r="F16" s="223">
        <f>IF(AND(F$9&gt;$E$4,F$9&lt;$H$4),$C16/(($G$4)/3),0)</f>
        <v>0</v>
      </c>
      <c r="G16" s="223">
        <f t="shared" ref="G16:X16" si="14">IF(AND(G$9&gt;$E$4,G$9&lt;$H$4),$C16/(($G$4)/3),0)</f>
        <v>0</v>
      </c>
      <c r="H16" s="223">
        <f t="shared" si="14"/>
        <v>0</v>
      </c>
      <c r="I16" s="223">
        <f t="shared" si="14"/>
        <v>0</v>
      </c>
      <c r="J16" s="223">
        <f t="shared" si="14"/>
        <v>0</v>
      </c>
      <c r="K16" s="223">
        <f t="shared" si="14"/>
        <v>0</v>
      </c>
      <c r="L16" s="223">
        <f t="shared" si="14"/>
        <v>0</v>
      </c>
      <c r="M16" s="223">
        <f t="shared" si="14"/>
        <v>0</v>
      </c>
      <c r="N16" s="223">
        <f t="shared" si="14"/>
        <v>0</v>
      </c>
      <c r="O16" s="223">
        <f t="shared" si="14"/>
        <v>0</v>
      </c>
      <c r="P16" s="223">
        <f t="shared" si="14"/>
        <v>0</v>
      </c>
      <c r="Q16" s="223">
        <f t="shared" si="14"/>
        <v>0</v>
      </c>
      <c r="R16" s="223">
        <f t="shared" si="14"/>
        <v>0</v>
      </c>
      <c r="S16" s="223">
        <f t="shared" si="14"/>
        <v>0</v>
      </c>
      <c r="T16" s="223">
        <f t="shared" si="14"/>
        <v>0</v>
      </c>
      <c r="U16" s="223">
        <f t="shared" si="14"/>
        <v>0</v>
      </c>
      <c r="V16" s="223">
        <f t="shared" si="14"/>
        <v>0</v>
      </c>
      <c r="W16" s="223">
        <f t="shared" si="14"/>
        <v>0</v>
      </c>
      <c r="X16" s="223">
        <f t="shared" si="14"/>
        <v>0</v>
      </c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4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CH16" s="207"/>
      <c r="CI16" s="207"/>
    </row>
    <row r="17" spans="1:87" ht="20.25" customHeight="1">
      <c r="A17" s="207" t="s">
        <v>391</v>
      </c>
      <c r="B17" s="224">
        <f t="shared" si="10"/>
        <v>0</v>
      </c>
      <c r="C17" s="223">
        <f>'4-J Financial'!$B10</f>
        <v>0</v>
      </c>
      <c r="D17" s="223">
        <f t="shared" si="11"/>
        <v>0</v>
      </c>
      <c r="E17" s="270">
        <v>0</v>
      </c>
      <c r="F17" s="223">
        <f>IF(F6=$F$3,$C$17,0)</f>
        <v>0</v>
      </c>
      <c r="G17" s="223">
        <f t="shared" ref="G17:X17" si="15">IF(G6=$F$3,$C$17,0)</f>
        <v>0</v>
      </c>
      <c r="H17" s="223">
        <f t="shared" si="15"/>
        <v>0</v>
      </c>
      <c r="I17" s="223">
        <f t="shared" si="15"/>
        <v>0</v>
      </c>
      <c r="J17" s="223">
        <f t="shared" si="15"/>
        <v>0</v>
      </c>
      <c r="K17" s="223">
        <f t="shared" si="15"/>
        <v>0</v>
      </c>
      <c r="L17" s="223">
        <f t="shared" si="15"/>
        <v>0</v>
      </c>
      <c r="M17" s="223">
        <f t="shared" si="15"/>
        <v>0</v>
      </c>
      <c r="N17" s="223">
        <f t="shared" si="15"/>
        <v>0</v>
      </c>
      <c r="O17" s="223">
        <f t="shared" si="15"/>
        <v>0</v>
      </c>
      <c r="P17" s="223">
        <f t="shared" si="15"/>
        <v>0</v>
      </c>
      <c r="Q17" s="223">
        <f t="shared" si="15"/>
        <v>0</v>
      </c>
      <c r="R17" s="223">
        <f t="shared" si="15"/>
        <v>0</v>
      </c>
      <c r="S17" s="223">
        <f t="shared" si="15"/>
        <v>0</v>
      </c>
      <c r="T17" s="223">
        <f t="shared" si="15"/>
        <v>0</v>
      </c>
      <c r="U17" s="223">
        <f t="shared" si="15"/>
        <v>0</v>
      </c>
      <c r="V17" s="223">
        <f t="shared" si="15"/>
        <v>0</v>
      </c>
      <c r="W17" s="223">
        <f t="shared" si="15"/>
        <v>0</v>
      </c>
      <c r="X17" s="223">
        <f t="shared" si="15"/>
        <v>0</v>
      </c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4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CH17" s="207"/>
      <c r="CI17" s="207"/>
    </row>
    <row r="18" spans="1:87" ht="20.25" customHeight="1">
      <c r="A18" s="207" t="s">
        <v>393</v>
      </c>
      <c r="B18" s="224">
        <f t="shared" si="10"/>
        <v>4146666.6666666665</v>
      </c>
      <c r="C18" s="223">
        <f>'4-J Financial'!$B11</f>
        <v>4146666.666666667</v>
      </c>
      <c r="D18" s="223">
        <f t="shared" si="11"/>
        <v>0</v>
      </c>
      <c r="E18" s="270">
        <v>0</v>
      </c>
      <c r="F18" s="223">
        <f>$C18*F$13</f>
        <v>0</v>
      </c>
      <c r="G18" s="223">
        <f t="shared" ref="G18:X19" si="16">$C18*G$13</f>
        <v>0</v>
      </c>
      <c r="H18" s="223">
        <f t="shared" si="16"/>
        <v>0</v>
      </c>
      <c r="I18" s="223">
        <f t="shared" si="16"/>
        <v>0</v>
      </c>
      <c r="J18" s="223">
        <f t="shared" si="16"/>
        <v>0</v>
      </c>
      <c r="K18" s="223">
        <f t="shared" si="16"/>
        <v>11347.775406959048</v>
      </c>
      <c r="L18" s="223">
        <f t="shared" si="16"/>
        <v>43115.148725141858</v>
      </c>
      <c r="M18" s="223">
        <f t="shared" si="16"/>
        <v>143707.73662583742</v>
      </c>
      <c r="N18" s="223">
        <f t="shared" si="16"/>
        <v>354415.22941111756</v>
      </c>
      <c r="O18" s="223">
        <f t="shared" si="16"/>
        <v>646867.96575741458</v>
      </c>
      <c r="P18" s="223">
        <f t="shared" si="16"/>
        <v>873879.47740686301</v>
      </c>
      <c r="Q18" s="223">
        <f t="shared" si="16"/>
        <v>873879.47740686324</v>
      </c>
      <c r="R18" s="223">
        <f t="shared" si="16"/>
        <v>646867.96575741412</v>
      </c>
      <c r="S18" s="223">
        <f t="shared" si="16"/>
        <v>354415.22941111779</v>
      </c>
      <c r="T18" s="223">
        <f t="shared" si="16"/>
        <v>143707.73662583739</v>
      </c>
      <c r="U18" s="223">
        <f t="shared" si="16"/>
        <v>43115.148725141902</v>
      </c>
      <c r="V18" s="223">
        <f t="shared" si="16"/>
        <v>11347.775406958996</v>
      </c>
      <c r="W18" s="223">
        <f t="shared" si="16"/>
        <v>0</v>
      </c>
      <c r="X18" s="223">
        <f t="shared" si="16"/>
        <v>0</v>
      </c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4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CH18" s="207"/>
      <c r="CI18" s="207"/>
    </row>
    <row r="19" spans="1:87" ht="20.25" customHeight="1">
      <c r="A19" s="207" t="s">
        <v>79</v>
      </c>
      <c r="B19" s="224">
        <f t="shared" si="10"/>
        <v>2791428.8299999996</v>
      </c>
      <c r="C19" s="223">
        <f>'4-J Financial'!$B12</f>
        <v>2791428.83</v>
      </c>
      <c r="D19" s="223">
        <f t="shared" si="11"/>
        <v>0</v>
      </c>
      <c r="E19" s="270">
        <v>0</v>
      </c>
      <c r="F19" s="223">
        <f>$C19*F$13</f>
        <v>0</v>
      </c>
      <c r="G19" s="223">
        <f t="shared" si="16"/>
        <v>0</v>
      </c>
      <c r="H19" s="223">
        <f t="shared" si="16"/>
        <v>0</v>
      </c>
      <c r="I19" s="223">
        <f t="shared" si="16"/>
        <v>0</v>
      </c>
      <c r="J19" s="223">
        <f t="shared" si="16"/>
        <v>0</v>
      </c>
      <c r="K19" s="223">
        <f t="shared" si="16"/>
        <v>7639.0291223513987</v>
      </c>
      <c r="L19" s="223">
        <f t="shared" si="16"/>
        <v>29024.00381698522</v>
      </c>
      <c r="M19" s="223">
        <f t="shared" si="16"/>
        <v>96740.334190854381</v>
      </c>
      <c r="N19" s="223">
        <f t="shared" si="16"/>
        <v>238583.17262924215</v>
      </c>
      <c r="O19" s="223">
        <f t="shared" si="16"/>
        <v>435454.79633891478</v>
      </c>
      <c r="P19" s="223">
        <f t="shared" si="16"/>
        <v>588273.07890165213</v>
      </c>
      <c r="Q19" s="223">
        <f t="shared" si="16"/>
        <v>588273.07890165236</v>
      </c>
      <c r="R19" s="223">
        <f t="shared" si="16"/>
        <v>435454.79633891443</v>
      </c>
      <c r="S19" s="223">
        <f t="shared" si="16"/>
        <v>238583.1726292423</v>
      </c>
      <c r="T19" s="223">
        <f t="shared" si="16"/>
        <v>96740.334190854352</v>
      </c>
      <c r="U19" s="223">
        <f t="shared" si="16"/>
        <v>29024.003816985249</v>
      </c>
      <c r="V19" s="223">
        <f t="shared" si="16"/>
        <v>7639.0291223513632</v>
      </c>
      <c r="W19" s="223">
        <f t="shared" si="16"/>
        <v>0</v>
      </c>
      <c r="X19" s="223">
        <f t="shared" si="16"/>
        <v>0</v>
      </c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4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CH19" s="207"/>
      <c r="CI19" s="207"/>
    </row>
    <row r="20" spans="1:87" ht="20.25" customHeight="1">
      <c r="A20" s="207" t="s">
        <v>83</v>
      </c>
      <c r="B20" s="224">
        <f t="shared" si="10"/>
        <v>2093571.6224999996</v>
      </c>
      <c r="C20" s="223">
        <f>'4-J Financial'!$B13</f>
        <v>2093571.6224999998</v>
      </c>
      <c r="D20" s="223">
        <f t="shared" si="11"/>
        <v>0</v>
      </c>
      <c r="E20" s="270">
        <v>0</v>
      </c>
      <c r="F20" s="223">
        <f>IF(AND(F9&gt;$E$4,F9&lt;$H$4), (($C20)*60%/(($G$4)/3)),IF(OR(F7=1,F7=2,F7=3,F7=4,F7=5,F7=6),(($C20)*40%/6),0))</f>
        <v>251228.59469999996</v>
      </c>
      <c r="G20" s="223">
        <f t="shared" ref="G20:X20" si="17">IF(AND(G9&gt;$E$4,G9&lt;$H$4), (($C20)*60%/(($G$4)/3)),IF(OR(G7=1,G7=2,G7=3,G7=4,G7=5,G7=6),(($C20)*40%/6),0))</f>
        <v>251228.59469999996</v>
      </c>
      <c r="H20" s="223">
        <f t="shared" si="17"/>
        <v>251228.59469999996</v>
      </c>
      <c r="I20" s="223">
        <f t="shared" si="17"/>
        <v>251228.59469999996</v>
      </c>
      <c r="J20" s="223">
        <f t="shared" si="17"/>
        <v>251228.59469999996</v>
      </c>
      <c r="K20" s="223">
        <f t="shared" si="17"/>
        <v>139571.44149999999</v>
      </c>
      <c r="L20" s="223">
        <f t="shared" si="17"/>
        <v>139571.44149999999</v>
      </c>
      <c r="M20" s="223">
        <f t="shared" si="17"/>
        <v>139571.44149999999</v>
      </c>
      <c r="N20" s="223">
        <f t="shared" si="17"/>
        <v>139571.44149999999</v>
      </c>
      <c r="O20" s="223">
        <f t="shared" si="17"/>
        <v>139571.44149999999</v>
      </c>
      <c r="P20" s="223">
        <f t="shared" si="17"/>
        <v>139571.44149999999</v>
      </c>
      <c r="Q20" s="223">
        <f t="shared" si="17"/>
        <v>0</v>
      </c>
      <c r="R20" s="223">
        <f t="shared" si="17"/>
        <v>0</v>
      </c>
      <c r="S20" s="223">
        <f t="shared" si="17"/>
        <v>0</v>
      </c>
      <c r="T20" s="223">
        <f t="shared" si="17"/>
        <v>0</v>
      </c>
      <c r="U20" s="223">
        <f t="shared" si="17"/>
        <v>0</v>
      </c>
      <c r="V20" s="223">
        <f t="shared" si="17"/>
        <v>0</v>
      </c>
      <c r="W20" s="223">
        <f t="shared" si="17"/>
        <v>0</v>
      </c>
      <c r="X20" s="223">
        <f t="shared" si="17"/>
        <v>0</v>
      </c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4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CH20" s="207"/>
      <c r="CI20" s="207"/>
    </row>
    <row r="21" spans="1:87" ht="20.25" customHeight="1">
      <c r="A21" s="207" t="s">
        <v>84</v>
      </c>
      <c r="B21" s="224">
        <f t="shared" si="10"/>
        <v>0</v>
      </c>
      <c r="C21" s="223">
        <f>'4-J Financial'!$B14</f>
        <v>0</v>
      </c>
      <c r="D21" s="223">
        <f t="shared" si="11"/>
        <v>0</v>
      </c>
      <c r="E21" s="270">
        <v>0</v>
      </c>
      <c r="F21" s="223">
        <f>IF(F17=0,0,$C$21)</f>
        <v>0</v>
      </c>
      <c r="G21" s="223">
        <f t="shared" ref="G21:X21" si="18">IF(G17=0,0,$C$21)</f>
        <v>0</v>
      </c>
      <c r="H21" s="223">
        <f t="shared" si="18"/>
        <v>0</v>
      </c>
      <c r="I21" s="223">
        <f t="shared" si="18"/>
        <v>0</v>
      </c>
      <c r="J21" s="223">
        <f t="shared" si="18"/>
        <v>0</v>
      </c>
      <c r="K21" s="223">
        <f t="shared" si="18"/>
        <v>0</v>
      </c>
      <c r="L21" s="223">
        <f t="shared" si="18"/>
        <v>0</v>
      </c>
      <c r="M21" s="223">
        <f t="shared" si="18"/>
        <v>0</v>
      </c>
      <c r="N21" s="223">
        <f t="shared" si="18"/>
        <v>0</v>
      </c>
      <c r="O21" s="223">
        <f t="shared" si="18"/>
        <v>0</v>
      </c>
      <c r="P21" s="223">
        <f t="shared" si="18"/>
        <v>0</v>
      </c>
      <c r="Q21" s="223">
        <f t="shared" si="18"/>
        <v>0</v>
      </c>
      <c r="R21" s="223">
        <f t="shared" si="18"/>
        <v>0</v>
      </c>
      <c r="S21" s="223">
        <f t="shared" si="18"/>
        <v>0</v>
      </c>
      <c r="T21" s="223">
        <f t="shared" si="18"/>
        <v>0</v>
      </c>
      <c r="U21" s="223">
        <f t="shared" si="18"/>
        <v>0</v>
      </c>
      <c r="V21" s="223">
        <f t="shared" si="18"/>
        <v>0</v>
      </c>
      <c r="W21" s="223">
        <f t="shared" si="18"/>
        <v>0</v>
      </c>
      <c r="X21" s="223">
        <f t="shared" si="18"/>
        <v>0</v>
      </c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4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CH21" s="207"/>
      <c r="CI21" s="207"/>
    </row>
    <row r="22" spans="1:87" ht="20.25" customHeight="1">
      <c r="A22" s="207" t="s">
        <v>85</v>
      </c>
      <c r="B22" s="224">
        <f t="shared" si="10"/>
        <v>2791428.8299999996</v>
      </c>
      <c r="C22" s="223">
        <f>'4-J Financial'!$B15</f>
        <v>2791428.83</v>
      </c>
      <c r="D22" s="223">
        <f t="shared" si="11"/>
        <v>0</v>
      </c>
      <c r="E22" s="270">
        <v>0</v>
      </c>
      <c r="F22" s="223">
        <f>IF(AND(F9&gt;$E$4,F9&lt;$H$4), (($C22)*60%/(($G$4)/3)),IF(OR(F7=1,F7=2,F7=3,F7=4,F7=5,F7=6),(($C22)*40%/6),0))</f>
        <v>334971.4596</v>
      </c>
      <c r="G22" s="223">
        <f t="shared" ref="G22:X22" si="19">IF(AND(G9&gt;$E$4,G9&lt;$H$4), (($C22)*60%/(($G$4)/3)),IF(OR(G7=1,G7=2,G7=3,G7=4,G7=5,G7=6),(($C22)*40%/6),0))</f>
        <v>334971.4596</v>
      </c>
      <c r="H22" s="223">
        <f t="shared" si="19"/>
        <v>334971.4596</v>
      </c>
      <c r="I22" s="223">
        <f t="shared" si="19"/>
        <v>334971.4596</v>
      </c>
      <c r="J22" s="223">
        <f t="shared" si="19"/>
        <v>334971.4596</v>
      </c>
      <c r="K22" s="223">
        <f t="shared" si="19"/>
        <v>186095.25533333336</v>
      </c>
      <c r="L22" s="223">
        <f t="shared" si="19"/>
        <v>186095.25533333336</v>
      </c>
      <c r="M22" s="223">
        <f t="shared" si="19"/>
        <v>186095.25533333336</v>
      </c>
      <c r="N22" s="223">
        <f t="shared" si="19"/>
        <v>186095.25533333336</v>
      </c>
      <c r="O22" s="223">
        <f t="shared" si="19"/>
        <v>186095.25533333336</v>
      </c>
      <c r="P22" s="223">
        <f t="shared" si="19"/>
        <v>186095.25533333336</v>
      </c>
      <c r="Q22" s="223">
        <f t="shared" si="19"/>
        <v>0</v>
      </c>
      <c r="R22" s="223">
        <f t="shared" si="19"/>
        <v>0</v>
      </c>
      <c r="S22" s="223">
        <f t="shared" si="19"/>
        <v>0</v>
      </c>
      <c r="T22" s="223">
        <f t="shared" si="19"/>
        <v>0</v>
      </c>
      <c r="U22" s="223">
        <f t="shared" si="19"/>
        <v>0</v>
      </c>
      <c r="V22" s="223">
        <f t="shared" si="19"/>
        <v>0</v>
      </c>
      <c r="W22" s="223">
        <f t="shared" si="19"/>
        <v>0</v>
      </c>
      <c r="X22" s="223">
        <f t="shared" si="19"/>
        <v>0</v>
      </c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4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CH22" s="207"/>
      <c r="CI22" s="207"/>
    </row>
    <row r="23" spans="1:87" ht="20.25" customHeight="1">
      <c r="A23" s="207" t="s">
        <v>86</v>
      </c>
      <c r="B23" s="224">
        <f t="shared" si="10"/>
        <v>4885000.4525000006</v>
      </c>
      <c r="C23" s="223">
        <f>'4-J Financial'!$B16</f>
        <v>4885000.4525000006</v>
      </c>
      <c r="D23" s="223">
        <f t="shared" si="11"/>
        <v>0</v>
      </c>
      <c r="E23" s="270">
        <v>0</v>
      </c>
      <c r="F23" s="223">
        <f>IF(AND(F$9&gt;$F$4,F9&lt;$K$4),$C23/(($J$4)/3),0)</f>
        <v>0</v>
      </c>
      <c r="G23" s="223">
        <f t="shared" ref="G23:X23" si="20">IF(AND(G$9&gt;$F$4,G9&lt;$K$4),$C23/(($J$4)/3),0)</f>
        <v>0</v>
      </c>
      <c r="H23" s="223">
        <f t="shared" si="20"/>
        <v>0</v>
      </c>
      <c r="I23" s="223">
        <f t="shared" si="20"/>
        <v>0</v>
      </c>
      <c r="J23" s="223">
        <f t="shared" si="20"/>
        <v>0</v>
      </c>
      <c r="K23" s="223">
        <f t="shared" si="20"/>
        <v>407083.37104166672</v>
      </c>
      <c r="L23" s="223">
        <f t="shared" si="20"/>
        <v>407083.37104166672</v>
      </c>
      <c r="M23" s="223">
        <f t="shared" si="20"/>
        <v>407083.37104166672</v>
      </c>
      <c r="N23" s="223">
        <f t="shared" si="20"/>
        <v>407083.37104166672</v>
      </c>
      <c r="O23" s="223">
        <f t="shared" si="20"/>
        <v>407083.37104166672</v>
      </c>
      <c r="P23" s="223">
        <f t="shared" si="20"/>
        <v>407083.37104166672</v>
      </c>
      <c r="Q23" s="223">
        <f t="shared" si="20"/>
        <v>407083.37104166672</v>
      </c>
      <c r="R23" s="223">
        <f t="shared" si="20"/>
        <v>407083.37104166672</v>
      </c>
      <c r="S23" s="223">
        <f t="shared" si="20"/>
        <v>407083.37104166672</v>
      </c>
      <c r="T23" s="223">
        <f t="shared" si="20"/>
        <v>407083.37104166672</v>
      </c>
      <c r="U23" s="223">
        <f t="shared" si="20"/>
        <v>407083.37104166672</v>
      </c>
      <c r="V23" s="223">
        <f t="shared" si="20"/>
        <v>407083.37104166672</v>
      </c>
      <c r="W23" s="223">
        <f t="shared" si="20"/>
        <v>0</v>
      </c>
      <c r="X23" s="223">
        <f t="shared" si="20"/>
        <v>0</v>
      </c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4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CH23" s="207"/>
      <c r="CI23" s="207"/>
    </row>
    <row r="24" spans="1:87" ht="20.25" customHeight="1">
      <c r="A24" s="207" t="s">
        <v>88</v>
      </c>
      <c r="B24" s="224">
        <f t="shared" si="10"/>
        <v>2791428.83</v>
      </c>
      <c r="C24" s="223">
        <f>'4-J Financial'!$B17</f>
        <v>2791428.83</v>
      </c>
      <c r="D24" s="223">
        <f t="shared" si="11"/>
        <v>0</v>
      </c>
      <c r="E24" s="270">
        <v>0</v>
      </c>
      <c r="F24" s="223">
        <f>IF(AND(F$9&gt;$F$4,F$9&lt;$K$4),$C24/(($J$4)/3),0)</f>
        <v>0</v>
      </c>
      <c r="G24" s="223">
        <f t="shared" ref="G24:X24" si="21">IF(AND(G$9&gt;$F$4,G$9&lt;$K$4),$C24/(($J$4)/3),0)</f>
        <v>0</v>
      </c>
      <c r="H24" s="223">
        <f t="shared" si="21"/>
        <v>0</v>
      </c>
      <c r="I24" s="223">
        <f t="shared" si="21"/>
        <v>0</v>
      </c>
      <c r="J24" s="223">
        <f t="shared" si="21"/>
        <v>0</v>
      </c>
      <c r="K24" s="223">
        <f t="shared" si="21"/>
        <v>232619.06916666668</v>
      </c>
      <c r="L24" s="223">
        <f t="shared" si="21"/>
        <v>232619.06916666668</v>
      </c>
      <c r="M24" s="223">
        <f t="shared" si="21"/>
        <v>232619.06916666668</v>
      </c>
      <c r="N24" s="223">
        <f t="shared" si="21"/>
        <v>232619.06916666668</v>
      </c>
      <c r="O24" s="223">
        <f t="shared" si="21"/>
        <v>232619.06916666668</v>
      </c>
      <c r="P24" s="223">
        <f t="shared" si="21"/>
        <v>232619.06916666668</v>
      </c>
      <c r="Q24" s="223">
        <f t="shared" si="21"/>
        <v>232619.06916666668</v>
      </c>
      <c r="R24" s="223">
        <f t="shared" si="21"/>
        <v>232619.06916666668</v>
      </c>
      <c r="S24" s="223">
        <f t="shared" si="21"/>
        <v>232619.06916666668</v>
      </c>
      <c r="T24" s="223">
        <f t="shared" si="21"/>
        <v>232619.06916666668</v>
      </c>
      <c r="U24" s="223">
        <f t="shared" si="21"/>
        <v>232619.06916666668</v>
      </c>
      <c r="V24" s="223">
        <f t="shared" si="21"/>
        <v>232619.06916666668</v>
      </c>
      <c r="W24" s="223">
        <f t="shared" si="21"/>
        <v>0</v>
      </c>
      <c r="X24" s="223">
        <f t="shared" si="21"/>
        <v>0</v>
      </c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4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CH24" s="207"/>
      <c r="CI24" s="207"/>
    </row>
    <row r="25" spans="1:87" ht="20.25" customHeight="1">
      <c r="A25" s="207" t="s">
        <v>93</v>
      </c>
      <c r="B25" s="224">
        <f t="shared" si="10"/>
        <v>6978572.0750000011</v>
      </c>
      <c r="C25" s="223">
        <f>'4-J Financial'!$B18</f>
        <v>6978572.0750000002</v>
      </c>
      <c r="D25" s="223">
        <f t="shared" si="11"/>
        <v>0</v>
      </c>
      <c r="E25" s="270">
        <v>0</v>
      </c>
      <c r="F25" s="223">
        <f>$C25*F$13</f>
        <v>0</v>
      </c>
      <c r="G25" s="223">
        <f t="shared" ref="G25:X25" si="22">$C25*G$13</f>
        <v>0</v>
      </c>
      <c r="H25" s="223">
        <f t="shared" si="22"/>
        <v>0</v>
      </c>
      <c r="I25" s="223">
        <f t="shared" si="22"/>
        <v>0</v>
      </c>
      <c r="J25" s="223">
        <f t="shared" si="22"/>
        <v>0</v>
      </c>
      <c r="K25" s="223">
        <f t="shared" si="22"/>
        <v>19097.572805878495</v>
      </c>
      <c r="L25" s="223">
        <f t="shared" si="22"/>
        <v>72560.009542463056</v>
      </c>
      <c r="M25" s="223">
        <f t="shared" si="22"/>
        <v>241850.83547713593</v>
      </c>
      <c r="N25" s="223">
        <f t="shared" si="22"/>
        <v>596457.93157310539</v>
      </c>
      <c r="O25" s="223">
        <f t="shared" si="22"/>
        <v>1088636.990847287</v>
      </c>
      <c r="P25" s="223">
        <f t="shared" si="22"/>
        <v>1470682.6972541304</v>
      </c>
      <c r="Q25" s="223">
        <f t="shared" si="22"/>
        <v>1470682.6972541308</v>
      </c>
      <c r="R25" s="223">
        <f t="shared" si="22"/>
        <v>1088636.9908472861</v>
      </c>
      <c r="S25" s="223">
        <f t="shared" si="22"/>
        <v>596457.93157310574</v>
      </c>
      <c r="T25" s="223">
        <f t="shared" si="22"/>
        <v>241850.8354771359</v>
      </c>
      <c r="U25" s="223">
        <f t="shared" si="22"/>
        <v>72560.009542463129</v>
      </c>
      <c r="V25" s="223">
        <f t="shared" si="22"/>
        <v>19097.572805878408</v>
      </c>
      <c r="W25" s="223">
        <f t="shared" si="22"/>
        <v>0</v>
      </c>
      <c r="X25" s="223">
        <f t="shared" si="22"/>
        <v>0</v>
      </c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4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CH25" s="207"/>
      <c r="CI25" s="207"/>
    </row>
    <row r="26" spans="1:87" ht="20.25" customHeight="1">
      <c r="A26" s="207" t="s">
        <v>97</v>
      </c>
      <c r="B26" s="224">
        <f t="shared" si="10"/>
        <v>2093571.6225000001</v>
      </c>
      <c r="C26" s="223">
        <f>'4-J Financial'!$B19</f>
        <v>2093571.6224999998</v>
      </c>
      <c r="D26" s="223">
        <f t="shared" si="11"/>
        <v>0</v>
      </c>
      <c r="E26" s="270">
        <v>0</v>
      </c>
      <c r="F26" s="273">
        <f>IF(AND(F9&gt;$E$4,F9&lt;$H$4),(($C26)*20%/(($G$4)/3)),IF((F7=1),(($C26)*80%),0))</f>
        <v>83742.8649</v>
      </c>
      <c r="G26" s="273">
        <f t="shared" ref="G26:X26" si="23">IF(AND(G9&gt;$E$4,G9&lt;$H$4),(($C26)*20%/(($G$4)/3)),IF((G7=1),(($C26)*80%),0))</f>
        <v>83742.8649</v>
      </c>
      <c r="H26" s="273">
        <f t="shared" si="23"/>
        <v>83742.8649</v>
      </c>
      <c r="I26" s="273">
        <f t="shared" si="23"/>
        <v>83742.8649</v>
      </c>
      <c r="J26" s="273">
        <f t="shared" si="23"/>
        <v>83742.8649</v>
      </c>
      <c r="K26" s="273">
        <f t="shared" si="23"/>
        <v>1674857.298</v>
      </c>
      <c r="L26" s="273">
        <f t="shared" si="23"/>
        <v>0</v>
      </c>
      <c r="M26" s="273">
        <f t="shared" si="23"/>
        <v>0</v>
      </c>
      <c r="N26" s="273">
        <f t="shared" si="23"/>
        <v>0</v>
      </c>
      <c r="O26" s="273">
        <f t="shared" si="23"/>
        <v>0</v>
      </c>
      <c r="P26" s="273">
        <f t="shared" si="23"/>
        <v>0</v>
      </c>
      <c r="Q26" s="273">
        <f t="shared" si="23"/>
        <v>0</v>
      </c>
      <c r="R26" s="273">
        <f t="shared" si="23"/>
        <v>0</v>
      </c>
      <c r="S26" s="273">
        <f t="shared" si="23"/>
        <v>0</v>
      </c>
      <c r="T26" s="273">
        <f t="shared" si="23"/>
        <v>0</v>
      </c>
      <c r="U26" s="273">
        <f t="shared" si="23"/>
        <v>0</v>
      </c>
      <c r="V26" s="273">
        <f t="shared" si="23"/>
        <v>0</v>
      </c>
      <c r="W26" s="273">
        <f t="shared" si="23"/>
        <v>0</v>
      </c>
      <c r="X26" s="273">
        <f t="shared" si="23"/>
        <v>0</v>
      </c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4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CH26" s="207"/>
      <c r="CI26" s="207"/>
    </row>
    <row r="27" spans="1:87" ht="20.25" customHeight="1">
      <c r="A27" s="207" t="s">
        <v>100</v>
      </c>
      <c r="B27" s="224">
        <f t="shared" si="10"/>
        <v>200000</v>
      </c>
      <c r="C27" s="223">
        <f>'4-J Financial'!$B20</f>
        <v>200000</v>
      </c>
      <c r="D27" s="223">
        <f t="shared" si="11"/>
        <v>0</v>
      </c>
      <c r="E27" s="270">
        <v>0</v>
      </c>
      <c r="F27" s="223">
        <f>IF(F$8=1,$C27/COUNTIF($E$8:$X$8,"1"),0)</f>
        <v>0</v>
      </c>
      <c r="G27" s="223">
        <f t="shared" ref="G27:X27" si="24">IF(G$8=1,$C27/COUNTIF($E$8:$X$8,"1"),0)</f>
        <v>0</v>
      </c>
      <c r="H27" s="223">
        <f>IF(H$8=1,$C27/COUNTIF($E$8:$X$8,"1"),0)</f>
        <v>0</v>
      </c>
      <c r="I27" s="223">
        <f t="shared" si="24"/>
        <v>0</v>
      </c>
      <c r="J27" s="223">
        <f t="shared" si="24"/>
        <v>0</v>
      </c>
      <c r="K27" s="223">
        <f t="shared" si="24"/>
        <v>0</v>
      </c>
      <c r="L27" s="223">
        <f t="shared" si="24"/>
        <v>0</v>
      </c>
      <c r="M27" s="223">
        <f t="shared" si="24"/>
        <v>0</v>
      </c>
      <c r="N27" s="223">
        <f t="shared" si="24"/>
        <v>0</v>
      </c>
      <c r="O27" s="223">
        <f t="shared" si="24"/>
        <v>0</v>
      </c>
      <c r="P27" s="223">
        <f t="shared" si="24"/>
        <v>0</v>
      </c>
      <c r="Q27" s="223">
        <f t="shared" si="24"/>
        <v>0</v>
      </c>
      <c r="R27" s="223">
        <f t="shared" si="24"/>
        <v>0</v>
      </c>
      <c r="S27" s="223">
        <f t="shared" si="24"/>
        <v>0</v>
      </c>
      <c r="T27" s="223">
        <f t="shared" si="24"/>
        <v>0</v>
      </c>
      <c r="U27" s="223">
        <f t="shared" si="24"/>
        <v>66666.666666666672</v>
      </c>
      <c r="V27" s="223">
        <f t="shared" si="24"/>
        <v>66666.666666666672</v>
      </c>
      <c r="W27" s="223">
        <f t="shared" si="24"/>
        <v>66666.666666666672</v>
      </c>
      <c r="X27" s="223">
        <f t="shared" si="24"/>
        <v>0</v>
      </c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4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CH27" s="207"/>
      <c r="CI27" s="207"/>
    </row>
    <row r="28" spans="1:87" ht="20.25" customHeight="1">
      <c r="A28" s="207" t="s">
        <v>103</v>
      </c>
      <c r="B28" s="224">
        <f t="shared" si="10"/>
        <v>3915108.4560000002</v>
      </c>
      <c r="C28" s="223">
        <f>'4-J Financial'!$B21</f>
        <v>3915108.4560000002</v>
      </c>
      <c r="D28" s="223">
        <f t="shared" si="11"/>
        <v>0</v>
      </c>
      <c r="E28" s="270">
        <v>0</v>
      </c>
      <c r="F28" s="223">
        <f>IF(AND(F9&gt;$I$4,F9&lt;=$L$4),$C28/(($M$4)/3),0)</f>
        <v>0</v>
      </c>
      <c r="G28" s="223">
        <f t="shared" ref="G28:X28" si="25">IF(AND(G9&gt;$I$4,G9&lt;=$L$4),$C28/(($M$4)/3),0)</f>
        <v>0</v>
      </c>
      <c r="H28" s="223">
        <f t="shared" si="25"/>
        <v>0</v>
      </c>
      <c r="I28" s="223">
        <f t="shared" si="25"/>
        <v>0</v>
      </c>
      <c r="J28" s="223">
        <f t="shared" si="25"/>
        <v>0</v>
      </c>
      <c r="K28" s="223">
        <f t="shared" si="25"/>
        <v>0</v>
      </c>
      <c r="L28" s="223">
        <f t="shared" si="25"/>
        <v>0</v>
      </c>
      <c r="M28" s="223">
        <f t="shared" si="25"/>
        <v>0</v>
      </c>
      <c r="N28" s="223">
        <f t="shared" si="25"/>
        <v>0</v>
      </c>
      <c r="O28" s="223">
        <f t="shared" si="25"/>
        <v>0</v>
      </c>
      <c r="P28" s="223">
        <f t="shared" si="25"/>
        <v>0</v>
      </c>
      <c r="Q28" s="223">
        <f t="shared" si="25"/>
        <v>0</v>
      </c>
      <c r="R28" s="223">
        <f t="shared" si="25"/>
        <v>0</v>
      </c>
      <c r="S28" s="223">
        <f t="shared" si="25"/>
        <v>0</v>
      </c>
      <c r="T28" s="223">
        <f t="shared" si="25"/>
        <v>0</v>
      </c>
      <c r="U28" s="223">
        <f t="shared" si="25"/>
        <v>0</v>
      </c>
      <c r="V28" s="223">
        <f t="shared" si="25"/>
        <v>0</v>
      </c>
      <c r="W28" s="223">
        <f t="shared" si="25"/>
        <v>1957554.2280000001</v>
      </c>
      <c r="X28" s="223">
        <f t="shared" si="25"/>
        <v>1957554.2280000001</v>
      </c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4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CH28" s="207"/>
      <c r="CI28" s="207"/>
    </row>
    <row r="29" spans="1:87" ht="20.25" customHeight="1">
      <c r="A29" s="207" t="s">
        <v>106</v>
      </c>
      <c r="B29" s="224">
        <f t="shared" si="10"/>
        <v>7401479.5500000007</v>
      </c>
      <c r="C29" s="223">
        <f>'4-J Financial'!$B22</f>
        <v>7401479.5499999998</v>
      </c>
      <c r="D29" s="223">
        <f t="shared" si="11"/>
        <v>0</v>
      </c>
      <c r="E29" s="270">
        <v>0</v>
      </c>
      <c r="F29" s="223">
        <f>IF(F$8=1,$C29/COUNTIF($E$8:$X$8,"1"),0)</f>
        <v>0</v>
      </c>
      <c r="G29" s="223">
        <f t="shared" ref="G29:X29" si="26">IF(G$8=1,$C29/COUNTIF($E$8:$X$8,"1"),0)</f>
        <v>0</v>
      </c>
      <c r="H29" s="223">
        <f t="shared" si="26"/>
        <v>0</v>
      </c>
      <c r="I29" s="223">
        <f t="shared" si="26"/>
        <v>0</v>
      </c>
      <c r="J29" s="223">
        <f t="shared" si="26"/>
        <v>0</v>
      </c>
      <c r="K29" s="223">
        <f t="shared" si="26"/>
        <v>0</v>
      </c>
      <c r="L29" s="223">
        <f t="shared" si="26"/>
        <v>0</v>
      </c>
      <c r="M29" s="223">
        <f t="shared" si="26"/>
        <v>0</v>
      </c>
      <c r="N29" s="223">
        <f t="shared" si="26"/>
        <v>0</v>
      </c>
      <c r="O29" s="223">
        <f t="shared" si="26"/>
        <v>0</v>
      </c>
      <c r="P29" s="223">
        <f t="shared" si="26"/>
        <v>0</v>
      </c>
      <c r="Q29" s="223">
        <f t="shared" si="26"/>
        <v>0</v>
      </c>
      <c r="R29" s="223">
        <f t="shared" si="26"/>
        <v>0</v>
      </c>
      <c r="S29" s="223">
        <f t="shared" si="26"/>
        <v>0</v>
      </c>
      <c r="T29" s="223">
        <f t="shared" si="26"/>
        <v>0</v>
      </c>
      <c r="U29" s="223">
        <f t="shared" si="26"/>
        <v>2467159.85</v>
      </c>
      <c r="V29" s="223">
        <f t="shared" si="26"/>
        <v>2467159.85</v>
      </c>
      <c r="W29" s="223">
        <f t="shared" si="26"/>
        <v>2467159.85</v>
      </c>
      <c r="X29" s="223">
        <f t="shared" si="26"/>
        <v>0</v>
      </c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4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CH29" s="207"/>
      <c r="CI29" s="207"/>
    </row>
    <row r="30" spans="1:87" ht="20.25" customHeight="1">
      <c r="A30" s="207" t="s">
        <v>403</v>
      </c>
      <c r="B30" s="224">
        <f t="shared" si="10"/>
        <v>236847.34559999997</v>
      </c>
      <c r="C30" s="223">
        <f>'4-J Financial'!$B23</f>
        <v>236847.34559999997</v>
      </c>
      <c r="D30" s="223">
        <f t="shared" si="11"/>
        <v>0</v>
      </c>
      <c r="E30" s="270">
        <v>0</v>
      </c>
      <c r="F30" s="223">
        <f>IF(AND(F$9&gt;$I$4,F$9&lt;$L$4),$C30,0)</f>
        <v>0</v>
      </c>
      <c r="G30" s="223">
        <f t="shared" ref="G30:X30" si="27">IF(AND(G$9&gt;$I$4,G$9&lt;$L$4),$C30,0)</f>
        <v>0</v>
      </c>
      <c r="H30" s="223">
        <f t="shared" si="27"/>
        <v>0</v>
      </c>
      <c r="I30" s="223">
        <f t="shared" si="27"/>
        <v>0</v>
      </c>
      <c r="J30" s="223">
        <f t="shared" si="27"/>
        <v>0</v>
      </c>
      <c r="K30" s="223">
        <f t="shared" si="27"/>
        <v>0</v>
      </c>
      <c r="L30" s="223">
        <f t="shared" si="27"/>
        <v>0</v>
      </c>
      <c r="M30" s="223">
        <f t="shared" si="27"/>
        <v>0</v>
      </c>
      <c r="N30" s="223">
        <f t="shared" si="27"/>
        <v>0</v>
      </c>
      <c r="O30" s="223">
        <f t="shared" si="27"/>
        <v>0</v>
      </c>
      <c r="P30" s="223">
        <f t="shared" si="27"/>
        <v>0</v>
      </c>
      <c r="Q30" s="223">
        <f t="shared" si="27"/>
        <v>0</v>
      </c>
      <c r="R30" s="223">
        <f t="shared" si="27"/>
        <v>0</v>
      </c>
      <c r="S30" s="223">
        <f t="shared" si="27"/>
        <v>0</v>
      </c>
      <c r="T30" s="223">
        <f t="shared" si="27"/>
        <v>0</v>
      </c>
      <c r="U30" s="223">
        <f t="shared" si="27"/>
        <v>0</v>
      </c>
      <c r="V30" s="223">
        <f t="shared" si="27"/>
        <v>0</v>
      </c>
      <c r="W30" s="223">
        <f t="shared" si="27"/>
        <v>236847.34559999997</v>
      </c>
      <c r="X30" s="223">
        <f t="shared" si="27"/>
        <v>0</v>
      </c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4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CH30" s="207"/>
      <c r="CI30" s="207"/>
    </row>
    <row r="31" spans="1:87" ht="20.25" customHeight="1">
      <c r="A31" s="207" t="s">
        <v>112</v>
      </c>
      <c r="B31" s="224">
        <f t="shared" si="10"/>
        <v>690876.56421149988</v>
      </c>
      <c r="C31" s="223">
        <f>'4-J Financial'!$B24</f>
        <v>690876.56421149999</v>
      </c>
      <c r="D31" s="223">
        <f t="shared" ref="D31" si="28">B31-C31</f>
        <v>0</v>
      </c>
      <c r="E31" s="270">
        <v>0</v>
      </c>
      <c r="F31" s="223">
        <f t="shared" ref="F31:X31" si="29">IF(F$13&gt;0,$C31/(($J$4)/3),0)</f>
        <v>0</v>
      </c>
      <c r="G31" s="223">
        <f t="shared" si="29"/>
        <v>0</v>
      </c>
      <c r="H31" s="223">
        <f t="shared" si="29"/>
        <v>0</v>
      </c>
      <c r="I31" s="223">
        <f t="shared" si="29"/>
        <v>0</v>
      </c>
      <c r="J31" s="223">
        <f t="shared" si="29"/>
        <v>0</v>
      </c>
      <c r="K31" s="223">
        <f t="shared" si="29"/>
        <v>57573.047017625002</v>
      </c>
      <c r="L31" s="223">
        <f t="shared" si="29"/>
        <v>57573.047017625002</v>
      </c>
      <c r="M31" s="223">
        <f t="shared" si="29"/>
        <v>57573.047017625002</v>
      </c>
      <c r="N31" s="223">
        <f t="shared" si="29"/>
        <v>57573.047017625002</v>
      </c>
      <c r="O31" s="223">
        <f t="shared" si="29"/>
        <v>57573.047017625002</v>
      </c>
      <c r="P31" s="223">
        <f t="shared" si="29"/>
        <v>57573.047017625002</v>
      </c>
      <c r="Q31" s="223">
        <f t="shared" si="29"/>
        <v>57573.047017625002</v>
      </c>
      <c r="R31" s="223">
        <f t="shared" si="29"/>
        <v>57573.047017625002</v>
      </c>
      <c r="S31" s="223">
        <f t="shared" si="29"/>
        <v>57573.047017625002</v>
      </c>
      <c r="T31" s="223">
        <f t="shared" si="29"/>
        <v>57573.047017625002</v>
      </c>
      <c r="U31" s="223">
        <f t="shared" si="29"/>
        <v>57573.047017625002</v>
      </c>
      <c r="V31" s="223">
        <f t="shared" si="29"/>
        <v>57573.047017625002</v>
      </c>
      <c r="W31" s="223">
        <f t="shared" si="29"/>
        <v>0</v>
      </c>
      <c r="X31" s="223">
        <f t="shared" si="29"/>
        <v>0</v>
      </c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CH31" s="207"/>
      <c r="CI31" s="207"/>
    </row>
    <row r="32" spans="1:87" ht="20.25" customHeight="1">
      <c r="A32" s="207" t="s">
        <v>165</v>
      </c>
      <c r="B32" s="224">
        <f>SUM(E32:X32)</f>
        <v>-3499999.9999999995</v>
      </c>
      <c r="C32" s="223">
        <f>'4-J Financial'!$B25</f>
        <v>-3500000</v>
      </c>
      <c r="D32" s="223">
        <f>B32-C32</f>
        <v>0</v>
      </c>
      <c r="E32" s="270">
        <v>0</v>
      </c>
      <c r="F32" s="223">
        <f>$C32*F$13</f>
        <v>0</v>
      </c>
      <c r="G32" s="223">
        <f t="shared" ref="G32:X32" si="30">$C32*G$13</f>
        <v>0</v>
      </c>
      <c r="H32" s="223">
        <f t="shared" si="30"/>
        <v>0</v>
      </c>
      <c r="I32" s="223">
        <f t="shared" si="30"/>
        <v>0</v>
      </c>
      <c r="J32" s="223">
        <f t="shared" si="30"/>
        <v>0</v>
      </c>
      <c r="K32" s="223">
        <f t="shared" si="30"/>
        <v>-9578.1062518545004</v>
      </c>
      <c r="L32" s="223">
        <f t="shared" si="30"/>
        <v>-36391.403666719409</v>
      </c>
      <c r="M32" s="223">
        <f t="shared" si="30"/>
        <v>-121296.72303627756</v>
      </c>
      <c r="N32" s="223">
        <f t="shared" si="30"/>
        <v>-299144.68720391754</v>
      </c>
      <c r="O32" s="223">
        <f t="shared" si="30"/>
        <v>-545989.84248013294</v>
      </c>
      <c r="P32" s="223">
        <f t="shared" si="30"/>
        <v>-737599.23736109817</v>
      </c>
      <c r="Q32" s="223">
        <f t="shared" si="30"/>
        <v>-737599.23736109829</v>
      </c>
      <c r="R32" s="223">
        <f t="shared" si="30"/>
        <v>-545989.84248013247</v>
      </c>
      <c r="S32" s="223">
        <f t="shared" si="30"/>
        <v>-299144.68720391771</v>
      </c>
      <c r="T32" s="223">
        <f t="shared" si="30"/>
        <v>-121296.72303627753</v>
      </c>
      <c r="U32" s="223">
        <f t="shared" si="30"/>
        <v>-36391.403666719445</v>
      </c>
      <c r="V32" s="223">
        <f t="shared" si="30"/>
        <v>-9578.1062518544568</v>
      </c>
      <c r="W32" s="223">
        <f t="shared" si="30"/>
        <v>0</v>
      </c>
      <c r="X32" s="223">
        <f t="shared" si="30"/>
        <v>0</v>
      </c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4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CH32" s="207"/>
      <c r="CI32" s="207"/>
    </row>
    <row r="33" spans="1:87" ht="20.25" customHeight="1">
      <c r="A33" s="207" t="s">
        <v>38</v>
      </c>
      <c r="B33" s="224">
        <f ca="1">SUM(E33:X33)</f>
        <v>580000</v>
      </c>
      <c r="C33" s="223">
        <f>'4-J Financial'!$B26</f>
        <v>580000</v>
      </c>
      <c r="D33" s="223">
        <f ca="1">B33-C33</f>
        <v>0</v>
      </c>
      <c r="E33" s="270">
        <v>0</v>
      </c>
      <c r="F33" s="223">
        <f t="shared" ref="F33" ca="1" si="31">IF(AND(G39&gt;0,F39=0),$C$33,0)</f>
        <v>0</v>
      </c>
      <c r="G33" s="223">
        <f t="shared" ref="G33:X33" ca="1" si="32">IF(AND(H39&gt;0,G39=0),$C$33,0)</f>
        <v>0</v>
      </c>
      <c r="H33" s="223">
        <f t="shared" ca="1" si="32"/>
        <v>0</v>
      </c>
      <c r="I33" s="223">
        <f t="shared" ca="1" si="32"/>
        <v>0</v>
      </c>
      <c r="J33" s="223">
        <f t="shared" ca="1" si="32"/>
        <v>0</v>
      </c>
      <c r="K33" s="223">
        <f t="shared" ca="1" si="32"/>
        <v>0</v>
      </c>
      <c r="L33" s="223">
        <f t="shared" ca="1" si="32"/>
        <v>0</v>
      </c>
      <c r="M33" s="223">
        <f t="shared" ca="1" si="32"/>
        <v>0</v>
      </c>
      <c r="N33" s="223">
        <f t="shared" ca="1" si="32"/>
        <v>0</v>
      </c>
      <c r="O33" s="223">
        <f t="shared" ca="1" si="32"/>
        <v>580000</v>
      </c>
      <c r="P33" s="223">
        <f t="shared" ca="1" si="32"/>
        <v>0</v>
      </c>
      <c r="Q33" s="223">
        <f t="shared" ca="1" si="32"/>
        <v>0</v>
      </c>
      <c r="R33" s="223">
        <f t="shared" ca="1" si="32"/>
        <v>0</v>
      </c>
      <c r="S33" s="223">
        <f t="shared" ca="1" si="32"/>
        <v>0</v>
      </c>
      <c r="T33" s="223">
        <f t="shared" ca="1" si="32"/>
        <v>0</v>
      </c>
      <c r="U33" s="223">
        <f t="shared" ca="1" si="32"/>
        <v>0</v>
      </c>
      <c r="V33" s="223">
        <f t="shared" ca="1" si="32"/>
        <v>0</v>
      </c>
      <c r="W33" s="223">
        <f t="shared" ca="1" si="32"/>
        <v>0</v>
      </c>
      <c r="X33" s="223">
        <f t="shared" ca="1" si="32"/>
        <v>0</v>
      </c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4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CH33" s="207"/>
      <c r="CI33" s="207"/>
    </row>
    <row r="34" spans="1:87" ht="20.25" customHeight="1">
      <c r="A34" s="207" t="s">
        <v>407</v>
      </c>
      <c r="B34" s="224">
        <f>SUM(E34:X34)</f>
        <v>9300000</v>
      </c>
      <c r="C34" s="223">
        <f>'4-J Financial'!$B27</f>
        <v>9300000</v>
      </c>
      <c r="D34" s="223">
        <f>B34-C34</f>
        <v>0</v>
      </c>
      <c r="E34" s="270">
        <v>0</v>
      </c>
      <c r="F34" s="223">
        <f>IF(F7&lt;&gt;0,$C$34/($J$4/3),0)</f>
        <v>0</v>
      </c>
      <c r="G34" s="223">
        <f t="shared" ref="G34:X34" si="33">IF(G7&lt;&gt;0,$C$34/($J$4/3),0)</f>
        <v>0</v>
      </c>
      <c r="H34" s="223">
        <f t="shared" si="33"/>
        <v>0</v>
      </c>
      <c r="I34" s="223">
        <f t="shared" si="33"/>
        <v>0</v>
      </c>
      <c r="J34" s="223">
        <f t="shared" si="33"/>
        <v>0</v>
      </c>
      <c r="K34" s="223">
        <f t="shared" si="33"/>
        <v>775000</v>
      </c>
      <c r="L34" s="223">
        <f t="shared" si="33"/>
        <v>775000</v>
      </c>
      <c r="M34" s="223">
        <f t="shared" si="33"/>
        <v>775000</v>
      </c>
      <c r="N34" s="223">
        <f t="shared" si="33"/>
        <v>775000</v>
      </c>
      <c r="O34" s="223">
        <f t="shared" si="33"/>
        <v>775000</v>
      </c>
      <c r="P34" s="223">
        <f t="shared" si="33"/>
        <v>775000</v>
      </c>
      <c r="Q34" s="223">
        <f t="shared" si="33"/>
        <v>775000</v>
      </c>
      <c r="R34" s="223">
        <f t="shared" si="33"/>
        <v>775000</v>
      </c>
      <c r="S34" s="223">
        <f t="shared" si="33"/>
        <v>775000</v>
      </c>
      <c r="T34" s="223">
        <f t="shared" si="33"/>
        <v>775000</v>
      </c>
      <c r="U34" s="223">
        <f t="shared" si="33"/>
        <v>775000</v>
      </c>
      <c r="V34" s="223">
        <f t="shared" si="33"/>
        <v>775000</v>
      </c>
      <c r="W34" s="223">
        <f t="shared" si="33"/>
        <v>0</v>
      </c>
      <c r="X34" s="223">
        <f t="shared" si="33"/>
        <v>0</v>
      </c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4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CH34" s="207"/>
      <c r="CI34" s="207"/>
    </row>
    <row r="35" spans="1:87" ht="20.25" customHeight="1">
      <c r="B35" s="252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CH35" s="207"/>
      <c r="CI35" s="207"/>
    </row>
    <row r="36" spans="1:87" s="254" customFormat="1" ht="30" customHeight="1">
      <c r="A36" s="254" t="s">
        <v>408</v>
      </c>
      <c r="B36" s="256">
        <f ca="1">SUM(E36:X36)</f>
        <v>193945994.4199782</v>
      </c>
      <c r="C36" s="255">
        <f>SUM(C14:C34)</f>
        <v>193945994.4199782</v>
      </c>
      <c r="D36" s="255">
        <f ca="1">B36-C36</f>
        <v>0</v>
      </c>
      <c r="E36" s="255">
        <f>SUM(E14:E34)</f>
        <v>0</v>
      </c>
      <c r="F36" s="255">
        <f ca="1">SUM(F14:F34)</f>
        <v>669942.9192</v>
      </c>
      <c r="G36" s="255">
        <f t="shared" ref="G36:X36" ca="1" si="34">SUM(G14:G34)</f>
        <v>669942.9192</v>
      </c>
      <c r="H36" s="255">
        <f t="shared" ca="1" si="34"/>
        <v>669942.9192</v>
      </c>
      <c r="I36" s="255">
        <f t="shared" ca="1" si="34"/>
        <v>669942.9192</v>
      </c>
      <c r="J36" s="255">
        <f t="shared" ca="1" si="34"/>
        <v>669942.9192</v>
      </c>
      <c r="K36" s="255">
        <f t="shared" ca="1" si="34"/>
        <v>3902354.7820660747</v>
      </c>
      <c r="L36" s="255">
        <f t="shared" ca="1" si="34"/>
        <v>3430010.1428688867</v>
      </c>
      <c r="M36" s="255">
        <f t="shared" ca="1" si="34"/>
        <v>7237811.9123366969</v>
      </c>
      <c r="N36" s="255">
        <f t="shared" ca="1" si="34"/>
        <v>15213870.393504053</v>
      </c>
      <c r="O36" s="255">
        <f t="shared" ca="1" si="34"/>
        <v>26864288.902315803</v>
      </c>
      <c r="P36" s="255">
        <f t="shared" ca="1" si="34"/>
        <v>34877514.842597581</v>
      </c>
      <c r="Q36" s="255">
        <f t="shared" ca="1" si="34"/>
        <v>34551848.145764261</v>
      </c>
      <c r="R36" s="255">
        <f t="shared" ca="1" si="34"/>
        <v>25958622.205482449</v>
      </c>
      <c r="S36" s="255">
        <f t="shared" ca="1" si="34"/>
        <v>14888203.696670728</v>
      </c>
      <c r="T36" s="255">
        <f t="shared" ca="1" si="34"/>
        <v>6912145.2155033629</v>
      </c>
      <c r="U36" s="255">
        <f t="shared" ca="1" si="34"/>
        <v>5638169.9627022212</v>
      </c>
      <c r="V36" s="255">
        <f t="shared" ca="1" si="34"/>
        <v>4435657.3038994055</v>
      </c>
      <c r="W36" s="255">
        <f t="shared" ca="1" si="34"/>
        <v>4728228.0902666664</v>
      </c>
      <c r="X36" s="255">
        <f t="shared" ca="1" si="34"/>
        <v>1957554.2280000001</v>
      </c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6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</row>
    <row r="37" spans="1:87" s="227" customFormat="1" ht="20.25" customHeight="1">
      <c r="A37" s="227" t="s">
        <v>493</v>
      </c>
      <c r="B37" s="369">
        <f ca="1">SUM(E37:X37)</f>
        <v>77578397.767991289</v>
      </c>
      <c r="C37" s="228"/>
      <c r="D37" s="230"/>
      <c r="E37" s="228">
        <f>E36</f>
        <v>0</v>
      </c>
      <c r="F37" s="228">
        <f t="shared" ref="F37:X37" ca="1" si="35">IF(((E38+F36)&lt;=$B$38),F36,($B$38-E38))</f>
        <v>669942.9192</v>
      </c>
      <c r="G37" s="228">
        <f t="shared" ca="1" si="35"/>
        <v>669942.9192</v>
      </c>
      <c r="H37" s="228">
        <f t="shared" ca="1" si="35"/>
        <v>669942.9192</v>
      </c>
      <c r="I37" s="228">
        <f t="shared" ca="1" si="35"/>
        <v>669942.9192</v>
      </c>
      <c r="J37" s="228">
        <f t="shared" ca="1" si="35"/>
        <v>669942.9192</v>
      </c>
      <c r="K37" s="228">
        <f t="shared" ca="1" si="35"/>
        <v>3902354.7820660747</v>
      </c>
      <c r="L37" s="228">
        <f t="shared" ca="1" si="35"/>
        <v>3430010.1428688867</v>
      </c>
      <c r="M37" s="228">
        <f t="shared" ca="1" si="35"/>
        <v>7237811.9123366969</v>
      </c>
      <c r="N37" s="228">
        <f t="shared" ca="1" si="35"/>
        <v>15213870.393504053</v>
      </c>
      <c r="O37" s="228">
        <f t="shared" ca="1" si="35"/>
        <v>26864288.902315803</v>
      </c>
      <c r="P37" s="228">
        <f t="shared" ca="1" si="35"/>
        <v>17580347.038899779</v>
      </c>
      <c r="Q37" s="228">
        <f t="shared" ca="1" si="35"/>
        <v>0</v>
      </c>
      <c r="R37" s="228">
        <f t="shared" ca="1" si="35"/>
        <v>0</v>
      </c>
      <c r="S37" s="228">
        <f t="shared" ca="1" si="35"/>
        <v>0</v>
      </c>
      <c r="T37" s="228">
        <f t="shared" ca="1" si="35"/>
        <v>0</v>
      </c>
      <c r="U37" s="228">
        <f t="shared" ca="1" si="35"/>
        <v>0</v>
      </c>
      <c r="V37" s="228">
        <f t="shared" ca="1" si="35"/>
        <v>0</v>
      </c>
      <c r="W37" s="228">
        <f t="shared" ca="1" si="35"/>
        <v>0</v>
      </c>
      <c r="X37" s="228">
        <f t="shared" ca="1" si="35"/>
        <v>0</v>
      </c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9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</row>
    <row r="38" spans="1:87" ht="20.25" customHeight="1">
      <c r="A38" s="207" t="s">
        <v>494</v>
      </c>
      <c r="B38" s="224">
        <f>'4-J Financial'!$D$15</f>
        <v>77578397.767991289</v>
      </c>
      <c r="C38" s="223"/>
      <c r="D38" s="223"/>
      <c r="E38" s="223">
        <f>IF(OR(E9&lt;$E$4,E9&gt;$L$4),0,IF(SUM($E$37:E37)&lt;=$B38,SUM($E$37:E37),$B$38))</f>
        <v>0</v>
      </c>
      <c r="F38" s="223">
        <f ca="1">IF(OR(F9&lt;$E$4,F9&gt;$L$4),0,IF(SUM($E$37:F37)&lt;=$B38,SUM($E$37:F37),$B$38))</f>
        <v>669942.9192</v>
      </c>
      <c r="G38" s="223">
        <f ca="1">IF(OR(G9&lt;$E$4,G9&gt;$L$4),0,IF(SUM($E$37:G37)&lt;=$B38,SUM($E$37:G37),$B$38))</f>
        <v>1339885.8384</v>
      </c>
      <c r="H38" s="223">
        <f ca="1">IF(OR(H9&lt;$E$4,H9&gt;$L$4),0,IF(SUM($E$37:H37)&lt;=$B38,SUM($E$37:H37),$B$38))</f>
        <v>2009828.7576000001</v>
      </c>
      <c r="I38" s="223">
        <f ca="1">IF(OR(I9&lt;$E$4,I9&gt;$L$4),0,IF(SUM($E$37:I37)&lt;=$B38,SUM($E$37:I37),$B$38))</f>
        <v>2679771.6768</v>
      </c>
      <c r="J38" s="223">
        <f ca="1">IF(OR(J9&lt;$E$4,J9&gt;$L$4),0,IF(SUM($E$37:J37)&lt;=$B38,SUM($E$37:J37),$B$38))</f>
        <v>3349714.5959999999</v>
      </c>
      <c r="K38" s="223">
        <f ca="1">IF(OR(K9&lt;$E$4,K9&gt;$L$4),0,IF(SUM($E$37:K37)&lt;=$B38,SUM($E$37:K37),$B$38))</f>
        <v>7252069.3780660741</v>
      </c>
      <c r="L38" s="223">
        <f ca="1">IF(OR(L9&lt;$E$4,L9&gt;$L$4),0,IF(SUM($E$37:L37)&lt;=$B38,SUM($E$37:L37),$B$38))</f>
        <v>10682079.520934962</v>
      </c>
      <c r="M38" s="223">
        <f ca="1">IF(OR(M9&lt;$E$4,M9&gt;$L$4),0,IF(SUM($E$37:M37)&lt;=$B38,SUM($E$37:M37),$B$38))</f>
        <v>17919891.433271658</v>
      </c>
      <c r="N38" s="223">
        <f ca="1">IF(OR(N9&lt;$E$4,N9&gt;$L$4),0,IF(SUM($E$37:N37)&lt;=$B38,SUM($E$37:N37),$B$38))</f>
        <v>33133761.826775711</v>
      </c>
      <c r="O38" s="223">
        <f ca="1">IF(OR(O9&lt;$E$4,O9&gt;$L$4),0,IF(SUM($E$37:O37)&lt;=$B38,SUM($E$37:O37),$B$38))</f>
        <v>59998050.72909151</v>
      </c>
      <c r="P38" s="223">
        <f ca="1">IF(OR(P9&lt;$E$4,P9&gt;$L$4),0,IF(SUM($E$37:P37)&lt;=$B38,SUM($E$37:P37),$B$38))</f>
        <v>77578397.767991289</v>
      </c>
      <c r="Q38" s="223">
        <f ca="1">IF(OR(Q9&lt;$E$4,Q9&gt;$L$4),0,IF(SUM($E$37:Q37)&lt;=$B38,SUM($E$37:Q37),$B$38))</f>
        <v>77578397.767991289</v>
      </c>
      <c r="R38" s="223">
        <f ca="1">IF(OR(R9&lt;$E$4,R9&gt;$L$4),0,IF(SUM($E$37:R37)&lt;=$B38,SUM($E$37:R37),$B$38))</f>
        <v>77578397.767991289</v>
      </c>
      <c r="S38" s="223">
        <f ca="1">IF(OR(S9&lt;$E$4,S9&gt;$L$4),0,IF(SUM($E$37:S37)&lt;=$B38,SUM($E$37:S37),$B$38))</f>
        <v>77578397.767991289</v>
      </c>
      <c r="T38" s="223">
        <f ca="1">IF(OR(T9&lt;$E$4,T9&gt;$L$4),0,IF(SUM($E$37:T37)&lt;=$B38,SUM($E$37:T37),$B$38))</f>
        <v>77578397.767991289</v>
      </c>
      <c r="U38" s="223">
        <f ca="1">IF(OR(U9&lt;$E$4,U9&gt;$L$4),0,IF(SUM($E$37:U37)&lt;=$B38,SUM($E$37:U37),$B$38))</f>
        <v>77578397.767991289</v>
      </c>
      <c r="V38" s="223">
        <f ca="1">IF(OR(V9&lt;$E$4,V9&gt;$L$4),0,IF(SUM($E$37:V37)&lt;=$B38,SUM($E$37:V37),$B$38))</f>
        <v>77578397.767991289</v>
      </c>
      <c r="W38" s="223">
        <f ca="1">IF(OR(W9&lt;$E$4,W9&gt;$L$4),0,IF(SUM($E$37:W37)&lt;=$B38,SUM($E$37:W37),$B$38))</f>
        <v>77578397.767991289</v>
      </c>
      <c r="X38" s="223">
        <f ca="1">IF(OR(X9&lt;$E$4,X9&gt;$L$4),0,IF(SUM($E$37:X37)&lt;=$B38,SUM($E$37:X37),$B$38))</f>
        <v>77578397.767991289</v>
      </c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4"/>
      <c r="AS38" s="223"/>
      <c r="AT38" s="223"/>
      <c r="AU38" s="223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CH38" s="207"/>
      <c r="CI38" s="207"/>
    </row>
    <row r="39" spans="1:87" ht="20.25" customHeight="1">
      <c r="A39" s="207" t="s">
        <v>495</v>
      </c>
      <c r="B39" s="365">
        <f ca="1">SUM(E39:X39)</f>
        <v>116367596.65198688</v>
      </c>
      <c r="C39" s="223"/>
      <c r="D39" s="223"/>
      <c r="E39" s="223">
        <f t="shared" ref="E39" si="36">IF(E36&gt;E37,E36-E37,0)</f>
        <v>0</v>
      </c>
      <c r="F39" s="223">
        <f t="shared" ref="F39:X39" ca="1" si="37">IF(F36&gt;F37,F36-F37,0)</f>
        <v>0</v>
      </c>
      <c r="G39" s="223">
        <f t="shared" ca="1" si="37"/>
        <v>0</v>
      </c>
      <c r="H39" s="223">
        <f t="shared" ca="1" si="37"/>
        <v>0</v>
      </c>
      <c r="I39" s="223">
        <f t="shared" ca="1" si="37"/>
        <v>0</v>
      </c>
      <c r="J39" s="223">
        <f t="shared" ca="1" si="37"/>
        <v>0</v>
      </c>
      <c r="K39" s="223">
        <f t="shared" ca="1" si="37"/>
        <v>0</v>
      </c>
      <c r="L39" s="223">
        <f t="shared" ca="1" si="37"/>
        <v>0</v>
      </c>
      <c r="M39" s="223">
        <f t="shared" ca="1" si="37"/>
        <v>0</v>
      </c>
      <c r="N39" s="223">
        <f t="shared" ca="1" si="37"/>
        <v>0</v>
      </c>
      <c r="O39" s="223">
        <f t="shared" ca="1" si="37"/>
        <v>0</v>
      </c>
      <c r="P39" s="223">
        <f t="shared" ca="1" si="37"/>
        <v>17297167.803697802</v>
      </c>
      <c r="Q39" s="223">
        <f t="shared" ca="1" si="37"/>
        <v>34551848.145764261</v>
      </c>
      <c r="R39" s="223">
        <f t="shared" ca="1" si="37"/>
        <v>25958622.205482449</v>
      </c>
      <c r="S39" s="223">
        <f t="shared" ca="1" si="37"/>
        <v>14888203.696670728</v>
      </c>
      <c r="T39" s="223">
        <f t="shared" ca="1" si="37"/>
        <v>6912145.2155033629</v>
      </c>
      <c r="U39" s="223">
        <f t="shared" ca="1" si="37"/>
        <v>5638169.9627022212</v>
      </c>
      <c r="V39" s="223">
        <f t="shared" ca="1" si="37"/>
        <v>4435657.3038994055</v>
      </c>
      <c r="W39" s="223">
        <f t="shared" ca="1" si="37"/>
        <v>4728228.0902666664</v>
      </c>
      <c r="X39" s="223">
        <f t="shared" ca="1" si="37"/>
        <v>1957554.2280000001</v>
      </c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4"/>
      <c r="AS39" s="245"/>
      <c r="AT39" s="223"/>
      <c r="AU39" s="223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CH39" s="207"/>
      <c r="CI39" s="207"/>
    </row>
    <row r="40" spans="1:87" s="227" customFormat="1" ht="20.25" customHeight="1">
      <c r="A40" s="227" t="s">
        <v>496</v>
      </c>
      <c r="B40" s="229">
        <f ca="1">-B39</f>
        <v>-116367596.65198688</v>
      </c>
      <c r="C40" s="228"/>
      <c r="D40" s="228"/>
      <c r="E40" s="228">
        <f>IF(E6=$K$3,$B$40,0)</f>
        <v>0</v>
      </c>
      <c r="F40" s="228">
        <f t="shared" ref="F40:X40" si="38">IF(F6=$L$3,$B$40,0)</f>
        <v>0</v>
      </c>
      <c r="G40" s="228">
        <f t="shared" si="38"/>
        <v>0</v>
      </c>
      <c r="H40" s="228">
        <f t="shared" si="38"/>
        <v>0</v>
      </c>
      <c r="I40" s="228">
        <f t="shared" si="38"/>
        <v>0</v>
      </c>
      <c r="J40" s="228">
        <f t="shared" si="38"/>
        <v>0</v>
      </c>
      <c r="K40" s="228">
        <f t="shared" si="38"/>
        <v>0</v>
      </c>
      <c r="L40" s="228">
        <f t="shared" si="38"/>
        <v>0</v>
      </c>
      <c r="M40" s="228">
        <f t="shared" si="38"/>
        <v>0</v>
      </c>
      <c r="N40" s="228">
        <f t="shared" si="38"/>
        <v>0</v>
      </c>
      <c r="O40" s="228">
        <f t="shared" si="38"/>
        <v>0</v>
      </c>
      <c r="P40" s="228">
        <f t="shared" si="38"/>
        <v>0</v>
      </c>
      <c r="Q40" s="228">
        <f t="shared" si="38"/>
        <v>0</v>
      </c>
      <c r="R40" s="228">
        <f t="shared" si="38"/>
        <v>0</v>
      </c>
      <c r="S40" s="228">
        <f t="shared" si="38"/>
        <v>0</v>
      </c>
      <c r="T40" s="228">
        <f t="shared" si="38"/>
        <v>0</v>
      </c>
      <c r="U40" s="228">
        <f t="shared" si="38"/>
        <v>0</v>
      </c>
      <c r="V40" s="228">
        <f t="shared" si="38"/>
        <v>0</v>
      </c>
      <c r="W40" s="228">
        <f t="shared" si="38"/>
        <v>0</v>
      </c>
      <c r="X40" s="228">
        <f t="shared" ca="1" si="38"/>
        <v>-116367596.65198688</v>
      </c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9"/>
      <c r="AS40" s="228"/>
      <c r="AT40" s="228"/>
      <c r="AU40" s="228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</row>
    <row r="41" spans="1:87" s="366" customFormat="1" ht="20.25" customHeight="1">
      <c r="A41" s="371" t="s">
        <v>497</v>
      </c>
      <c r="B41" s="372">
        <f>'4-J Financial'!$D$9</f>
        <v>0</v>
      </c>
      <c r="C41" s="373"/>
      <c r="D41" s="373"/>
      <c r="E41" s="373">
        <f t="shared" ref="E41:X41" si="39">IF(E6=$L$3,$B41,0)</f>
        <v>0</v>
      </c>
      <c r="F41" s="373">
        <f t="shared" si="39"/>
        <v>0</v>
      </c>
      <c r="G41" s="373">
        <f t="shared" si="39"/>
        <v>0</v>
      </c>
      <c r="H41" s="373">
        <f t="shared" si="39"/>
        <v>0</v>
      </c>
      <c r="I41" s="373">
        <f t="shared" si="39"/>
        <v>0</v>
      </c>
      <c r="J41" s="373">
        <f t="shared" si="39"/>
        <v>0</v>
      </c>
      <c r="K41" s="373">
        <f t="shared" si="39"/>
        <v>0</v>
      </c>
      <c r="L41" s="373">
        <f t="shared" si="39"/>
        <v>0</v>
      </c>
      <c r="M41" s="373">
        <f t="shared" si="39"/>
        <v>0</v>
      </c>
      <c r="N41" s="373">
        <f t="shared" si="39"/>
        <v>0</v>
      </c>
      <c r="O41" s="373">
        <f t="shared" si="39"/>
        <v>0</v>
      </c>
      <c r="P41" s="373">
        <f t="shared" si="39"/>
        <v>0</v>
      </c>
      <c r="Q41" s="373">
        <f t="shared" si="39"/>
        <v>0</v>
      </c>
      <c r="R41" s="373">
        <f t="shared" si="39"/>
        <v>0</v>
      </c>
      <c r="S41" s="373">
        <f t="shared" si="39"/>
        <v>0</v>
      </c>
      <c r="T41" s="373">
        <f t="shared" si="39"/>
        <v>0</v>
      </c>
      <c r="U41" s="373">
        <f t="shared" si="39"/>
        <v>0</v>
      </c>
      <c r="V41" s="373">
        <f t="shared" si="39"/>
        <v>0</v>
      </c>
      <c r="W41" s="373">
        <f t="shared" si="39"/>
        <v>0</v>
      </c>
      <c r="X41" s="373">
        <f t="shared" si="39"/>
        <v>0</v>
      </c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2"/>
      <c r="AS41" s="373"/>
      <c r="AT41" s="373"/>
      <c r="AU41" s="373"/>
      <c r="AV41" s="374"/>
      <c r="AW41" s="374"/>
      <c r="AX41" s="374"/>
      <c r="AY41" s="374"/>
      <c r="AZ41" s="374"/>
      <c r="BA41" s="374"/>
      <c r="BB41" s="374"/>
      <c r="BC41" s="374"/>
      <c r="BD41" s="374"/>
      <c r="BE41" s="374"/>
      <c r="BF41" s="374"/>
      <c r="BG41" s="374"/>
      <c r="BH41" s="374"/>
      <c r="BI41" s="374"/>
      <c r="BJ41" s="374"/>
      <c r="BK41" s="374"/>
      <c r="BL41" s="374"/>
      <c r="BM41" s="374"/>
      <c r="BN41" s="374"/>
      <c r="BO41" s="374"/>
      <c r="BP41" s="374"/>
      <c r="BQ41" s="374"/>
      <c r="BR41" s="374"/>
      <c r="BS41" s="374"/>
      <c r="BT41" s="374"/>
      <c r="BU41" s="374"/>
      <c r="BV41" s="371"/>
      <c r="BW41" s="371"/>
      <c r="BX41" s="371"/>
      <c r="BY41" s="371"/>
      <c r="BZ41" s="371"/>
      <c r="CA41" s="371"/>
      <c r="CB41" s="371"/>
      <c r="CC41" s="371"/>
      <c r="CD41" s="371"/>
      <c r="CE41" s="371"/>
      <c r="CF41" s="371"/>
      <c r="CG41" s="371"/>
      <c r="CH41" s="371"/>
      <c r="CI41" s="371"/>
    </row>
    <row r="42" spans="1:87" s="488" customFormat="1" ht="20.25" customHeight="1">
      <c r="A42" s="1092" t="s">
        <v>498</v>
      </c>
      <c r="B42" s="838">
        <f ca="1">SUM(E42:AR42)</f>
        <v>120141990.19778679</v>
      </c>
      <c r="C42" s="1095"/>
      <c r="D42" s="1095"/>
      <c r="E42" s="1095">
        <f ca="1">IF(E41&gt;$B$39,0,IF('4-J Financial'!$D$11="NO",IF(E6&lt;&gt;$L$3,0,'4-J Amortization'!$E$4),IF(E6=$L$3,'4-J Amortization'!$E$4,0)))</f>
        <v>0</v>
      </c>
      <c r="F42" s="1095">
        <f ca="1">IF(F41&gt;$B$39,0,IF('4-J Financial'!$D$11="NO",IF(F6&lt;&gt;$L$3,0,'4-J Amortization'!$E$4),IF(F6=$L$3,'4-J Amortization'!$E$4,0)))</f>
        <v>0</v>
      </c>
      <c r="G42" s="1095">
        <f ca="1">IF(G41&gt;$B$39,0,IF('4-J Financial'!$D$11="NO",IF(G6&lt;&gt;$L$3,0,'4-J Amortization'!$E$4),IF(G6=$L$3,'4-J Amortization'!$E$4,0)))</f>
        <v>0</v>
      </c>
      <c r="H42" s="1095">
        <f ca="1">IF(H41&gt;$B$39,0,IF('4-J Financial'!$D$11="NO",IF(H6&lt;&gt;$L$3,0,'4-J Amortization'!$E$4),IF(H6=$L$3,'4-J Amortization'!$E$4,0)))</f>
        <v>0</v>
      </c>
      <c r="I42" s="1095">
        <f ca="1">IF(I41&gt;$B$39,0,IF('4-J Financial'!$D$11="NO",IF(I6&lt;&gt;$L$3,0,'4-J Amortization'!$E$4),IF(I6=$L$3,'4-J Amortization'!$E$4,0)))</f>
        <v>0</v>
      </c>
      <c r="J42" s="1095">
        <f ca="1">IF(J41&gt;$B$39,0,IF('4-J Financial'!$D$11="NO",IF(J6&lt;&gt;$L$3,0,'4-J Amortization'!$E$4),IF(J6=$L$3,'4-J Amortization'!$E$4,0)))</f>
        <v>0</v>
      </c>
      <c r="K42" s="1095">
        <f ca="1">IF(K41&gt;$B$39,0,IF('4-J Financial'!$D$11="NO",IF(K6&lt;&gt;$L$3,0,'4-J Amortization'!$E$4),IF(K6=$L$3,'4-J Amortization'!$E$4,0)))</f>
        <v>0</v>
      </c>
      <c r="L42" s="1095">
        <f ca="1">IF(L41&gt;$B$39,0,IF('4-J Financial'!$D$11="NO",IF(L6&lt;&gt;$L$3,0,'4-J Amortization'!$E$4),IF(L6=$L$3,'4-J Amortization'!$E$4,0)))</f>
        <v>0</v>
      </c>
      <c r="M42" s="1095">
        <f ca="1">IF(M41&gt;$B$39,0,IF('4-J Financial'!$D$11="NO",IF(M6&lt;&gt;$L$3,0,'4-J Amortization'!$E$4),IF(M6=$L$3,'4-J Amortization'!$E$4,0)))</f>
        <v>0</v>
      </c>
      <c r="N42" s="1095">
        <f ca="1">IF(N41&gt;$B$39,0,IF('4-J Financial'!$D$11="NO",IF(N6&lt;&gt;$L$3,0,'4-J Amortization'!$E$4),IF(N6=$L$3,'4-J Amortization'!$E$4,0)))</f>
        <v>0</v>
      </c>
      <c r="O42" s="1095">
        <f ca="1">IF(O41&gt;$B$39,0,IF('4-J Financial'!$D$11="NO",IF(O6&lt;&gt;$L$3,0,'4-J Amortization'!$E$4),IF(O6=$L$3,'4-J Amortization'!$E$4,0)))</f>
        <v>0</v>
      </c>
      <c r="P42" s="1095">
        <f ca="1">IF(P41&gt;$B$39,0,IF('4-J Financial'!$D$11="NO",IF(P6&lt;&gt;$L$3,0,'4-J Amortization'!$E$4),IF(P6=$L$3,'4-J Amortization'!$E$4,0)))</f>
        <v>0</v>
      </c>
      <c r="Q42" s="1095">
        <f ca="1">IF(Q41&gt;$B$39,0,IF('4-J Financial'!$D$11="NO",IF(Q6&lt;&gt;$L$3,0,'4-J Amortization'!$E$4),IF(Q6=$L$3,'4-J Amortization'!$E$4,0)))</f>
        <v>0</v>
      </c>
      <c r="R42" s="1095">
        <f ca="1">IF(R41&gt;$B$39,0,IF('4-J Financial'!$D$11="NO",IF(R6&lt;&gt;$L$3,0,'4-J Amortization'!$E$4),IF(R6=$L$3,'4-J Amortization'!$E$4,0)))</f>
        <v>0</v>
      </c>
      <c r="S42" s="1095">
        <f ca="1">IF(S41&gt;$B$39,0,IF('4-J Financial'!$D$11="NO",IF(S6&lt;&gt;$L$3,0,'4-J Amortization'!$E$4),IF(S6=$L$3,'4-J Amortization'!$E$4,0)))</f>
        <v>0</v>
      </c>
      <c r="T42" s="1095">
        <f ca="1">IF(T41&gt;$B$39,0,IF('4-J Financial'!$D$11="NO",IF(T6&lt;&gt;$L$3,0,'4-J Amortization'!$E$4),IF(T6=$L$3,'4-J Amortization'!$E$4,0)))</f>
        <v>0</v>
      </c>
      <c r="U42" s="1095">
        <f ca="1">IF(U41&gt;$B$39,0,IF('4-J Financial'!$D$11="NO",IF(U6&lt;&gt;$L$3,0,'4-J Amortization'!$E$4),IF(U6=$L$3,'4-J Amortization'!$E$4,0)))</f>
        <v>0</v>
      </c>
      <c r="V42" s="1095">
        <f ca="1">IF(V41&gt;$B$39,0,IF('4-J Financial'!$D$11="NO",IF(V6&lt;&gt;$L$3,0,'4-J Amortization'!$E$4),IF(V6=$L$3,'4-J Amortization'!$E$4,0)))</f>
        <v>0</v>
      </c>
      <c r="W42" s="1095">
        <f ca="1">IF(W41&gt;$B$39,0,IF('4-J Financial'!$D$11="NO",IF(W6&lt;&gt;$L$3,0,'4-J Amortization'!$E$4),IF(W6=$L$3,'4-J Amortization'!$E$4,0)))</f>
        <v>0</v>
      </c>
      <c r="X42" s="1095">
        <f ca="1">IF(X41&gt;$B$39,0,IF('4-J Financial'!$D$11="NO",IF(X6&lt;&gt;$L$3,0,'4-J Amortization'!$E$4),IF(X6=$L$3,'4-J Amortization'!$E$4,0)))</f>
        <v>120141990.19778679</v>
      </c>
      <c r="Y42" s="1095"/>
      <c r="Z42" s="1095"/>
      <c r="AA42" s="1095"/>
      <c r="AB42" s="1095"/>
      <c r="AC42" s="1095"/>
      <c r="AD42" s="1095"/>
      <c r="AE42" s="1095"/>
      <c r="AF42" s="1095"/>
      <c r="AG42" s="1095"/>
      <c r="AH42" s="1095"/>
      <c r="AI42" s="1095"/>
      <c r="AJ42" s="1095"/>
      <c r="AK42" s="1095"/>
      <c r="AL42" s="1095"/>
      <c r="AM42" s="1095"/>
      <c r="AN42" s="1095"/>
      <c r="AO42" s="1095"/>
      <c r="AP42" s="1095"/>
      <c r="AQ42" s="1095"/>
      <c r="AR42" s="764"/>
      <c r="AS42" s="1095"/>
      <c r="AT42" s="1095"/>
      <c r="AU42" s="1095"/>
      <c r="AV42" s="1093"/>
      <c r="AW42" s="1093"/>
      <c r="AX42" s="1093"/>
      <c r="AY42" s="1093"/>
      <c r="AZ42" s="1093"/>
      <c r="BA42" s="1093"/>
      <c r="BB42" s="1093"/>
      <c r="BC42" s="1093"/>
      <c r="BD42" s="1093"/>
      <c r="BE42" s="1093"/>
      <c r="BF42" s="1093"/>
      <c r="BG42" s="1093"/>
      <c r="BH42" s="1093"/>
      <c r="BI42" s="1093"/>
      <c r="BJ42" s="1093"/>
      <c r="BK42" s="1093"/>
      <c r="BL42" s="1093"/>
      <c r="BM42" s="1093"/>
      <c r="BN42" s="1093"/>
      <c r="BO42" s="1093"/>
      <c r="BP42" s="1093"/>
      <c r="BQ42" s="1093"/>
      <c r="BR42" s="1093"/>
      <c r="BS42" s="1093"/>
      <c r="BT42" s="1093"/>
      <c r="BU42" s="1093"/>
      <c r="BV42" s="1092"/>
      <c r="BW42" s="1092"/>
      <c r="BX42" s="1092"/>
      <c r="BY42" s="1092"/>
      <c r="BZ42" s="1092"/>
      <c r="CA42" s="1092"/>
      <c r="CB42" s="1092"/>
      <c r="CC42" s="1092"/>
      <c r="CD42" s="1092"/>
      <c r="CE42" s="1092"/>
      <c r="CF42" s="1092"/>
      <c r="CG42" s="1092"/>
      <c r="CH42" s="1092"/>
      <c r="CI42" s="1092"/>
    </row>
    <row r="43" spans="1:87" ht="20.25" customHeight="1">
      <c r="A43" s="207" t="s">
        <v>517</v>
      </c>
      <c r="B43" s="224">
        <f ca="1">SUM(E43:AR43)</f>
        <v>-600709.95098893403</v>
      </c>
      <c r="C43" s="223"/>
      <c r="D43" s="223"/>
      <c r="E43" s="223">
        <f ca="1">IF(E42&gt;0,-'4-J Amortization'!$F$11,0)</f>
        <v>0</v>
      </c>
      <c r="F43" s="223">
        <f ca="1">IF(F42&gt;0,-'4-J Amortization'!$F$11,0)</f>
        <v>0</v>
      </c>
      <c r="G43" s="223">
        <f ca="1">IF(G42&gt;0,-'4-J Amortization'!$F$11,0)</f>
        <v>0</v>
      </c>
      <c r="H43" s="223">
        <f ca="1">IF(H42&gt;0,-'4-J Amortization'!$F$11,0)</f>
        <v>0</v>
      </c>
      <c r="I43" s="223">
        <f ca="1">IF(I42&gt;0,-'4-J Amortization'!$F$11,0)</f>
        <v>0</v>
      </c>
      <c r="J43" s="223">
        <f ca="1">IF(J42&gt;0,-'4-J Amortization'!$F$11,0)</f>
        <v>0</v>
      </c>
      <c r="K43" s="223">
        <f ca="1">IF(K42&gt;0,-'4-J Amortization'!$F$11,0)</f>
        <v>0</v>
      </c>
      <c r="L43" s="223">
        <f ca="1">IF(L42&gt;0,-'4-J Amortization'!$F$11,0)</f>
        <v>0</v>
      </c>
      <c r="M43" s="223">
        <f ca="1">IF(M42&gt;0,-'4-J Amortization'!$F$11,0)</f>
        <v>0</v>
      </c>
      <c r="N43" s="223">
        <f ca="1">IF(N42&gt;0,-'4-J Amortization'!$F$11,0)</f>
        <v>0</v>
      </c>
      <c r="O43" s="223">
        <f ca="1">IF(O42&gt;0,-'4-J Amortization'!$F$11,0)</f>
        <v>0</v>
      </c>
      <c r="P43" s="223">
        <f ca="1">IF(P42&gt;0,-'4-J Amortization'!$F$11,0)</f>
        <v>0</v>
      </c>
      <c r="Q43" s="223">
        <f ca="1">IF(Q42&gt;0,-'4-J Amortization'!$F$11,0)</f>
        <v>0</v>
      </c>
      <c r="R43" s="223">
        <f ca="1">IF(R42&gt;0,-'4-J Amortization'!$F$11,0)</f>
        <v>0</v>
      </c>
      <c r="S43" s="223">
        <f ca="1">IF(S42&gt;0,-'4-J Amortization'!$F$11,0)</f>
        <v>0</v>
      </c>
      <c r="T43" s="223">
        <f ca="1">IF(T42&gt;0,-'4-J Amortization'!$F$11,0)</f>
        <v>0</v>
      </c>
      <c r="U43" s="223">
        <f ca="1">IF(U42&gt;0,-'4-J Amortization'!$F$11,0)</f>
        <v>0</v>
      </c>
      <c r="V43" s="223">
        <f ca="1">IF(V42&gt;0,-'4-J Amortization'!$F$11,0)</f>
        <v>0</v>
      </c>
      <c r="W43" s="223">
        <f ca="1">IF(W42&gt;0,-'4-J Amortization'!$F$11,0)</f>
        <v>0</v>
      </c>
      <c r="X43" s="223">
        <f ca="1">IF(X42&gt;0,-'4-J Amortization'!$F$11,0)</f>
        <v>-600709.95098893403</v>
      </c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4"/>
      <c r="AS43" s="223"/>
      <c r="AT43" s="223"/>
      <c r="AU43" s="223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CH43" s="207"/>
      <c r="CI43" s="207"/>
    </row>
    <row r="44" spans="1:87" s="227" customFormat="1" ht="20.25" customHeight="1">
      <c r="A44" s="227" t="s">
        <v>499</v>
      </c>
      <c r="B44" s="369">
        <f ca="1">SUM(E44:AR44)</f>
        <v>3173683.5948109771</v>
      </c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>
        <f ca="1">X40+X41+X42+X43</f>
        <v>3173683.5948109771</v>
      </c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9"/>
      <c r="AS44" s="228"/>
      <c r="AT44" s="228"/>
      <c r="AU44" s="228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</row>
    <row r="45" spans="1:87" s="227" customFormat="1" ht="20.25" customHeight="1">
      <c r="A45" s="227" t="s">
        <v>500</v>
      </c>
      <c r="B45" s="369">
        <f>SUM(E45:AR45)</f>
        <v>54693627.898980394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>
        <f>'4-J Financial'!$D$5*(1+'4-J Financial'!$D$7)^(Y5-1)/4</f>
        <v>2549835.7083999999</v>
      </c>
      <c r="Z45" s="228">
        <f>'4-J Financial'!$D$5*(1+'4-J Financial'!$D$7)^(Z5-1)/4</f>
        <v>2549835.7083999999</v>
      </c>
      <c r="AA45" s="228">
        <f>'4-J Financial'!$D$5*(1+'4-J Financial'!$D$7)^(AA5-1)/4</f>
        <v>2549835.7083999999</v>
      </c>
      <c r="AB45" s="228">
        <f>'4-J Financial'!$D$5*(1+'4-J Financial'!$D$7)^(AB5-1)/4</f>
        <v>2549835.7083999999</v>
      </c>
      <c r="AC45" s="228">
        <f>'4-J Financial'!$D$5*(1+'4-J Financial'!$D$7)^(AC5-1)/4</f>
        <v>2639079.9581939997</v>
      </c>
      <c r="AD45" s="228">
        <f>'4-J Financial'!$D$5*(1+'4-J Financial'!$D$7)^(AD5-1)/4</f>
        <v>2639079.9581939997</v>
      </c>
      <c r="AE45" s="228">
        <f>'4-J Financial'!$D$5*(1+'4-J Financial'!$D$7)^(AE5-1)/4</f>
        <v>2639079.9581939997</v>
      </c>
      <c r="AF45" s="228">
        <f>'4-J Financial'!$D$5*(1+'4-J Financial'!$D$7)^(AF5-1)/4</f>
        <v>2639079.9581939997</v>
      </c>
      <c r="AG45" s="228">
        <f>'4-J Financial'!$D$5*(1+'4-J Financial'!$D$7)^(AG5-1)/4</f>
        <v>2731447.7567307898</v>
      </c>
      <c r="AH45" s="228">
        <f>'4-J Financial'!$D$5*(1+'4-J Financial'!$D$7)^(AH5-1)/4</f>
        <v>2731447.7567307898</v>
      </c>
      <c r="AI45" s="228">
        <f>'4-J Financial'!$D$5*(1+'4-J Financial'!$D$7)^(AI5-1)/4</f>
        <v>2731447.7567307898</v>
      </c>
      <c r="AJ45" s="228">
        <f>'4-J Financial'!$D$5*(1+'4-J Financial'!$D$7)^(AJ5-1)/4</f>
        <v>2731447.7567307898</v>
      </c>
      <c r="AK45" s="228">
        <f>'4-J Financial'!$D$5*(1+'4-J Financial'!$D$7)^(AK5-1)/4</f>
        <v>2827048.428216367</v>
      </c>
      <c r="AL45" s="228">
        <f>'4-J Financial'!$D$5*(1+'4-J Financial'!$D$7)^(AL5-1)/4</f>
        <v>2827048.428216367</v>
      </c>
      <c r="AM45" s="228">
        <f>'4-J Financial'!$D$5*(1+'4-J Financial'!$D$7)^(AM5-1)/4</f>
        <v>2827048.428216367</v>
      </c>
      <c r="AN45" s="228">
        <f>'4-J Financial'!$D$5*(1+'4-J Financial'!$D$7)^(AN5-1)/4</f>
        <v>2827048.428216367</v>
      </c>
      <c r="AO45" s="228">
        <f>'4-J Financial'!$D$5*(1+'4-J Financial'!$D$7)^(AO5-1)/4</f>
        <v>2925995.1232039398</v>
      </c>
      <c r="AP45" s="228">
        <f>'4-J Financial'!$D$5*(1+'4-J Financial'!$D$7)^(AP5-1)/4</f>
        <v>2925995.1232039398</v>
      </c>
      <c r="AQ45" s="228">
        <f>'4-J Financial'!$D$5*(1+'4-J Financial'!$D$7)^(AQ5-1)/4</f>
        <v>2925995.1232039398</v>
      </c>
      <c r="AR45" s="229">
        <f>'4-J Financial'!$D$5*(1+'4-J Financial'!$D$7)^(AR5-1)/4</f>
        <v>2925995.1232039398</v>
      </c>
      <c r="AS45" s="228"/>
      <c r="AT45" s="228"/>
      <c r="AU45" s="228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  <c r="BH45" s="230"/>
      <c r="BI45" s="230"/>
      <c r="BJ45" s="230"/>
      <c r="BK45" s="230"/>
      <c r="BL45" s="230"/>
      <c r="BM45" s="230"/>
      <c r="BN45" s="230"/>
      <c r="BO45" s="230"/>
      <c r="BP45" s="230"/>
      <c r="BQ45" s="230"/>
      <c r="BR45" s="230"/>
      <c r="BS45" s="230"/>
      <c r="BT45" s="230"/>
      <c r="BU45" s="230"/>
    </row>
    <row r="46" spans="1:87" ht="20.25" customHeight="1">
      <c r="A46" s="207" t="s">
        <v>501</v>
      </c>
      <c r="B46" s="224">
        <f>SUM(E46:AR46)</f>
        <v>-40561734.547669902</v>
      </c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 cm="1">
        <f t="array" ref="Y46">INDEX('4-J Amortization'!$J$4:$J$23,MATCH(1,('4-J Amortization'!$I$4:$I$23=Y7)*('4-J Amortization'!$H$4:$H$23=Y5),0),0)</f>
        <v>-1727041.1090931853</v>
      </c>
      <c r="Z46" s="223" cm="1">
        <f t="array" ref="Z46">INDEX('4-J Amortization'!$J$4:$J$23,MATCH(1,('4-J Amortization'!$I$4:$I$23=Z7)*('4-J Amortization'!$H$4:$H$23=Z5),0),0)</f>
        <v>-1727041.1090931853</v>
      </c>
      <c r="AA46" s="223" cm="1">
        <f t="array" ref="AA46">INDEX('4-J Amortization'!$J$4:$J$23,MATCH(1,('4-J Amortization'!$I$4:$I$23=AA7)*('4-J Amortization'!$H$4:$H$23=AA5),0),0)</f>
        <v>-1727041.1090931853</v>
      </c>
      <c r="AB46" s="223" cm="1">
        <f t="array" ref="AB46">INDEX('4-J Amortization'!$J$4:$J$23,MATCH(1,('4-J Amortization'!$I$4:$I$23=AB7)*('4-J Amortization'!$H$4:$H$23=AB5),0),0)</f>
        <v>-1727041.1090931853</v>
      </c>
      <c r="AC46" s="223" cm="1">
        <f t="array" ref="AC46">INDEX('4-J Amortization'!$J$4:$J$23,MATCH(1,('4-J Amortization'!$I$4:$I$23=AC7)*('4-J Amortization'!$H$4:$H$23=AC5),0),0)</f>
        <v>-2103348.131956073</v>
      </c>
      <c r="AD46" s="223" cm="1">
        <f t="array" ref="AD46">INDEX('4-J Amortization'!$J$4:$J$23,MATCH(1,('4-J Amortization'!$I$4:$I$23=AD7)*('4-J Amortization'!$H$4:$H$23=AD5),0),0)</f>
        <v>-2103348.131956073</v>
      </c>
      <c r="AE46" s="223" cm="1">
        <f t="array" ref="AE46">INDEX('4-J Amortization'!$J$4:$J$23,MATCH(1,('4-J Amortization'!$I$4:$I$23=AE7)*('4-J Amortization'!$H$4:$H$23=AE5),0),0)</f>
        <v>-2103348.131956073</v>
      </c>
      <c r="AF46" s="223" cm="1">
        <f t="array" ref="AF46">INDEX('4-J Amortization'!$J$4:$J$23,MATCH(1,('4-J Amortization'!$I$4:$I$23=AF7)*('4-J Amortization'!$H$4:$H$23=AF5),0),0)</f>
        <v>-2103348.131956073</v>
      </c>
      <c r="AG46" s="223" cm="1">
        <f t="array" ref="AG46">INDEX('4-J Amortization'!$J$4:$J$23,MATCH(1,('4-J Amortization'!$I$4:$I$23=AG7)*('4-J Amortization'!$H$4:$H$23=AG5),0),0)</f>
        <v>-2103348.131956073</v>
      </c>
      <c r="AH46" s="223" cm="1">
        <f t="array" ref="AH46">INDEX('4-J Amortization'!$J$4:$J$23,MATCH(1,('4-J Amortization'!$I$4:$I$23=AH7)*('4-J Amortization'!$H$4:$H$23=AH5),0),0)</f>
        <v>-2103348.131956073</v>
      </c>
      <c r="AI46" s="223" cm="1">
        <f t="array" ref="AI46">INDEX('4-J Amortization'!$J$4:$J$23,MATCH(1,('4-J Amortization'!$I$4:$I$23=AI7)*('4-J Amortization'!$H$4:$H$23=AI5),0),0)</f>
        <v>-2103348.131956073</v>
      </c>
      <c r="AJ46" s="223" cm="1">
        <f t="array" ref="AJ46">INDEX('4-J Amortization'!$J$4:$J$23,MATCH(1,('4-J Amortization'!$I$4:$I$23=AJ7)*('4-J Amortization'!$H$4:$H$23=AJ5),0),0)</f>
        <v>-2103348.131956073</v>
      </c>
      <c r="AK46" s="223" cm="1">
        <f t="array" ref="AK46">INDEX('4-J Amortization'!$J$4:$J$23,MATCH(1,('4-J Amortization'!$I$4:$I$23=AK7)*('4-J Amortization'!$H$4:$H$23=AK5),0),0)</f>
        <v>-2103348.131956073</v>
      </c>
      <c r="AL46" s="223" cm="1">
        <f t="array" ref="AL46">INDEX('4-J Amortization'!$J$4:$J$23,MATCH(1,('4-J Amortization'!$I$4:$I$23=AL7)*('4-J Amortization'!$H$4:$H$23=AL5),0),0)</f>
        <v>-2103348.1319560725</v>
      </c>
      <c r="AM46" s="223" cm="1">
        <f t="array" ref="AM46">INDEX('4-J Amortization'!$J$4:$J$23,MATCH(1,('4-J Amortization'!$I$4:$I$23=AM7)*('4-J Amortization'!$H$4:$H$23=AM5),0),0)</f>
        <v>-2103348.1319560725</v>
      </c>
      <c r="AN46" s="223" cm="1">
        <f t="array" ref="AN46">INDEX('4-J Amortization'!$J$4:$J$23,MATCH(1,('4-J Amortization'!$I$4:$I$23=AN7)*('4-J Amortization'!$H$4:$H$23=AN5),0),0)</f>
        <v>-2103348.1319560725</v>
      </c>
      <c r="AO46" s="223" cm="1">
        <f t="array" ref="AO46">INDEX('4-J Amortization'!$J$4:$J$23,MATCH(1,('4-J Amortization'!$I$4:$I$23=AO7)*('4-J Amortization'!$H$4:$H$23=AO5),0),0)</f>
        <v>-2103348.1319560725</v>
      </c>
      <c r="AP46" s="223" cm="1">
        <f t="array" ref="AP46">INDEX('4-J Amortization'!$J$4:$J$23,MATCH(1,('4-J Amortization'!$I$4:$I$23=AP7)*('4-J Amortization'!$H$4:$H$23=AP5),0),0)</f>
        <v>-2103348.1319560725</v>
      </c>
      <c r="AQ46" s="223" cm="1">
        <f t="array" ref="AQ46">INDEX('4-J Amortization'!$J$4:$J$23,MATCH(1,('4-J Amortization'!$I$4:$I$23=AQ7)*('4-J Amortization'!$H$4:$H$23=AQ5),0),0)</f>
        <v>-2103348.1319560725</v>
      </c>
      <c r="AR46" s="224" cm="1">
        <f t="array" ref="AR46">INDEX('4-J Amortization'!$J$4:$J$23,MATCH(1,('4-J Amortization'!$I$4:$I$23=AR7)*('4-J Amortization'!$H$4:$H$23=AR5),0),0)</f>
        <v>-2103348.1319560725</v>
      </c>
      <c r="AS46" s="223"/>
      <c r="AT46" s="223"/>
      <c r="AU46" s="223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CH46" s="207"/>
      <c r="CI46" s="207"/>
    </row>
    <row r="47" spans="1:87" ht="20.25" customHeight="1">
      <c r="A47" s="207" t="s">
        <v>502</v>
      </c>
      <c r="B47" s="224">
        <f ca="1">-B42</f>
        <v>-120141990.19778679</v>
      </c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N47" s="223"/>
      <c r="AO47" s="223"/>
      <c r="AP47" s="223"/>
      <c r="AQ47" s="223"/>
      <c r="AR47" s="224">
        <f>-'4-J Amortization'!$E$13</f>
        <v>-113390482.88411002</v>
      </c>
      <c r="AS47" s="223"/>
      <c r="AT47" s="223"/>
      <c r="AU47" s="223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CH47" s="207"/>
      <c r="CI47" s="207"/>
    </row>
    <row r="48" spans="1:87" ht="20.25" customHeight="1">
      <c r="A48" s="207" t="s">
        <v>503</v>
      </c>
      <c r="B48" s="224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837">
        <f t="shared" ref="Y48:AR48" si="40">Y45/(-Y46)</f>
        <v>1.4764186532530417</v>
      </c>
      <c r="Z48" s="837">
        <f t="shared" si="40"/>
        <v>1.4764186532530417</v>
      </c>
      <c r="AA48" s="837">
        <f t="shared" si="40"/>
        <v>1.4764186532530417</v>
      </c>
      <c r="AB48" s="837">
        <f t="shared" si="40"/>
        <v>1.4764186532530417</v>
      </c>
      <c r="AC48" s="837">
        <f t="shared" si="40"/>
        <v>1.2547043060055429</v>
      </c>
      <c r="AD48" s="837">
        <f t="shared" si="40"/>
        <v>1.2547043060055429</v>
      </c>
      <c r="AE48" s="837">
        <f t="shared" si="40"/>
        <v>1.2547043060055429</v>
      </c>
      <c r="AF48" s="837">
        <f t="shared" si="40"/>
        <v>1.2547043060055429</v>
      </c>
      <c r="AG48" s="837">
        <f t="shared" si="40"/>
        <v>1.2986189567157369</v>
      </c>
      <c r="AH48" s="837">
        <f t="shared" si="40"/>
        <v>1.2986189567157369</v>
      </c>
      <c r="AI48" s="837">
        <f t="shared" si="40"/>
        <v>1.2986189567157369</v>
      </c>
      <c r="AJ48" s="837">
        <f t="shared" si="40"/>
        <v>1.2986189567157369</v>
      </c>
      <c r="AK48" s="837">
        <f t="shared" si="40"/>
        <v>1.3440706202007875</v>
      </c>
      <c r="AL48" s="837">
        <f t="shared" si="40"/>
        <v>1.3440706202007879</v>
      </c>
      <c r="AM48" s="837">
        <f t="shared" si="40"/>
        <v>1.3440706202007879</v>
      </c>
      <c r="AN48" s="837">
        <f t="shared" si="40"/>
        <v>1.3440706202007879</v>
      </c>
      <c r="AO48" s="837">
        <f t="shared" si="40"/>
        <v>1.3911130919078154</v>
      </c>
      <c r="AP48" s="837">
        <f t="shared" si="40"/>
        <v>1.3911130919078154</v>
      </c>
      <c r="AQ48" s="837">
        <f t="shared" si="40"/>
        <v>1.3911130919078154</v>
      </c>
      <c r="AR48" s="839">
        <f t="shared" si="40"/>
        <v>1.3911130919078154</v>
      </c>
      <c r="AS48" s="223"/>
      <c r="AT48" s="223"/>
      <c r="AU48" s="223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CH48" s="207"/>
      <c r="CI48" s="207"/>
    </row>
    <row r="49" spans="1:87" s="371" customFormat="1" ht="20.25" customHeight="1">
      <c r="A49" s="371" t="s">
        <v>504</v>
      </c>
      <c r="B49" s="372">
        <f>'4-J Financial'!$D$10</f>
        <v>273049977.72224271</v>
      </c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N49" s="373"/>
      <c r="AO49" s="373"/>
      <c r="AP49" s="373"/>
      <c r="AQ49" s="373"/>
      <c r="AR49" s="372">
        <f>B49</f>
        <v>273049977.72224271</v>
      </c>
      <c r="AS49" s="373"/>
      <c r="AT49" s="373"/>
      <c r="AU49" s="373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</row>
    <row r="50" spans="1:87" s="367" customFormat="1" ht="20.25" customHeight="1">
      <c r="A50" s="1092" t="s">
        <v>505</v>
      </c>
      <c r="B50" s="224">
        <f ca="1">SUM(E50:AR50)</f>
        <v>176965071.78425416</v>
      </c>
      <c r="C50" s="1095"/>
      <c r="D50" s="1095"/>
      <c r="E50" s="1095"/>
      <c r="F50" s="1095"/>
      <c r="G50" s="1095"/>
      <c r="H50" s="1095"/>
      <c r="I50" s="1095"/>
      <c r="J50" s="1095"/>
      <c r="K50" s="1095"/>
      <c r="L50" s="1095"/>
      <c r="M50" s="1095"/>
      <c r="N50" s="1095"/>
      <c r="O50" s="1095"/>
      <c r="P50" s="1095"/>
      <c r="Q50" s="1095"/>
      <c r="R50" s="1095"/>
      <c r="S50" s="1095"/>
      <c r="T50" s="1095"/>
      <c r="U50" s="1095"/>
      <c r="V50" s="1095"/>
      <c r="W50" s="1095"/>
      <c r="X50" s="1095">
        <f ca="1">SUM(X45,X44,X46,X47,X49)</f>
        <v>3173683.5948109771</v>
      </c>
      <c r="Y50" s="1095">
        <f t="shared" ref="Y50:AR50" si="41">SUM(Y45,Y44,Y46,Y47,Y49)</f>
        <v>822794.59930681461</v>
      </c>
      <c r="Z50" s="1095">
        <f t="shared" si="41"/>
        <v>822794.59930681461</v>
      </c>
      <c r="AA50" s="1095">
        <f t="shared" si="41"/>
        <v>822794.59930681461</v>
      </c>
      <c r="AB50" s="1095">
        <f t="shared" si="41"/>
        <v>822794.59930681461</v>
      </c>
      <c r="AC50" s="1095">
        <f t="shared" si="41"/>
        <v>535731.82623792673</v>
      </c>
      <c r="AD50" s="1095">
        <f t="shared" si="41"/>
        <v>535731.82623792673</v>
      </c>
      <c r="AE50" s="1095">
        <f t="shared" si="41"/>
        <v>535731.82623792673</v>
      </c>
      <c r="AF50" s="1095">
        <f t="shared" si="41"/>
        <v>535731.82623792673</v>
      </c>
      <c r="AG50" s="1095">
        <f t="shared" si="41"/>
        <v>628099.62477471679</v>
      </c>
      <c r="AH50" s="1095">
        <f t="shared" si="41"/>
        <v>628099.62477471679</v>
      </c>
      <c r="AI50" s="1095">
        <f t="shared" si="41"/>
        <v>628099.62477471679</v>
      </c>
      <c r="AJ50" s="1095">
        <f t="shared" si="41"/>
        <v>628099.62477471679</v>
      </c>
      <c r="AK50" s="1095">
        <f t="shared" si="41"/>
        <v>723700.29626029404</v>
      </c>
      <c r="AL50" s="1095">
        <f t="shared" si="41"/>
        <v>723700.2962602945</v>
      </c>
      <c r="AM50" s="1095">
        <f t="shared" si="41"/>
        <v>723700.2962602945</v>
      </c>
      <c r="AN50" s="1095">
        <f t="shared" si="41"/>
        <v>723700.2962602945</v>
      </c>
      <c r="AO50" s="1095">
        <f t="shared" si="41"/>
        <v>822646.99124786723</v>
      </c>
      <c r="AP50" s="1095">
        <f t="shared" si="41"/>
        <v>822646.99124786723</v>
      </c>
      <c r="AQ50" s="1095">
        <f t="shared" si="41"/>
        <v>822646.99124786723</v>
      </c>
      <c r="AR50" s="764">
        <f t="shared" si="41"/>
        <v>160482141.82938057</v>
      </c>
      <c r="AS50" s="1095"/>
      <c r="AT50" s="1095"/>
      <c r="AU50" s="1095"/>
      <c r="AV50" s="1093"/>
      <c r="AW50" s="1093"/>
      <c r="AX50" s="1093"/>
      <c r="AY50" s="1093"/>
      <c r="AZ50" s="1093"/>
      <c r="BA50" s="1093"/>
      <c r="BB50" s="1093"/>
      <c r="BC50" s="1093"/>
      <c r="BD50" s="1093"/>
      <c r="BE50" s="1093"/>
      <c r="BF50" s="1093"/>
      <c r="BG50" s="1093"/>
      <c r="BH50" s="1093"/>
      <c r="BI50" s="1093"/>
      <c r="BJ50" s="1093"/>
      <c r="BK50" s="1093"/>
      <c r="BL50" s="1093"/>
      <c r="BM50" s="1093"/>
      <c r="BN50" s="1093"/>
      <c r="BO50" s="1093"/>
      <c r="BP50" s="1093"/>
      <c r="BQ50" s="1093"/>
      <c r="BR50" s="1093"/>
      <c r="BS50" s="1093"/>
      <c r="BT50" s="1093"/>
      <c r="BU50" s="1093"/>
      <c r="BV50" s="1092"/>
      <c r="BW50" s="1092"/>
      <c r="BX50" s="1092"/>
      <c r="BY50" s="1092"/>
      <c r="BZ50" s="1092"/>
      <c r="CA50" s="1092"/>
      <c r="CB50" s="1092"/>
      <c r="CC50" s="1092"/>
      <c r="CD50" s="1092"/>
      <c r="CE50" s="1092"/>
      <c r="CF50" s="1092"/>
      <c r="CG50" s="1092"/>
      <c r="CH50" s="1092"/>
      <c r="CI50" s="1092"/>
    </row>
    <row r="51" spans="1:87" ht="20.25" customHeight="1">
      <c r="B51" s="224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4"/>
      <c r="AS51" s="223"/>
      <c r="AT51" s="223"/>
      <c r="AU51" s="223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CH51" s="207"/>
      <c r="CI51" s="207"/>
    </row>
    <row r="52" spans="1:87" s="238" customFormat="1" ht="20.25" customHeight="1">
      <c r="A52" s="241" t="s">
        <v>506</v>
      </c>
      <c r="B52" s="253"/>
      <c r="C52" s="242"/>
      <c r="D52" s="242"/>
      <c r="E52" s="242"/>
      <c r="F52" s="242"/>
      <c r="G52" s="242"/>
      <c r="H52" s="242"/>
      <c r="I52" s="242"/>
      <c r="J52" s="242"/>
      <c r="K52" s="243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4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T52" s="239"/>
      <c r="BU52" s="239"/>
    </row>
    <row r="53" spans="1:87" ht="20.25" customHeight="1">
      <c r="A53" s="207" t="s">
        <v>507</v>
      </c>
      <c r="B53" s="224">
        <f ca="1">SUM(F53:AR53)</f>
        <v>133797611.20124489</v>
      </c>
      <c r="C53" s="223"/>
      <c r="D53" s="223"/>
      <c r="E53" s="223">
        <f t="shared" ref="E53:AR53" si="42">SUM(-E36,E45,E49)</f>
        <v>0</v>
      </c>
      <c r="F53" s="223">
        <f t="shared" ca="1" si="42"/>
        <v>-669942.9192</v>
      </c>
      <c r="G53" s="223">
        <f t="shared" ca="1" si="42"/>
        <v>-669942.9192</v>
      </c>
      <c r="H53" s="223">
        <f t="shared" ca="1" si="42"/>
        <v>-669942.9192</v>
      </c>
      <c r="I53" s="223">
        <f t="shared" ca="1" si="42"/>
        <v>-669942.9192</v>
      </c>
      <c r="J53" s="223">
        <f t="shared" ca="1" si="42"/>
        <v>-669942.9192</v>
      </c>
      <c r="K53" s="223">
        <f t="shared" ca="1" si="42"/>
        <v>-3902354.7820660747</v>
      </c>
      <c r="L53" s="223">
        <f t="shared" ca="1" si="42"/>
        <v>-3430010.1428688867</v>
      </c>
      <c r="M53" s="223">
        <f t="shared" ca="1" si="42"/>
        <v>-7237811.9123366969</v>
      </c>
      <c r="N53" s="223">
        <f t="shared" ca="1" si="42"/>
        <v>-15213870.393504053</v>
      </c>
      <c r="O53" s="223">
        <f t="shared" ca="1" si="42"/>
        <v>-26864288.902315803</v>
      </c>
      <c r="P53" s="223">
        <f t="shared" ca="1" si="42"/>
        <v>-34877514.842597581</v>
      </c>
      <c r="Q53" s="223">
        <f t="shared" ca="1" si="42"/>
        <v>-34551848.145764261</v>
      </c>
      <c r="R53" s="223">
        <f t="shared" ca="1" si="42"/>
        <v>-25958622.205482449</v>
      </c>
      <c r="S53" s="223">
        <f t="shared" ca="1" si="42"/>
        <v>-14888203.696670728</v>
      </c>
      <c r="T53" s="223">
        <f t="shared" ca="1" si="42"/>
        <v>-6912145.2155033629</v>
      </c>
      <c r="U53" s="223">
        <f t="shared" ca="1" si="42"/>
        <v>-5638169.9627022212</v>
      </c>
      <c r="V53" s="223">
        <f t="shared" ca="1" si="42"/>
        <v>-4435657.3038994055</v>
      </c>
      <c r="W53" s="223">
        <f t="shared" ca="1" si="42"/>
        <v>-4728228.0902666664</v>
      </c>
      <c r="X53" s="223">
        <f t="shared" ca="1" si="42"/>
        <v>-1957554.2280000001</v>
      </c>
      <c r="Y53" s="223">
        <f t="shared" si="42"/>
        <v>2549835.7083999999</v>
      </c>
      <c r="Z53" s="223">
        <f t="shared" si="42"/>
        <v>2549835.7083999999</v>
      </c>
      <c r="AA53" s="223">
        <f t="shared" si="42"/>
        <v>2549835.7083999999</v>
      </c>
      <c r="AB53" s="223">
        <f t="shared" si="42"/>
        <v>2549835.7083999999</v>
      </c>
      <c r="AC53" s="223">
        <f t="shared" si="42"/>
        <v>2639079.9581939997</v>
      </c>
      <c r="AD53" s="223">
        <f t="shared" si="42"/>
        <v>2639079.9581939997</v>
      </c>
      <c r="AE53" s="223">
        <f t="shared" si="42"/>
        <v>2639079.9581939997</v>
      </c>
      <c r="AF53" s="223">
        <f t="shared" si="42"/>
        <v>2639079.9581939997</v>
      </c>
      <c r="AG53" s="223">
        <f t="shared" si="42"/>
        <v>2731447.7567307898</v>
      </c>
      <c r="AH53" s="223">
        <f t="shared" si="42"/>
        <v>2731447.7567307898</v>
      </c>
      <c r="AI53" s="223">
        <f t="shared" si="42"/>
        <v>2731447.7567307898</v>
      </c>
      <c r="AJ53" s="223">
        <f t="shared" si="42"/>
        <v>2731447.7567307898</v>
      </c>
      <c r="AK53" s="223">
        <f t="shared" si="42"/>
        <v>2827048.428216367</v>
      </c>
      <c r="AL53" s="223">
        <f t="shared" si="42"/>
        <v>2827048.428216367</v>
      </c>
      <c r="AM53" s="223">
        <f t="shared" si="42"/>
        <v>2827048.428216367</v>
      </c>
      <c r="AN53" s="223">
        <f t="shared" si="42"/>
        <v>2827048.428216367</v>
      </c>
      <c r="AO53" s="223">
        <f t="shared" si="42"/>
        <v>2925995.1232039398</v>
      </c>
      <c r="AP53" s="223">
        <f t="shared" si="42"/>
        <v>2925995.1232039398</v>
      </c>
      <c r="AQ53" s="223">
        <f t="shared" si="42"/>
        <v>2925995.1232039398</v>
      </c>
      <c r="AR53" s="224">
        <f t="shared" si="42"/>
        <v>275975972.84544665</v>
      </c>
      <c r="AS53" s="231"/>
      <c r="BT53" s="209"/>
      <c r="BU53" s="209"/>
      <c r="CH53" s="207"/>
      <c r="CI53" s="207"/>
    </row>
    <row r="54" spans="1:87" ht="20.25" customHeight="1">
      <c r="A54" s="207" t="s">
        <v>508</v>
      </c>
      <c r="B54" s="777">
        <f ca="1">IF(B53&lt;0,0,IRR(F53:AR53))</f>
        <v>2.0615167678752711E-2</v>
      </c>
      <c r="G54" s="223"/>
      <c r="BT54" s="209"/>
      <c r="BU54" s="209"/>
      <c r="CH54" s="207"/>
      <c r="CI54" s="207"/>
    </row>
    <row r="55" spans="1:87" ht="20.25" customHeight="1">
      <c r="A55" s="207" t="s">
        <v>509</v>
      </c>
      <c r="B55" s="368">
        <f ca="1">POWER((1+B54),4)-1</f>
        <v>8.5045806717475525E-2</v>
      </c>
      <c r="G55" s="223"/>
      <c r="BT55" s="209"/>
      <c r="BU55" s="209"/>
      <c r="CH55" s="207"/>
      <c r="CI55" s="207"/>
    </row>
    <row r="56" spans="1:87" s="238" customFormat="1" ht="20.25" customHeight="1">
      <c r="A56" s="241" t="s">
        <v>510</v>
      </c>
      <c r="B56" s="253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6"/>
      <c r="AS56" s="240"/>
      <c r="AT56" s="225"/>
      <c r="AU56" s="225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</row>
    <row r="57" spans="1:87" ht="20.25" customHeight="1">
      <c r="A57" s="207" t="s">
        <v>511</v>
      </c>
      <c r="B57" s="224">
        <f ca="1">SUM(F57:AR57)</f>
        <v>99386674.016262949</v>
      </c>
      <c r="C57" s="223"/>
      <c r="D57" s="223"/>
      <c r="E57" s="223">
        <f t="shared" ref="E57:AR57" si="43">SUM(-E37,E50)</f>
        <v>0</v>
      </c>
      <c r="F57" s="223">
        <f t="shared" ca="1" si="43"/>
        <v>-669942.9192</v>
      </c>
      <c r="G57" s="223">
        <f t="shared" ca="1" si="43"/>
        <v>-669942.9192</v>
      </c>
      <c r="H57" s="223">
        <f t="shared" ca="1" si="43"/>
        <v>-669942.9192</v>
      </c>
      <c r="I57" s="223">
        <f t="shared" ca="1" si="43"/>
        <v>-669942.9192</v>
      </c>
      <c r="J57" s="223">
        <f t="shared" ca="1" si="43"/>
        <v>-669942.9192</v>
      </c>
      <c r="K57" s="223">
        <f t="shared" ca="1" si="43"/>
        <v>-3902354.7820660747</v>
      </c>
      <c r="L57" s="223">
        <f t="shared" ca="1" si="43"/>
        <v>-3430010.1428688867</v>
      </c>
      <c r="M57" s="223">
        <f t="shared" ca="1" si="43"/>
        <v>-7237811.9123366969</v>
      </c>
      <c r="N57" s="223">
        <f t="shared" ca="1" si="43"/>
        <v>-15213870.393504053</v>
      </c>
      <c r="O57" s="223">
        <f t="shared" ca="1" si="43"/>
        <v>-26864288.902315803</v>
      </c>
      <c r="P57" s="223">
        <f t="shared" ca="1" si="43"/>
        <v>-17580347.038899779</v>
      </c>
      <c r="Q57" s="223">
        <f t="shared" ca="1" si="43"/>
        <v>0</v>
      </c>
      <c r="R57" s="223">
        <f t="shared" ca="1" si="43"/>
        <v>0</v>
      </c>
      <c r="S57" s="223">
        <f t="shared" ca="1" si="43"/>
        <v>0</v>
      </c>
      <c r="T57" s="223">
        <f t="shared" ca="1" si="43"/>
        <v>0</v>
      </c>
      <c r="U57" s="223">
        <f t="shared" ca="1" si="43"/>
        <v>0</v>
      </c>
      <c r="V57" s="223">
        <f t="shared" ca="1" si="43"/>
        <v>0</v>
      </c>
      <c r="W57" s="223">
        <f t="shared" ca="1" si="43"/>
        <v>0</v>
      </c>
      <c r="X57" s="223">
        <f t="shared" ca="1" si="43"/>
        <v>3173683.5948109771</v>
      </c>
      <c r="Y57" s="223">
        <f t="shared" si="43"/>
        <v>822794.59930681461</v>
      </c>
      <c r="Z57" s="223">
        <f t="shared" si="43"/>
        <v>822794.59930681461</v>
      </c>
      <c r="AA57" s="223">
        <f t="shared" si="43"/>
        <v>822794.59930681461</v>
      </c>
      <c r="AB57" s="223">
        <f t="shared" si="43"/>
        <v>822794.59930681461</v>
      </c>
      <c r="AC57" s="223">
        <f t="shared" si="43"/>
        <v>535731.82623792673</v>
      </c>
      <c r="AD57" s="223">
        <f t="shared" si="43"/>
        <v>535731.82623792673</v>
      </c>
      <c r="AE57" s="223">
        <f t="shared" si="43"/>
        <v>535731.82623792673</v>
      </c>
      <c r="AF57" s="223">
        <f t="shared" si="43"/>
        <v>535731.82623792673</v>
      </c>
      <c r="AG57" s="223">
        <f t="shared" si="43"/>
        <v>628099.62477471679</v>
      </c>
      <c r="AH57" s="223">
        <f t="shared" si="43"/>
        <v>628099.62477471679</v>
      </c>
      <c r="AI57" s="223">
        <f t="shared" si="43"/>
        <v>628099.62477471679</v>
      </c>
      <c r="AJ57" s="223">
        <f t="shared" si="43"/>
        <v>628099.62477471679</v>
      </c>
      <c r="AK57" s="223">
        <f t="shared" si="43"/>
        <v>723700.29626029404</v>
      </c>
      <c r="AL57" s="223">
        <f t="shared" si="43"/>
        <v>723700.2962602945</v>
      </c>
      <c r="AM57" s="223">
        <f t="shared" si="43"/>
        <v>723700.2962602945</v>
      </c>
      <c r="AN57" s="223">
        <f t="shared" si="43"/>
        <v>723700.2962602945</v>
      </c>
      <c r="AO57" s="223">
        <f t="shared" si="43"/>
        <v>822646.99124786723</v>
      </c>
      <c r="AP57" s="223">
        <f t="shared" si="43"/>
        <v>822646.99124786723</v>
      </c>
      <c r="AQ57" s="223">
        <f t="shared" si="43"/>
        <v>822646.99124786723</v>
      </c>
      <c r="AR57" s="224">
        <f t="shared" si="43"/>
        <v>160482141.82938057</v>
      </c>
      <c r="AS57" s="233"/>
      <c r="AT57" s="223"/>
      <c r="AU57" s="223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CH57" s="207"/>
      <c r="CI57" s="207"/>
    </row>
    <row r="58" spans="1:87" ht="20.25" customHeight="1">
      <c r="A58" s="207" t="s">
        <v>512</v>
      </c>
      <c r="B58" s="777">
        <f ca="1">IF(B57&lt;0,0,IRR(F57:AR57))</f>
        <v>2.937895326474238E-2</v>
      </c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2"/>
      <c r="AT58" s="231"/>
      <c r="AU58" s="231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CH58" s="207"/>
      <c r="CI58" s="207"/>
    </row>
    <row r="59" spans="1:87" ht="20.25" customHeight="1">
      <c r="A59" s="207" t="s">
        <v>377</v>
      </c>
      <c r="B59" s="368">
        <f ca="1">POWER((1+B58),4)-1</f>
        <v>0.12279672599846037</v>
      </c>
      <c r="C59" s="234"/>
      <c r="D59" s="234"/>
      <c r="E59" s="234"/>
      <c r="F59" s="234"/>
      <c r="G59" s="234"/>
      <c r="H59" s="234"/>
      <c r="I59" s="234"/>
      <c r="J59" s="234"/>
      <c r="K59" s="235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6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T59" s="209"/>
      <c r="BU59" s="209"/>
      <c r="CH59" s="207"/>
      <c r="CI59" s="207"/>
    </row>
    <row r="160" spans="2:2">
      <c r="B160" s="370">
        <v>0.06</v>
      </c>
    </row>
    <row r="181" spans="1:7">
      <c r="E181" s="207">
        <f>A98</f>
        <v>0</v>
      </c>
    </row>
    <row r="182" spans="1:7">
      <c r="E182" s="207" t="s">
        <v>513</v>
      </c>
      <c r="F182" s="207" t="s">
        <v>514</v>
      </c>
    </row>
    <row r="183" spans="1:7">
      <c r="A183" s="207" t="s">
        <v>515</v>
      </c>
      <c r="B183" s="208">
        <f>IFERROR(G183/$B$100,0)</f>
        <v>0</v>
      </c>
      <c r="E183" s="207">
        <f>IFERROR(G183/$B$99,0)</f>
        <v>0</v>
      </c>
      <c r="G183" s="207">
        <f>G106</f>
        <v>0</v>
      </c>
    </row>
    <row r="184" spans="1:7">
      <c r="A184" s="207" t="s">
        <v>516</v>
      </c>
      <c r="F184" s="237">
        <f>IFERROR(G184/$B$166,0)</f>
        <v>0</v>
      </c>
      <c r="G184" s="207">
        <f>G166</f>
        <v>0</v>
      </c>
    </row>
    <row r="185" spans="1:7">
      <c r="G185" s="207">
        <f>SUM(G183:G184)</f>
        <v>0</v>
      </c>
    </row>
  </sheetData>
  <mergeCells count="6">
    <mergeCell ref="BG4:BI4"/>
    <mergeCell ref="A2:A4"/>
    <mergeCell ref="E2:G2"/>
    <mergeCell ref="H2:J2"/>
    <mergeCell ref="K2:M2"/>
    <mergeCell ref="BA4:BE4"/>
  </mergeCells>
  <conditionalFormatting sqref="C9:D10">
    <cfRule type="cellIs" dxfId="5" priority="13" operator="equal">
      <formula>#REF!</formula>
    </cfRule>
    <cfRule type="cellIs" dxfId="4" priority="14" operator="equal">
      <formula>#REF!</formula>
    </cfRule>
    <cfRule type="cellIs" dxfId="3" priority="15" operator="equal">
      <formula>#REF!</formula>
    </cfRule>
    <cfRule type="cellIs" dxfId="2" priority="16" operator="equal">
      <formula>#REF!</formula>
    </cfRule>
  </conditionalFormatting>
  <pageMargins left="0.7" right="0.7" top="0.75" bottom="0.75" header="0.3" footer="0.3"/>
  <pageSetup paperSize="3" orientation="landscape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923CC-CF4C-480A-B9BE-677765AAE6A1}">
  <dimension ref="A1:T86"/>
  <sheetViews>
    <sheetView workbookViewId="0">
      <selection activeCell="E5" sqref="E5"/>
    </sheetView>
  </sheetViews>
  <sheetFormatPr defaultRowHeight="14.45"/>
  <cols>
    <col min="2" max="2" width="2" customWidth="1"/>
    <col min="4" max="4" width="10.42578125" bestFit="1" customWidth="1"/>
    <col min="5" max="5" width="15" bestFit="1" customWidth="1"/>
    <col min="6" max="6" width="15" customWidth="1"/>
    <col min="7" max="7" width="15.7109375" bestFit="1" customWidth="1"/>
    <col min="8" max="8" width="15" bestFit="1" customWidth="1"/>
    <col min="9" max="9" width="17.140625" bestFit="1" customWidth="1"/>
    <col min="10" max="10" width="13.5703125" bestFit="1" customWidth="1"/>
    <col min="11" max="11" width="13.5703125" customWidth="1"/>
    <col min="12" max="12" width="15" bestFit="1" customWidth="1"/>
    <col min="13" max="15" width="13.5703125" bestFit="1" customWidth="1"/>
    <col min="18" max="18" width="13.5703125" bestFit="1" customWidth="1"/>
    <col min="20" max="20" width="13.5703125" bestFit="1" customWidth="1"/>
  </cols>
  <sheetData>
    <row r="1" spans="1:13">
      <c r="A1" t="s">
        <v>119</v>
      </c>
    </row>
    <row r="3" spans="1:13">
      <c r="B3" s="778" t="s">
        <v>90</v>
      </c>
      <c r="C3" s="842"/>
      <c r="D3" s="842"/>
      <c r="E3" s="914">
        <f>IFERROR(INDEX(Assumptions!$J$27:$L$36,MATCH(A1,Assumptions!$J$27:$J$36,0),3),0)</f>
        <v>0.44</v>
      </c>
      <c r="H3" s="778" t="s">
        <v>518</v>
      </c>
      <c r="I3" s="1098"/>
      <c r="J3" s="827"/>
      <c r="L3" s="804" t="s">
        <v>519</v>
      </c>
      <c r="M3" s="805"/>
    </row>
    <row r="4" spans="1:13">
      <c r="B4" s="778" t="s">
        <v>520</v>
      </c>
      <c r="C4" s="1099"/>
      <c r="D4" s="779"/>
      <c r="E4" s="780">
        <f>'4-J Financial'!$D$10*E3</f>
        <v>120141990.19778679</v>
      </c>
      <c r="F4" s="823"/>
      <c r="H4" s="832">
        <v>1</v>
      </c>
      <c r="I4" s="831">
        <v>1</v>
      </c>
      <c r="J4" s="791">
        <f>SUMIFS('4-J Amortization'!$K$26:$K$86,'4-J Amortization'!$E$26:$E$86,H4,'4-J Amortization'!$F$26:$F$86,I4)</f>
        <v>-1727041.1090931853</v>
      </c>
      <c r="L4" s="806">
        <v>1</v>
      </c>
      <c r="M4" s="791">
        <f t="shared" ref="M4:M13" si="0">SUMIF($E$26:$E$386,L4,$K$26:$K$386)</f>
        <v>-6908164.4363727393</v>
      </c>
    </row>
    <row r="5" spans="1:13">
      <c r="B5" s="1026" t="s">
        <v>521</v>
      </c>
      <c r="C5" s="781"/>
      <c r="D5" s="782"/>
      <c r="E5" s="783">
        <f>'4-J DRAW'!X9+1</f>
        <v>49949</v>
      </c>
      <c r="F5" s="824"/>
      <c r="H5" s="832">
        <v>1</v>
      </c>
      <c r="I5" s="831">
        <v>2</v>
      </c>
      <c r="J5" s="791">
        <f>SUMIFS('4-J Amortization'!$K$26:$K$86,'4-J Amortization'!$E$26:$E$86,H5,'4-J Amortization'!$F$26:$F$86,I5)</f>
        <v>-1727041.1090931853</v>
      </c>
      <c r="L5" s="806">
        <f>L4+1</f>
        <v>2</v>
      </c>
      <c r="M5" s="791">
        <f t="shared" si="0"/>
        <v>-8413392.527824292</v>
      </c>
    </row>
    <row r="6" spans="1:13">
      <c r="B6" s="1026" t="s">
        <v>522</v>
      </c>
      <c r="C6" s="781"/>
      <c r="D6" s="782"/>
      <c r="E6" s="784">
        <f>Assumptions!$L$41</f>
        <v>5</v>
      </c>
      <c r="F6" s="825"/>
      <c r="G6" s="785"/>
      <c r="H6" s="832">
        <v>1</v>
      </c>
      <c r="I6" s="831">
        <v>3</v>
      </c>
      <c r="J6" s="791">
        <f>SUMIFS('4-J Amortization'!$K$26:$K$86,'4-J Amortization'!$E$26:$E$86,H6,'4-J Amortization'!$F$26:$F$86,I6)</f>
        <v>-1727041.1090931853</v>
      </c>
      <c r="L6" s="806">
        <f t="shared" ref="L6:L13" si="1">L5+1</f>
        <v>3</v>
      </c>
      <c r="M6" s="791">
        <f t="shared" si="0"/>
        <v>-8413392.527824292</v>
      </c>
    </row>
    <row r="7" spans="1:13">
      <c r="B7" s="1026" t="s">
        <v>523</v>
      </c>
      <c r="C7" s="781"/>
      <c r="D7" s="782"/>
      <c r="E7" s="803">
        <v>360</v>
      </c>
      <c r="F7" s="826"/>
      <c r="H7" s="832">
        <v>1</v>
      </c>
      <c r="I7" s="831">
        <v>4</v>
      </c>
      <c r="J7" s="791">
        <f>SUMIFS('4-J Amortization'!$K$26:$K$86,'4-J Amortization'!$E$26:$E$86,H7,'4-J Amortization'!$F$26:$F$86,I7)</f>
        <v>-1727041.1090931853</v>
      </c>
      <c r="L7" s="806">
        <f t="shared" si="1"/>
        <v>4</v>
      </c>
      <c r="M7" s="791">
        <f t="shared" si="0"/>
        <v>-8413392.5278242901</v>
      </c>
    </row>
    <row r="8" spans="1:13">
      <c r="B8" s="1026" t="s">
        <v>524</v>
      </c>
      <c r="C8" s="781"/>
      <c r="D8" s="782"/>
      <c r="E8" s="801">
        <v>1</v>
      </c>
      <c r="F8" s="786">
        <f>IF(E8="","",VLOOKUP(E8,$C$26:$D$386,2,FALSE))</f>
        <v>49979</v>
      </c>
      <c r="H8" s="832">
        <v>2</v>
      </c>
      <c r="I8" s="831">
        <v>1</v>
      </c>
      <c r="J8" s="791">
        <f>SUMIFS('4-J Amortization'!$K$26:$K$86,'4-J Amortization'!$E$26:$E$86,H8,'4-J Amortization'!$F$26:$F$86,I8)</f>
        <v>-2103348.131956073</v>
      </c>
      <c r="L8" s="806">
        <f t="shared" si="1"/>
        <v>5</v>
      </c>
      <c r="M8" s="791">
        <f t="shared" si="0"/>
        <v>-8413392.5278242901</v>
      </c>
    </row>
    <row r="9" spans="1:13">
      <c r="B9" s="1026" t="s">
        <v>525</v>
      </c>
      <c r="C9" s="781"/>
      <c r="D9" s="782"/>
      <c r="E9" s="802">
        <v>12</v>
      </c>
      <c r="F9" s="787">
        <f>IF(E9="","",VLOOKUP(E9,$C$26:$D$386,2,FALSE))</f>
        <v>50313</v>
      </c>
      <c r="H9" s="832">
        <v>2</v>
      </c>
      <c r="I9" s="831">
        <v>2</v>
      </c>
      <c r="J9" s="791">
        <f>SUMIFS('4-J Amortization'!$K$26:$K$86,'4-J Amortization'!$E$26:$E$86,H9,'4-J Amortization'!$F$26:$F$86,I9)</f>
        <v>-2103348.131956073</v>
      </c>
      <c r="L9" s="806">
        <f t="shared" si="1"/>
        <v>6</v>
      </c>
      <c r="M9" s="791">
        <f t="shared" si="0"/>
        <v>0</v>
      </c>
    </row>
    <row r="10" spans="1:13">
      <c r="B10" s="1026" t="s">
        <v>526</v>
      </c>
      <c r="C10" s="781"/>
      <c r="D10" s="782"/>
      <c r="E10" s="788">
        <f>Assumptions!$L6</f>
        <v>5.7500000000000002E-2</v>
      </c>
      <c r="H10" s="832">
        <v>2</v>
      </c>
      <c r="I10" s="831">
        <v>3</v>
      </c>
      <c r="J10" s="791">
        <f>SUMIFS('4-J Amortization'!$K$26:$K$86,'4-J Amortization'!$E$26:$E$86,H10,'4-J Amortization'!$F$26:$F$86,I10)</f>
        <v>-2103348.131956073</v>
      </c>
      <c r="L10" s="806">
        <f t="shared" si="1"/>
        <v>7</v>
      </c>
      <c r="M10" s="791">
        <f t="shared" si="0"/>
        <v>0</v>
      </c>
    </row>
    <row r="11" spans="1:13">
      <c r="B11" s="1026" t="s">
        <v>527</v>
      </c>
      <c r="C11" s="781"/>
      <c r="D11" s="782"/>
      <c r="E11" s="788">
        <f>Assumptions!$L7</f>
        <v>5.0000000000000001E-3</v>
      </c>
      <c r="F11" s="789">
        <f>E11*E4</f>
        <v>600709.95098893403</v>
      </c>
      <c r="H11" s="832">
        <v>2</v>
      </c>
      <c r="I11" s="831">
        <v>4</v>
      </c>
      <c r="J11" s="791">
        <f>SUMIFS('4-J Amortization'!$K$26:$K$86,'4-J Amortization'!$E$26:$E$86,H11,'4-J Amortization'!$F$26:$F$86,I11)</f>
        <v>-2103348.131956073</v>
      </c>
      <c r="L11" s="806">
        <f t="shared" si="1"/>
        <v>8</v>
      </c>
      <c r="M11" s="791">
        <f t="shared" si="0"/>
        <v>0</v>
      </c>
    </row>
    <row r="12" spans="1:13">
      <c r="B12" s="1026" t="s">
        <v>528</v>
      </c>
      <c r="C12" s="781"/>
      <c r="D12" s="782"/>
      <c r="E12" s="1027" t="s">
        <v>529</v>
      </c>
      <c r="H12" s="832">
        <v>3</v>
      </c>
      <c r="I12" s="831">
        <v>1</v>
      </c>
      <c r="J12" s="791">
        <f>SUMIFS('4-J Amortization'!$K$26:$K$86,'4-J Amortization'!$E$26:$E$86,H12,'4-J Amortization'!$F$26:$F$86,I12)</f>
        <v>-2103348.131956073</v>
      </c>
      <c r="L12" s="806">
        <f t="shared" si="1"/>
        <v>9</v>
      </c>
      <c r="M12" s="791">
        <f t="shared" si="0"/>
        <v>0</v>
      </c>
    </row>
    <row r="13" spans="1:13">
      <c r="B13" s="1026" t="s">
        <v>530</v>
      </c>
      <c r="C13" s="781"/>
      <c r="D13" s="782"/>
      <c r="E13" s="791">
        <f>VLOOKUP(MIN(E6*12,E14),$C$26:$L$386,10,FALSE)</f>
        <v>113390482.88411002</v>
      </c>
      <c r="H13" s="832">
        <v>3</v>
      </c>
      <c r="I13" s="831">
        <v>2</v>
      </c>
      <c r="J13" s="791">
        <f>SUMIFS('4-J Amortization'!$K$26:$K$86,'4-J Amortization'!$E$26:$E$86,H13,'4-J Amortization'!$F$26:$F$86,I13)</f>
        <v>-2103348.131956073</v>
      </c>
      <c r="L13" s="807">
        <f t="shared" si="1"/>
        <v>10</v>
      </c>
      <c r="M13" s="808">
        <f t="shared" si="0"/>
        <v>0</v>
      </c>
    </row>
    <row r="14" spans="1:13">
      <c r="B14" s="792" t="s">
        <v>531</v>
      </c>
      <c r="C14" s="793"/>
      <c r="D14" s="794"/>
      <c r="E14" s="790">
        <f>E6*12</f>
        <v>60</v>
      </c>
      <c r="F14" s="795"/>
      <c r="H14" s="832">
        <v>3</v>
      </c>
      <c r="I14" s="831">
        <v>3</v>
      </c>
      <c r="J14" s="791">
        <f>SUMIFS('4-J Amortization'!$K$26:$K$86,'4-J Amortization'!$E$26:$E$86,H14,'4-J Amortization'!$F$26:$F$86,I14)</f>
        <v>-2103348.131956073</v>
      </c>
      <c r="K14" s="809"/>
    </row>
    <row r="15" spans="1:13">
      <c r="H15" s="832">
        <v>3</v>
      </c>
      <c r="I15" s="831">
        <v>4</v>
      </c>
      <c r="J15" s="791">
        <f>SUMIFS('4-J Amortization'!$K$26:$K$86,'4-J Amortization'!$E$26:$E$86,H15,'4-J Amortization'!$F$26:$F$86,I15)</f>
        <v>-2103348.131956073</v>
      </c>
      <c r="K15" s="809"/>
    </row>
    <row r="16" spans="1:13">
      <c r="H16" s="832">
        <v>4</v>
      </c>
      <c r="I16" s="831">
        <v>1</v>
      </c>
      <c r="J16" s="791">
        <f>SUMIFS('4-J Amortization'!$K$26:$K$86,'4-J Amortization'!$E$26:$E$86,H16,'4-J Amortization'!$F$26:$F$86,I16)</f>
        <v>-2103348.131956073</v>
      </c>
      <c r="K16" s="809"/>
    </row>
    <row r="17" spans="3:20">
      <c r="H17" s="832">
        <v>4</v>
      </c>
      <c r="I17" s="831">
        <v>2</v>
      </c>
      <c r="J17" s="791">
        <f>SUMIFS('4-J Amortization'!$K$26:$K$86,'4-J Amortization'!$E$26:$E$86,H17,'4-J Amortization'!$F$26:$F$86,I17)</f>
        <v>-2103348.1319560725</v>
      </c>
      <c r="K17" s="809"/>
    </row>
    <row r="18" spans="3:20">
      <c r="H18" s="832">
        <v>4</v>
      </c>
      <c r="I18" s="831">
        <v>3</v>
      </c>
      <c r="J18" s="791">
        <f>SUMIFS('4-J Amortization'!$K$26:$K$86,'4-J Amortization'!$E$26:$E$86,H18,'4-J Amortization'!$F$26:$F$86,I18)</f>
        <v>-2103348.1319560725</v>
      </c>
      <c r="K18" s="809"/>
    </row>
    <row r="19" spans="3:20">
      <c r="H19" s="832">
        <v>4</v>
      </c>
      <c r="I19" s="831">
        <v>4</v>
      </c>
      <c r="J19" s="791">
        <f>SUMIFS('4-J Amortization'!$K$26:$K$86,'4-J Amortization'!$E$26:$E$86,H19,'4-J Amortization'!$F$26:$F$86,I19)</f>
        <v>-2103348.1319560725</v>
      </c>
      <c r="K19" s="809"/>
    </row>
    <row r="20" spans="3:20">
      <c r="H20" s="832">
        <v>5</v>
      </c>
      <c r="I20" s="831">
        <v>1</v>
      </c>
      <c r="J20" s="791">
        <f>SUMIFS('4-J Amortization'!$K$26:$K$86,'4-J Amortization'!$E$26:$E$86,H20,'4-J Amortization'!$F$26:$F$86,I20)</f>
        <v>-2103348.1319560725</v>
      </c>
      <c r="K20" s="809"/>
    </row>
    <row r="21" spans="3:20">
      <c r="H21" s="832">
        <v>5</v>
      </c>
      <c r="I21" s="831">
        <v>2</v>
      </c>
      <c r="J21" s="791">
        <f>SUMIFS('4-J Amortization'!$K$26:$K$86,'4-J Amortization'!$E$26:$E$86,H21,'4-J Amortization'!$F$26:$F$86,I21)</f>
        <v>-2103348.1319560725</v>
      </c>
      <c r="K21" s="809"/>
    </row>
    <row r="22" spans="3:20">
      <c r="H22" s="832">
        <v>5</v>
      </c>
      <c r="I22" s="831">
        <v>3</v>
      </c>
      <c r="J22" s="791">
        <f>SUMIFS('4-J Amortization'!$K$26:$K$86,'4-J Amortization'!$E$26:$E$86,H22,'4-J Amortization'!$F$26:$F$86,I22)</f>
        <v>-2103348.1319560725</v>
      </c>
      <c r="K22" s="809"/>
    </row>
    <row r="23" spans="3:20">
      <c r="H23" s="833">
        <v>5</v>
      </c>
      <c r="I23" s="834">
        <v>4</v>
      </c>
      <c r="J23" s="808">
        <f>SUMIFS('4-J Amortization'!$K$26:$K$86,'4-J Amortization'!$E$26:$E$86,H23,'4-J Amortization'!$F$26:$F$86,I23)</f>
        <v>-2103348.1319560725</v>
      </c>
      <c r="K23" s="809"/>
    </row>
    <row r="24" spans="3:20">
      <c r="R24" s="809"/>
      <c r="T24" s="809"/>
    </row>
    <row r="25" spans="3:20" ht="15" thickBot="1">
      <c r="C25" s="811" t="s">
        <v>532</v>
      </c>
      <c r="D25" s="812" t="s">
        <v>533</v>
      </c>
      <c r="E25" s="812" t="s">
        <v>534</v>
      </c>
      <c r="F25" s="1100" t="s">
        <v>535</v>
      </c>
      <c r="G25" s="1100" t="s">
        <v>536</v>
      </c>
      <c r="H25" s="812" t="s">
        <v>537</v>
      </c>
      <c r="I25" s="812" t="s">
        <v>538</v>
      </c>
      <c r="J25" s="812" t="s">
        <v>520</v>
      </c>
      <c r="K25" s="812" t="s">
        <v>539</v>
      </c>
      <c r="L25" s="813" t="s">
        <v>540</v>
      </c>
    </row>
    <row r="26" spans="3:20">
      <c r="C26" s="796">
        <v>0</v>
      </c>
      <c r="D26" s="797">
        <f>E5</f>
        <v>49949</v>
      </c>
      <c r="E26" s="798">
        <f>ROUNDUP(C26/12,0)</f>
        <v>0</v>
      </c>
      <c r="F26" s="798"/>
      <c r="G26" s="799"/>
      <c r="I26" s="809"/>
      <c r="K26" s="809">
        <f t="shared" ref="K26:K57" si="2">SUM(I26:J26)</f>
        <v>0</v>
      </c>
      <c r="L26" s="791">
        <f t="shared" ref="L26:L57" si="3">IF(C26=0,$E$4,H26+J26)</f>
        <v>120141990.19778679</v>
      </c>
    </row>
    <row r="27" spans="3:20" ht="15" customHeight="1">
      <c r="C27" s="814">
        <f>C26+1</f>
        <v>1</v>
      </c>
      <c r="D27" s="815">
        <f t="shared" ref="D27:D58" si="4">EOMONTH($E$5,C27-1)</f>
        <v>49979</v>
      </c>
      <c r="E27" s="800">
        <f t="shared" ref="E27:E86" si="5">ROUNDUP(C27/12,0)</f>
        <v>1</v>
      </c>
      <c r="F27" s="800">
        <f>CHOOSE(MONTH(D27), 2, 2, 2, 3, 3, 3, 4, 4, 4, 1, 1, 1)</f>
        <v>1</v>
      </c>
      <c r="G27" s="816" t="str">
        <f>IF($E$12="NO",G26+1,
IF(OR(D27&lt;$F$8,D27&gt;$F$9),MAX($G$26:G26)+1,""))</f>
        <v/>
      </c>
      <c r="H27" s="809">
        <f t="shared" ref="H27:H58" si="6">IF(OR(E27&gt;$E$6,C27&gt;$E$14),0,L26)</f>
        <v>120141990.19778679</v>
      </c>
      <c r="I27" s="809">
        <f t="shared" ref="I27:I58" si="7">IF(OR(E27&gt;$E$6*12,C27&gt;$E$14),0,-H27*$E$10/12)</f>
        <v>-575680.36969772843</v>
      </c>
      <c r="J27" s="817">
        <f t="shared" ref="J27:J58" si="8">IF(OR(E27&gt;$E$6,C27&gt;$E$14),0,
IF(AND($E$8&lt;&gt;OR(0,""),$E$9&lt;&gt;OR(0,""),C27&gt;=$E$8,C27&lt;=$E$9),0,PPMT($E$10/12,IF($E$12="YES",G27,C27),$E$7,$E$4)))</f>
        <v>0</v>
      </c>
      <c r="K27" s="809">
        <f t="shared" si="2"/>
        <v>-575680.36969772843</v>
      </c>
      <c r="L27" s="791">
        <f t="shared" si="3"/>
        <v>120141990.19778679</v>
      </c>
    </row>
    <row r="28" spans="3:20">
      <c r="C28" s="814">
        <f t="shared" ref="C28:C86" si="9">C27+1</f>
        <v>2</v>
      </c>
      <c r="D28" s="815">
        <f t="shared" si="4"/>
        <v>50009</v>
      </c>
      <c r="E28" s="800">
        <f t="shared" si="5"/>
        <v>1</v>
      </c>
      <c r="F28" s="800">
        <f t="shared" ref="F28:F86" si="10">CHOOSE(MONTH(D28), 2, 2, 2, 3, 3, 3, 4, 4, 4, 1, 1, 1)</f>
        <v>1</v>
      </c>
      <c r="G28" s="816" t="str">
        <f>IF($E$12="NO",G27+1,
IF(OR(D28&lt;$F$8,D28&gt;$F$9),MAX($G$26:G27)+1,""))</f>
        <v/>
      </c>
      <c r="H28" s="809">
        <f t="shared" si="6"/>
        <v>120141990.19778679</v>
      </c>
      <c r="I28" s="809">
        <f t="shared" si="7"/>
        <v>-575680.36969772843</v>
      </c>
      <c r="J28" s="817">
        <f t="shared" si="8"/>
        <v>0</v>
      </c>
      <c r="K28" s="809">
        <f t="shared" si="2"/>
        <v>-575680.36969772843</v>
      </c>
      <c r="L28" s="791">
        <f t="shared" si="3"/>
        <v>120141990.19778679</v>
      </c>
    </row>
    <row r="29" spans="3:20">
      <c r="C29" s="814">
        <f t="shared" si="9"/>
        <v>3</v>
      </c>
      <c r="D29" s="815">
        <f t="shared" si="4"/>
        <v>50040</v>
      </c>
      <c r="E29" s="800">
        <f t="shared" si="5"/>
        <v>1</v>
      </c>
      <c r="F29" s="800">
        <f t="shared" si="10"/>
        <v>1</v>
      </c>
      <c r="G29" s="816" t="str">
        <f>IF($E$12="NO",G28+1,
IF(OR(D29&lt;$F$8,D29&gt;$F$9),MAX($G$26:G28)+1,""))</f>
        <v/>
      </c>
      <c r="H29" s="809">
        <f t="shared" si="6"/>
        <v>120141990.19778679</v>
      </c>
      <c r="I29" s="809">
        <f t="shared" si="7"/>
        <v>-575680.36969772843</v>
      </c>
      <c r="J29" s="817">
        <f t="shared" si="8"/>
        <v>0</v>
      </c>
      <c r="K29" s="809">
        <f t="shared" si="2"/>
        <v>-575680.36969772843</v>
      </c>
      <c r="L29" s="791">
        <f t="shared" si="3"/>
        <v>120141990.19778679</v>
      </c>
    </row>
    <row r="30" spans="3:20">
      <c r="C30" s="814">
        <f t="shared" si="9"/>
        <v>4</v>
      </c>
      <c r="D30" s="815">
        <f t="shared" si="4"/>
        <v>50071</v>
      </c>
      <c r="E30" s="800">
        <f t="shared" si="5"/>
        <v>1</v>
      </c>
      <c r="F30" s="800">
        <f t="shared" si="10"/>
        <v>2</v>
      </c>
      <c r="G30" s="816" t="str">
        <f>IF($E$12="NO",G29+1,
IF(OR(D30&lt;$F$8,D30&gt;$F$9),MAX($G$26:G29)+1,""))</f>
        <v/>
      </c>
      <c r="H30" s="809">
        <f t="shared" si="6"/>
        <v>120141990.19778679</v>
      </c>
      <c r="I30" s="809">
        <f t="shared" si="7"/>
        <v>-575680.36969772843</v>
      </c>
      <c r="J30" s="817">
        <f t="shared" si="8"/>
        <v>0</v>
      </c>
      <c r="K30" s="809">
        <f t="shared" si="2"/>
        <v>-575680.36969772843</v>
      </c>
      <c r="L30" s="791">
        <f t="shared" si="3"/>
        <v>120141990.19778679</v>
      </c>
    </row>
    <row r="31" spans="3:20">
      <c r="C31" s="814">
        <f t="shared" si="9"/>
        <v>5</v>
      </c>
      <c r="D31" s="815">
        <f t="shared" si="4"/>
        <v>50099</v>
      </c>
      <c r="E31" s="800">
        <f t="shared" si="5"/>
        <v>1</v>
      </c>
      <c r="F31" s="800">
        <f t="shared" si="10"/>
        <v>2</v>
      </c>
      <c r="G31" s="816" t="str">
        <f>IF($E$12="NO",G30+1,
IF(OR(D31&lt;$F$8,D31&gt;$F$9),MAX($G$26:G30)+1,""))</f>
        <v/>
      </c>
      <c r="H31" s="809">
        <f t="shared" si="6"/>
        <v>120141990.19778679</v>
      </c>
      <c r="I31" s="809">
        <f t="shared" si="7"/>
        <v>-575680.36969772843</v>
      </c>
      <c r="J31" s="817">
        <f t="shared" si="8"/>
        <v>0</v>
      </c>
      <c r="K31" s="809">
        <f t="shared" si="2"/>
        <v>-575680.36969772843</v>
      </c>
      <c r="L31" s="791">
        <f t="shared" si="3"/>
        <v>120141990.19778679</v>
      </c>
    </row>
    <row r="32" spans="3:20">
      <c r="C32" s="814">
        <f t="shared" si="9"/>
        <v>6</v>
      </c>
      <c r="D32" s="815">
        <f t="shared" si="4"/>
        <v>50130</v>
      </c>
      <c r="E32" s="800">
        <f t="shared" si="5"/>
        <v>1</v>
      </c>
      <c r="F32" s="800">
        <f t="shared" si="10"/>
        <v>2</v>
      </c>
      <c r="G32" s="816" t="str">
        <f>IF($E$12="NO",G31+1,
IF(OR(D32&lt;$F$8,D32&gt;$F$9),MAX($G$26:G31)+1,""))</f>
        <v/>
      </c>
      <c r="H32" s="809">
        <f t="shared" si="6"/>
        <v>120141990.19778679</v>
      </c>
      <c r="I32" s="809">
        <f t="shared" si="7"/>
        <v>-575680.36969772843</v>
      </c>
      <c r="J32" s="817">
        <f t="shared" si="8"/>
        <v>0</v>
      </c>
      <c r="K32" s="809">
        <f t="shared" si="2"/>
        <v>-575680.36969772843</v>
      </c>
      <c r="L32" s="791">
        <f t="shared" si="3"/>
        <v>120141990.19778679</v>
      </c>
    </row>
    <row r="33" spans="3:12">
      <c r="C33" s="814">
        <f t="shared" si="9"/>
        <v>7</v>
      </c>
      <c r="D33" s="815">
        <f t="shared" si="4"/>
        <v>50160</v>
      </c>
      <c r="E33" s="800">
        <f t="shared" si="5"/>
        <v>1</v>
      </c>
      <c r="F33" s="800">
        <f t="shared" si="10"/>
        <v>3</v>
      </c>
      <c r="G33" s="816" t="str">
        <f>IF($E$12="NO",G32+1,
IF(OR(D33&lt;$F$8,D33&gt;$F$9),MAX($G$26:G32)+1,""))</f>
        <v/>
      </c>
      <c r="H33" s="809">
        <f t="shared" si="6"/>
        <v>120141990.19778679</v>
      </c>
      <c r="I33" s="809">
        <f t="shared" si="7"/>
        <v>-575680.36969772843</v>
      </c>
      <c r="J33" s="817">
        <f t="shared" si="8"/>
        <v>0</v>
      </c>
      <c r="K33" s="809">
        <f t="shared" si="2"/>
        <v>-575680.36969772843</v>
      </c>
      <c r="L33" s="791">
        <f t="shared" si="3"/>
        <v>120141990.19778679</v>
      </c>
    </row>
    <row r="34" spans="3:12">
      <c r="C34" s="814">
        <f t="shared" si="9"/>
        <v>8</v>
      </c>
      <c r="D34" s="815">
        <f t="shared" si="4"/>
        <v>50191</v>
      </c>
      <c r="E34" s="800">
        <f t="shared" si="5"/>
        <v>1</v>
      </c>
      <c r="F34" s="800">
        <f t="shared" si="10"/>
        <v>3</v>
      </c>
      <c r="G34" s="816" t="str">
        <f>IF($E$12="NO",G33+1,
IF(OR(D34&lt;$F$8,D34&gt;$F$9),MAX($G$26:G33)+1,""))</f>
        <v/>
      </c>
      <c r="H34" s="809">
        <f t="shared" si="6"/>
        <v>120141990.19778679</v>
      </c>
      <c r="I34" s="809">
        <f t="shared" si="7"/>
        <v>-575680.36969772843</v>
      </c>
      <c r="J34" s="817">
        <f t="shared" si="8"/>
        <v>0</v>
      </c>
      <c r="K34" s="809">
        <f t="shared" si="2"/>
        <v>-575680.36969772843</v>
      </c>
      <c r="L34" s="791">
        <f t="shared" si="3"/>
        <v>120141990.19778679</v>
      </c>
    </row>
    <row r="35" spans="3:12">
      <c r="C35" s="814">
        <f t="shared" si="9"/>
        <v>9</v>
      </c>
      <c r="D35" s="815">
        <f t="shared" si="4"/>
        <v>50221</v>
      </c>
      <c r="E35" s="800">
        <f t="shared" si="5"/>
        <v>1</v>
      </c>
      <c r="F35" s="800">
        <f t="shared" si="10"/>
        <v>3</v>
      </c>
      <c r="G35" s="816" t="str">
        <f>IF($E$12="NO",G34+1,
IF(OR(D35&lt;$F$8,D35&gt;$F$9),MAX($G$26:G34)+1,""))</f>
        <v/>
      </c>
      <c r="H35" s="809">
        <f t="shared" si="6"/>
        <v>120141990.19778679</v>
      </c>
      <c r="I35" s="809">
        <f t="shared" si="7"/>
        <v>-575680.36969772843</v>
      </c>
      <c r="J35" s="817">
        <f t="shared" si="8"/>
        <v>0</v>
      </c>
      <c r="K35" s="809">
        <f t="shared" si="2"/>
        <v>-575680.36969772843</v>
      </c>
      <c r="L35" s="791">
        <f t="shared" si="3"/>
        <v>120141990.19778679</v>
      </c>
    </row>
    <row r="36" spans="3:12">
      <c r="C36" s="814">
        <f t="shared" si="9"/>
        <v>10</v>
      </c>
      <c r="D36" s="815">
        <f t="shared" si="4"/>
        <v>50252</v>
      </c>
      <c r="E36" s="800">
        <f t="shared" si="5"/>
        <v>1</v>
      </c>
      <c r="F36" s="800">
        <f t="shared" si="10"/>
        <v>4</v>
      </c>
      <c r="G36" s="816" t="str">
        <f>IF($E$12="NO",G35+1,
IF(OR(D36&lt;$F$8,D36&gt;$F$9),MAX($G$26:G35)+1,""))</f>
        <v/>
      </c>
      <c r="H36" s="809">
        <f t="shared" si="6"/>
        <v>120141990.19778679</v>
      </c>
      <c r="I36" s="809">
        <f t="shared" si="7"/>
        <v>-575680.36969772843</v>
      </c>
      <c r="J36" s="817">
        <f t="shared" si="8"/>
        <v>0</v>
      </c>
      <c r="K36" s="809">
        <f t="shared" si="2"/>
        <v>-575680.36969772843</v>
      </c>
      <c r="L36" s="791">
        <f t="shared" si="3"/>
        <v>120141990.19778679</v>
      </c>
    </row>
    <row r="37" spans="3:12">
      <c r="C37" s="814">
        <f t="shared" si="9"/>
        <v>11</v>
      </c>
      <c r="D37" s="815">
        <f t="shared" si="4"/>
        <v>50283</v>
      </c>
      <c r="E37" s="800">
        <f t="shared" si="5"/>
        <v>1</v>
      </c>
      <c r="F37" s="800">
        <f t="shared" si="10"/>
        <v>4</v>
      </c>
      <c r="G37" s="816" t="str">
        <f>IF($E$12="NO",G36+1,
IF(OR(D37&lt;$F$8,D37&gt;$F$9),MAX($G$26:G36)+1,""))</f>
        <v/>
      </c>
      <c r="H37" s="809">
        <f t="shared" si="6"/>
        <v>120141990.19778679</v>
      </c>
      <c r="I37" s="809">
        <f t="shared" si="7"/>
        <v>-575680.36969772843</v>
      </c>
      <c r="J37" s="817">
        <f t="shared" si="8"/>
        <v>0</v>
      </c>
      <c r="K37" s="809">
        <f t="shared" si="2"/>
        <v>-575680.36969772843</v>
      </c>
      <c r="L37" s="791">
        <f t="shared" si="3"/>
        <v>120141990.19778679</v>
      </c>
    </row>
    <row r="38" spans="3:12">
      <c r="C38" s="814">
        <f t="shared" si="9"/>
        <v>12</v>
      </c>
      <c r="D38" s="815">
        <f t="shared" si="4"/>
        <v>50313</v>
      </c>
      <c r="E38" s="800">
        <f t="shared" si="5"/>
        <v>1</v>
      </c>
      <c r="F38" s="800">
        <f t="shared" si="10"/>
        <v>4</v>
      </c>
      <c r="G38" s="816" t="str">
        <f>IF($E$12="NO",G37+1,
IF(OR(D38&lt;$F$8,D38&gt;$F$9),MAX($G$26:G37)+1,""))</f>
        <v/>
      </c>
      <c r="H38" s="809">
        <f t="shared" si="6"/>
        <v>120141990.19778679</v>
      </c>
      <c r="I38" s="809">
        <f t="shared" si="7"/>
        <v>-575680.36969772843</v>
      </c>
      <c r="J38" s="817">
        <f t="shared" si="8"/>
        <v>0</v>
      </c>
      <c r="K38" s="809">
        <f t="shared" si="2"/>
        <v>-575680.36969772843</v>
      </c>
      <c r="L38" s="791">
        <f t="shared" si="3"/>
        <v>120141990.19778679</v>
      </c>
    </row>
    <row r="39" spans="3:12">
      <c r="C39" s="814">
        <f t="shared" si="9"/>
        <v>13</v>
      </c>
      <c r="D39" s="815">
        <f t="shared" si="4"/>
        <v>50344</v>
      </c>
      <c r="E39" s="800">
        <f t="shared" si="5"/>
        <v>2</v>
      </c>
      <c r="F39" s="800">
        <f t="shared" si="10"/>
        <v>1</v>
      </c>
      <c r="G39" s="816">
        <f>IF($E$12="NO",G38+1,
IF(OR(D39&lt;$F$8,D39&gt;$F$9),MAX($G$26:G38)+1,""))</f>
        <v>1</v>
      </c>
      <c r="H39" s="809">
        <f t="shared" si="6"/>
        <v>120141990.19778679</v>
      </c>
      <c r="I39" s="809">
        <f t="shared" si="7"/>
        <v>-575680.36969772843</v>
      </c>
      <c r="J39" s="817">
        <f t="shared" si="8"/>
        <v>-125435.67428762934</v>
      </c>
      <c r="K39" s="809">
        <f t="shared" si="2"/>
        <v>-701116.04398535774</v>
      </c>
      <c r="L39" s="791">
        <f t="shared" si="3"/>
        <v>120016554.52349916</v>
      </c>
    </row>
    <row r="40" spans="3:12">
      <c r="C40" s="814">
        <f t="shared" si="9"/>
        <v>14</v>
      </c>
      <c r="D40" s="815">
        <f t="shared" si="4"/>
        <v>50374</v>
      </c>
      <c r="E40" s="800">
        <f t="shared" si="5"/>
        <v>2</v>
      </c>
      <c r="F40" s="800">
        <f t="shared" si="10"/>
        <v>1</v>
      </c>
      <c r="G40" s="816">
        <f>IF($E$12="NO",G39+1,
IF(OR(D40&lt;$F$8,D40&gt;$F$9),MAX($G$26:G39)+1,""))</f>
        <v>2</v>
      </c>
      <c r="H40" s="809">
        <f t="shared" si="6"/>
        <v>120016554.52349916</v>
      </c>
      <c r="I40" s="809">
        <f t="shared" si="7"/>
        <v>-575079.32375843346</v>
      </c>
      <c r="J40" s="817">
        <f t="shared" si="8"/>
        <v>-126036.72022692421</v>
      </c>
      <c r="K40" s="809">
        <f t="shared" si="2"/>
        <v>-701116.04398535762</v>
      </c>
      <c r="L40" s="791">
        <f t="shared" si="3"/>
        <v>119890517.80327223</v>
      </c>
    </row>
    <row r="41" spans="3:12">
      <c r="C41" s="814">
        <f t="shared" si="9"/>
        <v>15</v>
      </c>
      <c r="D41" s="815">
        <f t="shared" si="4"/>
        <v>50405</v>
      </c>
      <c r="E41" s="800">
        <f t="shared" si="5"/>
        <v>2</v>
      </c>
      <c r="F41" s="800">
        <f t="shared" si="10"/>
        <v>1</v>
      </c>
      <c r="G41" s="816">
        <f>IF($E$12="NO",G40+1,
IF(OR(D41&lt;$F$8,D41&gt;$F$9),MAX($G$26:G40)+1,""))</f>
        <v>3</v>
      </c>
      <c r="H41" s="809">
        <f t="shared" si="6"/>
        <v>119890517.80327223</v>
      </c>
      <c r="I41" s="809">
        <f t="shared" si="7"/>
        <v>-574475.39780734607</v>
      </c>
      <c r="J41" s="817">
        <f t="shared" si="8"/>
        <v>-126640.64617801156</v>
      </c>
      <c r="K41" s="809">
        <f t="shared" si="2"/>
        <v>-701116.04398535762</v>
      </c>
      <c r="L41" s="791">
        <f t="shared" si="3"/>
        <v>119763877.15709423</v>
      </c>
    </row>
    <row r="42" spans="3:12">
      <c r="C42" s="814">
        <f t="shared" si="9"/>
        <v>16</v>
      </c>
      <c r="D42" s="815">
        <f t="shared" si="4"/>
        <v>50436</v>
      </c>
      <c r="E42" s="800">
        <f t="shared" si="5"/>
        <v>2</v>
      </c>
      <c r="F42" s="800">
        <f t="shared" si="10"/>
        <v>2</v>
      </c>
      <c r="G42" s="816">
        <f>IF($E$12="NO",G41+1,
IF(OR(D42&lt;$F$8,D42&gt;$F$9),MAX($G$26:G41)+1,""))</f>
        <v>4</v>
      </c>
      <c r="H42" s="809">
        <f t="shared" si="6"/>
        <v>119763877.15709423</v>
      </c>
      <c r="I42" s="809">
        <f t="shared" si="7"/>
        <v>-573868.57804440986</v>
      </c>
      <c r="J42" s="817">
        <f t="shared" si="8"/>
        <v>-127247.46594094788</v>
      </c>
      <c r="K42" s="809">
        <f t="shared" si="2"/>
        <v>-701116.04398535774</v>
      </c>
      <c r="L42" s="791">
        <f t="shared" si="3"/>
        <v>119636629.69115327</v>
      </c>
    </row>
    <row r="43" spans="3:12">
      <c r="C43" s="814">
        <f t="shared" si="9"/>
        <v>17</v>
      </c>
      <c r="D43" s="815">
        <f t="shared" si="4"/>
        <v>50464</v>
      </c>
      <c r="E43" s="800">
        <f t="shared" si="5"/>
        <v>2</v>
      </c>
      <c r="F43" s="800">
        <f t="shared" si="10"/>
        <v>2</v>
      </c>
      <c r="G43" s="816">
        <f>IF($E$12="NO",G42+1,
IF(OR(D43&lt;$F$8,D43&gt;$F$9),MAX($G$26:G42)+1,""))</f>
        <v>5</v>
      </c>
      <c r="H43" s="809">
        <f t="shared" si="6"/>
        <v>119636629.69115327</v>
      </c>
      <c r="I43" s="809">
        <f t="shared" si="7"/>
        <v>-573258.85060344276</v>
      </c>
      <c r="J43" s="817">
        <f t="shared" si="8"/>
        <v>-127857.19338191491</v>
      </c>
      <c r="K43" s="809">
        <f t="shared" si="2"/>
        <v>-701116.04398535762</v>
      </c>
      <c r="L43" s="791">
        <f t="shared" si="3"/>
        <v>119508772.49777135</v>
      </c>
    </row>
    <row r="44" spans="3:12">
      <c r="C44" s="814">
        <f t="shared" si="9"/>
        <v>18</v>
      </c>
      <c r="D44" s="815">
        <f t="shared" si="4"/>
        <v>50495</v>
      </c>
      <c r="E44" s="800">
        <f t="shared" si="5"/>
        <v>2</v>
      </c>
      <c r="F44" s="800">
        <f t="shared" si="10"/>
        <v>2</v>
      </c>
      <c r="G44" s="816">
        <f>IF($E$12="NO",G43+1,
IF(OR(D44&lt;$F$8,D44&gt;$F$9),MAX($G$26:G43)+1,""))</f>
        <v>6</v>
      </c>
      <c r="H44" s="809">
        <f t="shared" si="6"/>
        <v>119508772.49777135</v>
      </c>
      <c r="I44" s="809">
        <f t="shared" si="7"/>
        <v>-572646.20155182108</v>
      </c>
      <c r="J44" s="817">
        <f t="shared" si="8"/>
        <v>-128469.84243353657</v>
      </c>
      <c r="K44" s="809">
        <f t="shared" si="2"/>
        <v>-701116.04398535762</v>
      </c>
      <c r="L44" s="791">
        <f t="shared" si="3"/>
        <v>119380302.65533781</v>
      </c>
    </row>
    <row r="45" spans="3:12">
      <c r="C45" s="814">
        <f t="shared" si="9"/>
        <v>19</v>
      </c>
      <c r="D45" s="815">
        <f t="shared" si="4"/>
        <v>50525</v>
      </c>
      <c r="E45" s="800">
        <f t="shared" si="5"/>
        <v>2</v>
      </c>
      <c r="F45" s="800">
        <f t="shared" si="10"/>
        <v>3</v>
      </c>
      <c r="G45" s="816">
        <f>IF($E$12="NO",G44+1,
IF(OR(D45&lt;$F$8,D45&gt;$F$9),MAX($G$26:G44)+1,""))</f>
        <v>7</v>
      </c>
      <c r="H45" s="809">
        <f t="shared" si="6"/>
        <v>119380302.65533781</v>
      </c>
      <c r="I45" s="809">
        <f t="shared" si="7"/>
        <v>-572030.61689016037</v>
      </c>
      <c r="J45" s="817">
        <f t="shared" si="8"/>
        <v>-129085.4270951973</v>
      </c>
      <c r="K45" s="809">
        <f t="shared" si="2"/>
        <v>-701116.04398535762</v>
      </c>
      <c r="L45" s="791">
        <f t="shared" si="3"/>
        <v>119251217.22824261</v>
      </c>
    </row>
    <row r="46" spans="3:12">
      <c r="C46" s="814">
        <f t="shared" si="9"/>
        <v>20</v>
      </c>
      <c r="D46" s="815">
        <f t="shared" si="4"/>
        <v>50556</v>
      </c>
      <c r="E46" s="800">
        <f t="shared" si="5"/>
        <v>2</v>
      </c>
      <c r="F46" s="800">
        <f t="shared" si="10"/>
        <v>3</v>
      </c>
      <c r="G46" s="816">
        <f>IF($E$12="NO",G45+1,
IF(OR(D46&lt;$F$8,D46&gt;$F$9),MAX($G$26:G45)+1,""))</f>
        <v>8</v>
      </c>
      <c r="H46" s="809">
        <f t="shared" si="6"/>
        <v>119251217.22824261</v>
      </c>
      <c r="I46" s="809">
        <f t="shared" si="7"/>
        <v>-571412.08255199587</v>
      </c>
      <c r="J46" s="817">
        <f t="shared" si="8"/>
        <v>-129703.96143336176</v>
      </c>
      <c r="K46" s="809">
        <f t="shared" si="2"/>
        <v>-701116.04398535762</v>
      </c>
      <c r="L46" s="791">
        <f t="shared" si="3"/>
        <v>119121513.26680924</v>
      </c>
    </row>
    <row r="47" spans="3:12">
      <c r="C47" s="814">
        <f t="shared" si="9"/>
        <v>21</v>
      </c>
      <c r="D47" s="815">
        <f t="shared" si="4"/>
        <v>50586</v>
      </c>
      <c r="E47" s="800">
        <f t="shared" si="5"/>
        <v>2</v>
      </c>
      <c r="F47" s="800">
        <f t="shared" si="10"/>
        <v>3</v>
      </c>
      <c r="G47" s="816">
        <f>IF($E$12="NO",G46+1,
IF(OR(D47&lt;$F$8,D47&gt;$F$9),MAX($G$26:G46)+1,""))</f>
        <v>9</v>
      </c>
      <c r="H47" s="809">
        <f t="shared" si="6"/>
        <v>119121513.26680924</v>
      </c>
      <c r="I47" s="809">
        <f t="shared" si="7"/>
        <v>-570790.58440346096</v>
      </c>
      <c r="J47" s="817">
        <f t="shared" si="8"/>
        <v>-130325.45958189665</v>
      </c>
      <c r="K47" s="809">
        <f t="shared" si="2"/>
        <v>-701116.04398535762</v>
      </c>
      <c r="L47" s="791">
        <f t="shared" si="3"/>
        <v>118991187.80722734</v>
      </c>
    </row>
    <row r="48" spans="3:12">
      <c r="C48" s="814">
        <f t="shared" si="9"/>
        <v>22</v>
      </c>
      <c r="D48" s="815">
        <f t="shared" si="4"/>
        <v>50617</v>
      </c>
      <c r="E48" s="800">
        <f t="shared" si="5"/>
        <v>2</v>
      </c>
      <c r="F48" s="800">
        <f t="shared" si="10"/>
        <v>4</v>
      </c>
      <c r="G48" s="816">
        <f>IF($E$12="NO",G47+1,
IF(OR(D48&lt;$F$8,D48&gt;$F$9),MAX($G$26:G47)+1,""))</f>
        <v>10</v>
      </c>
      <c r="H48" s="809">
        <f t="shared" si="6"/>
        <v>118991187.80722734</v>
      </c>
      <c r="I48" s="809">
        <f t="shared" si="7"/>
        <v>-570166.10824296437</v>
      </c>
      <c r="J48" s="817">
        <f t="shared" si="8"/>
        <v>-130949.93574239322</v>
      </c>
      <c r="K48" s="809">
        <f t="shared" si="2"/>
        <v>-701116.04398535762</v>
      </c>
      <c r="L48" s="791">
        <f t="shared" si="3"/>
        <v>118860237.87148495</v>
      </c>
    </row>
    <row r="49" spans="3:12">
      <c r="C49" s="814">
        <f t="shared" si="9"/>
        <v>23</v>
      </c>
      <c r="D49" s="815">
        <f t="shared" si="4"/>
        <v>50648</v>
      </c>
      <c r="E49" s="800">
        <f t="shared" si="5"/>
        <v>2</v>
      </c>
      <c r="F49" s="800">
        <f t="shared" si="10"/>
        <v>4</v>
      </c>
      <c r="G49" s="816">
        <f>IF($E$12="NO",G48+1,
IF(OR(D49&lt;$F$8,D49&gt;$F$9),MAX($G$26:G48)+1,""))</f>
        <v>11</v>
      </c>
      <c r="H49" s="809">
        <f t="shared" si="6"/>
        <v>118860237.87148495</v>
      </c>
      <c r="I49" s="809">
        <f t="shared" si="7"/>
        <v>-569538.63980086544</v>
      </c>
      <c r="J49" s="817">
        <f t="shared" si="8"/>
        <v>-131577.40418449216</v>
      </c>
      <c r="K49" s="809">
        <f t="shared" si="2"/>
        <v>-701116.04398535762</v>
      </c>
      <c r="L49" s="791">
        <f t="shared" si="3"/>
        <v>118728660.46730046</v>
      </c>
    </row>
    <row r="50" spans="3:12">
      <c r="C50" s="814">
        <f t="shared" si="9"/>
        <v>24</v>
      </c>
      <c r="D50" s="815">
        <f t="shared" si="4"/>
        <v>50678</v>
      </c>
      <c r="E50" s="800">
        <f t="shared" si="5"/>
        <v>2</v>
      </c>
      <c r="F50" s="800">
        <f t="shared" si="10"/>
        <v>4</v>
      </c>
      <c r="G50" s="816">
        <f>IF($E$12="NO",G49+1,
IF(OR(D50&lt;$F$8,D50&gt;$F$9),MAX($G$26:G49)+1,""))</f>
        <v>12</v>
      </c>
      <c r="H50" s="809">
        <f t="shared" si="6"/>
        <v>118728660.46730046</v>
      </c>
      <c r="I50" s="809">
        <f t="shared" si="7"/>
        <v>-568908.16473914811</v>
      </c>
      <c r="J50" s="817">
        <f t="shared" si="8"/>
        <v>-132207.87924620952</v>
      </c>
      <c r="K50" s="809">
        <f t="shared" si="2"/>
        <v>-701116.04398535762</v>
      </c>
      <c r="L50" s="791">
        <f t="shared" si="3"/>
        <v>118596452.58805425</v>
      </c>
    </row>
    <row r="51" spans="3:12">
      <c r="C51" s="814">
        <f t="shared" si="9"/>
        <v>25</v>
      </c>
      <c r="D51" s="815">
        <f t="shared" si="4"/>
        <v>50709</v>
      </c>
      <c r="E51" s="800">
        <f t="shared" si="5"/>
        <v>3</v>
      </c>
      <c r="F51" s="800">
        <f t="shared" si="10"/>
        <v>1</v>
      </c>
      <c r="G51" s="816">
        <f>IF($E$12="NO",G50+1,
IF(OR(D51&lt;$F$8,D51&gt;$F$9),MAX($G$26:G50)+1,""))</f>
        <v>13</v>
      </c>
      <c r="H51" s="809">
        <f t="shared" si="6"/>
        <v>118596452.58805425</v>
      </c>
      <c r="I51" s="809">
        <f t="shared" si="7"/>
        <v>-568274.66865109338</v>
      </c>
      <c r="J51" s="817">
        <f t="shared" si="8"/>
        <v>-132841.3753342643</v>
      </c>
      <c r="K51" s="809">
        <f t="shared" si="2"/>
        <v>-701116.04398535774</v>
      </c>
      <c r="L51" s="791">
        <f t="shared" si="3"/>
        <v>118463611.21271999</v>
      </c>
    </row>
    <row r="52" spans="3:12">
      <c r="C52" s="814">
        <f t="shared" si="9"/>
        <v>26</v>
      </c>
      <c r="D52" s="815">
        <f t="shared" si="4"/>
        <v>50739</v>
      </c>
      <c r="E52" s="800">
        <f t="shared" si="5"/>
        <v>3</v>
      </c>
      <c r="F52" s="800">
        <f t="shared" si="10"/>
        <v>1</v>
      </c>
      <c r="G52" s="816">
        <f>IF($E$12="NO",G51+1,
IF(OR(D52&lt;$F$8,D52&gt;$F$9),MAX($G$26:G51)+1,""))</f>
        <v>14</v>
      </c>
      <c r="H52" s="809">
        <f t="shared" si="6"/>
        <v>118463611.21271999</v>
      </c>
      <c r="I52" s="809">
        <f t="shared" si="7"/>
        <v>-567638.13706094993</v>
      </c>
      <c r="J52" s="817">
        <f t="shared" si="8"/>
        <v>-133477.90692440767</v>
      </c>
      <c r="K52" s="809">
        <f t="shared" si="2"/>
        <v>-701116.04398535762</v>
      </c>
      <c r="L52" s="791">
        <f t="shared" si="3"/>
        <v>118330133.30579558</v>
      </c>
    </row>
    <row r="53" spans="3:12">
      <c r="C53" s="814">
        <f t="shared" si="9"/>
        <v>27</v>
      </c>
      <c r="D53" s="815">
        <f t="shared" si="4"/>
        <v>50770</v>
      </c>
      <c r="E53" s="800">
        <f t="shared" si="5"/>
        <v>3</v>
      </c>
      <c r="F53" s="800">
        <f t="shared" si="10"/>
        <v>1</v>
      </c>
      <c r="G53" s="816">
        <f>IF($E$12="NO",G52+1,
IF(OR(D53&lt;$F$8,D53&gt;$F$9),MAX($G$26:G52)+1,""))</f>
        <v>15</v>
      </c>
      <c r="H53" s="809">
        <f t="shared" si="6"/>
        <v>118330133.30579558</v>
      </c>
      <c r="I53" s="809">
        <f t="shared" si="7"/>
        <v>-566998.55542360386</v>
      </c>
      <c r="J53" s="817">
        <f t="shared" si="8"/>
        <v>-134117.48856175377</v>
      </c>
      <c r="K53" s="809">
        <f t="shared" si="2"/>
        <v>-701116.04398535762</v>
      </c>
      <c r="L53" s="791">
        <f t="shared" si="3"/>
        <v>118196015.81723383</v>
      </c>
    </row>
    <row r="54" spans="3:12">
      <c r="C54" s="814">
        <f t="shared" si="9"/>
        <v>28</v>
      </c>
      <c r="D54" s="815">
        <f t="shared" si="4"/>
        <v>50801</v>
      </c>
      <c r="E54" s="800">
        <f t="shared" si="5"/>
        <v>3</v>
      </c>
      <c r="F54" s="800">
        <f t="shared" si="10"/>
        <v>2</v>
      </c>
      <c r="G54" s="816">
        <f>IF($E$12="NO",G53+1,
IF(OR(D54&lt;$F$8,D54&gt;$F$9),MAX($G$26:G53)+1,""))</f>
        <v>16</v>
      </c>
      <c r="H54" s="809">
        <f t="shared" si="6"/>
        <v>118196015.81723383</v>
      </c>
      <c r="I54" s="809">
        <f t="shared" si="7"/>
        <v>-566355.90912424552</v>
      </c>
      <c r="J54" s="817">
        <f t="shared" si="8"/>
        <v>-134760.13486111216</v>
      </c>
      <c r="K54" s="809">
        <f t="shared" si="2"/>
        <v>-701116.04398535774</v>
      </c>
      <c r="L54" s="791">
        <f t="shared" si="3"/>
        <v>118061255.68237272</v>
      </c>
    </row>
    <row r="55" spans="3:12">
      <c r="C55" s="814">
        <f t="shared" si="9"/>
        <v>29</v>
      </c>
      <c r="D55" s="815">
        <f t="shared" si="4"/>
        <v>50829</v>
      </c>
      <c r="E55" s="800">
        <f t="shared" si="5"/>
        <v>3</v>
      </c>
      <c r="F55" s="800">
        <f t="shared" si="10"/>
        <v>2</v>
      </c>
      <c r="G55" s="816">
        <f>IF($E$12="NO",G54+1,
IF(OR(D55&lt;$F$8,D55&gt;$F$9),MAX($G$26:G54)+1,""))</f>
        <v>17</v>
      </c>
      <c r="H55" s="809">
        <f t="shared" si="6"/>
        <v>118061255.68237272</v>
      </c>
      <c r="I55" s="809">
        <f t="shared" si="7"/>
        <v>-565710.18347803596</v>
      </c>
      <c r="J55" s="817">
        <f t="shared" si="8"/>
        <v>-135405.86050732166</v>
      </c>
      <c r="K55" s="809">
        <f t="shared" si="2"/>
        <v>-701116.04398535762</v>
      </c>
      <c r="L55" s="791">
        <f t="shared" si="3"/>
        <v>117925849.82186539</v>
      </c>
    </row>
    <row r="56" spans="3:12">
      <c r="C56" s="814">
        <f t="shared" si="9"/>
        <v>30</v>
      </c>
      <c r="D56" s="815">
        <f t="shared" si="4"/>
        <v>50860</v>
      </c>
      <c r="E56" s="800">
        <f t="shared" si="5"/>
        <v>3</v>
      </c>
      <c r="F56" s="800">
        <f t="shared" si="10"/>
        <v>2</v>
      </c>
      <c r="G56" s="816">
        <f>IF($E$12="NO",G55+1,
IF(OR(D56&lt;$F$8,D56&gt;$F$9),MAX($G$26:G55)+1,""))</f>
        <v>18</v>
      </c>
      <c r="H56" s="809">
        <f t="shared" si="6"/>
        <v>117925849.82186539</v>
      </c>
      <c r="I56" s="809">
        <f t="shared" si="7"/>
        <v>-565061.36372977169</v>
      </c>
      <c r="J56" s="817">
        <f t="shared" si="8"/>
        <v>-136054.68025558593</v>
      </c>
      <c r="K56" s="809">
        <f t="shared" si="2"/>
        <v>-701116.04398535762</v>
      </c>
      <c r="L56" s="791">
        <f t="shared" si="3"/>
        <v>117789795.1416098</v>
      </c>
    </row>
    <row r="57" spans="3:12">
      <c r="C57" s="814">
        <f t="shared" si="9"/>
        <v>31</v>
      </c>
      <c r="D57" s="815">
        <f t="shared" si="4"/>
        <v>50890</v>
      </c>
      <c r="E57" s="800">
        <f t="shared" si="5"/>
        <v>3</v>
      </c>
      <c r="F57" s="800">
        <f t="shared" si="10"/>
        <v>3</v>
      </c>
      <c r="G57" s="816">
        <f>IF($E$12="NO",G56+1,
IF(OR(D57&lt;$F$8,D57&gt;$F$9),MAX($G$26:G56)+1,""))</f>
        <v>19</v>
      </c>
      <c r="H57" s="809">
        <f t="shared" si="6"/>
        <v>117789795.1416098</v>
      </c>
      <c r="I57" s="809">
        <f t="shared" si="7"/>
        <v>-564409.43505354703</v>
      </c>
      <c r="J57" s="817">
        <f t="shared" si="8"/>
        <v>-136706.60893181062</v>
      </c>
      <c r="K57" s="809">
        <f t="shared" si="2"/>
        <v>-701116.04398535762</v>
      </c>
      <c r="L57" s="791">
        <f t="shared" si="3"/>
        <v>117653088.53267799</v>
      </c>
    </row>
    <row r="58" spans="3:12">
      <c r="C58" s="814">
        <f t="shared" si="9"/>
        <v>32</v>
      </c>
      <c r="D58" s="815">
        <f t="shared" si="4"/>
        <v>50921</v>
      </c>
      <c r="E58" s="800">
        <f t="shared" si="5"/>
        <v>3</v>
      </c>
      <c r="F58" s="800">
        <f t="shared" si="10"/>
        <v>3</v>
      </c>
      <c r="G58" s="816">
        <f>IF($E$12="NO",G57+1,
IF(OR(D58&lt;$F$8,D58&gt;$F$9),MAX($G$26:G57)+1,""))</f>
        <v>20</v>
      </c>
      <c r="H58" s="809">
        <f t="shared" si="6"/>
        <v>117653088.53267799</v>
      </c>
      <c r="I58" s="809">
        <f t="shared" si="7"/>
        <v>-563754.38255241548</v>
      </c>
      <c r="J58" s="817">
        <f t="shared" si="8"/>
        <v>-137361.66143294223</v>
      </c>
      <c r="K58" s="809">
        <f t="shared" ref="K58:K86" si="11">SUM(I58:J58)</f>
        <v>-701116.04398535774</v>
      </c>
      <c r="L58" s="791">
        <f t="shared" ref="L58:L86" si="12">IF(C58=0,$E$4,H58+J58)</f>
        <v>117515726.87124506</v>
      </c>
    </row>
    <row r="59" spans="3:12">
      <c r="C59" s="814">
        <f t="shared" si="9"/>
        <v>33</v>
      </c>
      <c r="D59" s="815">
        <f t="shared" ref="D59:D86" si="13">EOMONTH($E$5,C59-1)</f>
        <v>50951</v>
      </c>
      <c r="E59" s="800">
        <f t="shared" si="5"/>
        <v>3</v>
      </c>
      <c r="F59" s="800">
        <f t="shared" si="10"/>
        <v>3</v>
      </c>
      <c r="G59" s="816">
        <f>IF($E$12="NO",G58+1,
IF(OR(D59&lt;$F$8,D59&gt;$F$9),MAX($G$26:G58)+1,""))</f>
        <v>21</v>
      </c>
      <c r="H59" s="809">
        <f t="shared" ref="H59:H86" si="14">IF(OR(E59&gt;$E$6,C59&gt;$E$14),0,L58)</f>
        <v>117515726.87124506</v>
      </c>
      <c r="I59" s="809">
        <f t="shared" ref="I59:I86" si="15">IF(OR(E59&gt;$E$6*12,C59&gt;$E$14),0,-H59*$E$10/12)</f>
        <v>-563096.19125804922</v>
      </c>
      <c r="J59" s="817">
        <f t="shared" ref="J59:J86" si="16">IF(OR(E59&gt;$E$6,C59&gt;$E$14),0,
IF(AND($E$8&lt;&gt;OR(0,""),$E$9&lt;&gt;OR(0,""),C59&gt;=$E$8,C59&lt;=$E$9),0,PPMT($E$10/12,IF($E$12="YES",G59,C59),$E$7,$E$4)))</f>
        <v>-138019.85272730837</v>
      </c>
      <c r="K59" s="809">
        <f t="shared" si="11"/>
        <v>-701116.04398535762</v>
      </c>
      <c r="L59" s="791">
        <f t="shared" si="12"/>
        <v>117377707.01851775</v>
      </c>
    </row>
    <row r="60" spans="3:12">
      <c r="C60" s="814">
        <f t="shared" si="9"/>
        <v>34</v>
      </c>
      <c r="D60" s="815">
        <f t="shared" si="13"/>
        <v>50982</v>
      </c>
      <c r="E60" s="800">
        <f t="shared" si="5"/>
        <v>3</v>
      </c>
      <c r="F60" s="800">
        <f t="shared" si="10"/>
        <v>4</v>
      </c>
      <c r="G60" s="816">
        <f>IF($E$12="NO",G59+1,
IF(OR(D60&lt;$F$8,D60&gt;$F$9),MAX($G$26:G59)+1,""))</f>
        <v>22</v>
      </c>
      <c r="H60" s="809">
        <f t="shared" si="14"/>
        <v>117377707.01851775</v>
      </c>
      <c r="I60" s="809">
        <f t="shared" si="15"/>
        <v>-562434.84613039752</v>
      </c>
      <c r="J60" s="817">
        <f t="shared" si="16"/>
        <v>-138681.19785496008</v>
      </c>
      <c r="K60" s="809">
        <f t="shared" si="11"/>
        <v>-701116.04398535762</v>
      </c>
      <c r="L60" s="791">
        <f t="shared" si="12"/>
        <v>117239025.82066278</v>
      </c>
    </row>
    <row r="61" spans="3:12">
      <c r="C61" s="814">
        <f t="shared" si="9"/>
        <v>35</v>
      </c>
      <c r="D61" s="815">
        <f t="shared" si="13"/>
        <v>51013</v>
      </c>
      <c r="E61" s="800">
        <f t="shared" si="5"/>
        <v>3</v>
      </c>
      <c r="F61" s="800">
        <f t="shared" si="10"/>
        <v>4</v>
      </c>
      <c r="G61" s="816">
        <f>IF($E$12="NO",G60+1,
IF(OR(D61&lt;$F$8,D61&gt;$F$9),MAX($G$26:G60)+1,""))</f>
        <v>23</v>
      </c>
      <c r="H61" s="809">
        <f t="shared" si="14"/>
        <v>117239025.82066278</v>
      </c>
      <c r="I61" s="809">
        <f t="shared" si="15"/>
        <v>-561770.33205734252</v>
      </c>
      <c r="J61" s="817">
        <f t="shared" si="16"/>
        <v>-139345.71192801508</v>
      </c>
      <c r="K61" s="809">
        <f t="shared" si="11"/>
        <v>-701116.04398535762</v>
      </c>
      <c r="L61" s="791">
        <f t="shared" si="12"/>
        <v>117099680.10873477</v>
      </c>
    </row>
    <row r="62" spans="3:12">
      <c r="C62" s="814">
        <f t="shared" si="9"/>
        <v>36</v>
      </c>
      <c r="D62" s="815">
        <f t="shared" si="13"/>
        <v>51043</v>
      </c>
      <c r="E62" s="800">
        <f t="shared" si="5"/>
        <v>3</v>
      </c>
      <c r="F62" s="800">
        <f t="shared" si="10"/>
        <v>4</v>
      </c>
      <c r="G62" s="816">
        <f>IF($E$12="NO",G61+1,
IF(OR(D62&lt;$F$8,D62&gt;$F$9),MAX($G$26:G61)+1,""))</f>
        <v>24</v>
      </c>
      <c r="H62" s="809">
        <f t="shared" si="14"/>
        <v>117099680.10873477</v>
      </c>
      <c r="I62" s="809">
        <f t="shared" si="15"/>
        <v>-561102.63385435415</v>
      </c>
      <c r="J62" s="817">
        <f t="shared" si="16"/>
        <v>-140013.41013100347</v>
      </c>
      <c r="K62" s="809">
        <f t="shared" si="11"/>
        <v>-701116.04398535762</v>
      </c>
      <c r="L62" s="791">
        <f t="shared" si="12"/>
        <v>116959666.69860376</v>
      </c>
    </row>
    <row r="63" spans="3:12">
      <c r="C63" s="814">
        <f t="shared" si="9"/>
        <v>37</v>
      </c>
      <c r="D63" s="815">
        <f t="shared" si="13"/>
        <v>51074</v>
      </c>
      <c r="E63" s="800">
        <f t="shared" si="5"/>
        <v>4</v>
      </c>
      <c r="F63" s="800">
        <f t="shared" si="10"/>
        <v>1</v>
      </c>
      <c r="G63" s="816">
        <f>IF($E$12="NO",G62+1,
IF(OR(D63&lt;$F$8,D63&gt;$F$9),MAX($G$26:G62)+1,""))</f>
        <v>25</v>
      </c>
      <c r="H63" s="809">
        <f t="shared" si="14"/>
        <v>116959666.69860376</v>
      </c>
      <c r="I63" s="809">
        <f t="shared" si="15"/>
        <v>-560431.73626414302</v>
      </c>
      <c r="J63" s="817">
        <f t="shared" si="16"/>
        <v>-140684.30772121454</v>
      </c>
      <c r="K63" s="809">
        <f t="shared" si="11"/>
        <v>-701116.04398535751</v>
      </c>
      <c r="L63" s="791">
        <f t="shared" si="12"/>
        <v>116818982.39088255</v>
      </c>
    </row>
    <row r="64" spans="3:12">
      <c r="C64" s="814">
        <f t="shared" si="9"/>
        <v>38</v>
      </c>
      <c r="D64" s="815">
        <f t="shared" si="13"/>
        <v>51104</v>
      </c>
      <c r="E64" s="800">
        <f t="shared" si="5"/>
        <v>4</v>
      </c>
      <c r="F64" s="800">
        <f t="shared" si="10"/>
        <v>1</v>
      </c>
      <c r="G64" s="816">
        <f>IF($E$12="NO",G63+1,
IF(OR(D64&lt;$F$8,D64&gt;$F$9),MAX($G$26:G63)+1,""))</f>
        <v>26</v>
      </c>
      <c r="H64" s="809">
        <f t="shared" si="14"/>
        <v>116818982.39088255</v>
      </c>
      <c r="I64" s="809">
        <f t="shared" si="15"/>
        <v>-559757.62395631231</v>
      </c>
      <c r="J64" s="817">
        <f t="shared" si="16"/>
        <v>-141358.42002904537</v>
      </c>
      <c r="K64" s="809">
        <f t="shared" si="11"/>
        <v>-701116.04398535774</v>
      </c>
      <c r="L64" s="791">
        <f t="shared" si="12"/>
        <v>116677623.97085351</v>
      </c>
    </row>
    <row r="65" spans="3:12">
      <c r="C65" s="814">
        <f t="shared" si="9"/>
        <v>39</v>
      </c>
      <c r="D65" s="815">
        <f t="shared" si="13"/>
        <v>51135</v>
      </c>
      <c r="E65" s="800">
        <f t="shared" si="5"/>
        <v>4</v>
      </c>
      <c r="F65" s="800">
        <f t="shared" si="10"/>
        <v>1</v>
      </c>
      <c r="G65" s="816">
        <f>IF($E$12="NO",G64+1,
IF(OR(D65&lt;$F$8,D65&gt;$F$9),MAX($G$26:G64)+1,""))</f>
        <v>27</v>
      </c>
      <c r="H65" s="809">
        <f t="shared" si="14"/>
        <v>116677623.97085351</v>
      </c>
      <c r="I65" s="809">
        <f t="shared" si="15"/>
        <v>-559080.28152700642</v>
      </c>
      <c r="J65" s="817">
        <f t="shared" si="16"/>
        <v>-142035.76245835121</v>
      </c>
      <c r="K65" s="809">
        <f t="shared" si="11"/>
        <v>-701116.04398535762</v>
      </c>
      <c r="L65" s="791">
        <f t="shared" si="12"/>
        <v>116535588.20839515</v>
      </c>
    </row>
    <row r="66" spans="3:12">
      <c r="C66" s="814">
        <f t="shared" si="9"/>
        <v>40</v>
      </c>
      <c r="D66" s="815">
        <f t="shared" si="13"/>
        <v>51166</v>
      </c>
      <c r="E66" s="800">
        <f t="shared" si="5"/>
        <v>4</v>
      </c>
      <c r="F66" s="800">
        <f t="shared" si="10"/>
        <v>2</v>
      </c>
      <c r="G66" s="816">
        <f>IF($E$12="NO",G65+1,
IF(OR(D66&lt;$F$8,D66&gt;$F$9),MAX($G$26:G65)+1,""))</f>
        <v>28</v>
      </c>
      <c r="H66" s="809">
        <f t="shared" si="14"/>
        <v>116535588.20839515</v>
      </c>
      <c r="I66" s="809">
        <f t="shared" si="15"/>
        <v>-558399.69349856011</v>
      </c>
      <c r="J66" s="817">
        <f t="shared" si="16"/>
        <v>-142716.35048679746</v>
      </c>
      <c r="K66" s="809">
        <f t="shared" si="11"/>
        <v>-701116.04398535751</v>
      </c>
      <c r="L66" s="791">
        <f t="shared" si="12"/>
        <v>116392871.85790835</v>
      </c>
    </row>
    <row r="67" spans="3:12">
      <c r="C67" s="814">
        <f t="shared" si="9"/>
        <v>41</v>
      </c>
      <c r="D67" s="815">
        <f t="shared" si="13"/>
        <v>51195</v>
      </c>
      <c r="E67" s="800">
        <f t="shared" si="5"/>
        <v>4</v>
      </c>
      <c r="F67" s="800">
        <f t="shared" si="10"/>
        <v>2</v>
      </c>
      <c r="G67" s="816">
        <f>IF($E$12="NO",G66+1,
IF(OR(D67&lt;$F$8,D67&gt;$F$9),MAX($G$26:G66)+1,""))</f>
        <v>29</v>
      </c>
      <c r="H67" s="809">
        <f t="shared" si="14"/>
        <v>116392871.85790835</v>
      </c>
      <c r="I67" s="809">
        <f t="shared" si="15"/>
        <v>-557715.84431914415</v>
      </c>
      <c r="J67" s="817">
        <f t="shared" si="16"/>
        <v>-143400.19966621336</v>
      </c>
      <c r="K67" s="809">
        <f t="shared" si="11"/>
        <v>-701116.04398535751</v>
      </c>
      <c r="L67" s="791">
        <f t="shared" si="12"/>
        <v>116249471.65824214</v>
      </c>
    </row>
    <row r="68" spans="3:12">
      <c r="C68" s="814">
        <f t="shared" si="9"/>
        <v>42</v>
      </c>
      <c r="D68" s="815">
        <f t="shared" si="13"/>
        <v>51226</v>
      </c>
      <c r="E68" s="800">
        <f t="shared" si="5"/>
        <v>4</v>
      </c>
      <c r="F68" s="800">
        <f t="shared" si="10"/>
        <v>2</v>
      </c>
      <c r="G68" s="816">
        <f>IF($E$12="NO",G67+1,
IF(OR(D68&lt;$F$8,D68&gt;$F$9),MAX($G$26:G67)+1,""))</f>
        <v>30</v>
      </c>
      <c r="H68" s="809">
        <f t="shared" si="14"/>
        <v>116249471.65824214</v>
      </c>
      <c r="I68" s="809">
        <f t="shared" si="15"/>
        <v>-557028.7183624102</v>
      </c>
      <c r="J68" s="817">
        <f t="shared" si="16"/>
        <v>-144087.3256229473</v>
      </c>
      <c r="K68" s="809">
        <f t="shared" si="11"/>
        <v>-701116.04398535751</v>
      </c>
      <c r="L68" s="791">
        <f t="shared" si="12"/>
        <v>116105384.33261919</v>
      </c>
    </row>
    <row r="69" spans="3:12">
      <c r="C69" s="814">
        <f t="shared" si="9"/>
        <v>43</v>
      </c>
      <c r="D69" s="815">
        <f t="shared" si="13"/>
        <v>51256</v>
      </c>
      <c r="E69" s="800">
        <f t="shared" si="5"/>
        <v>4</v>
      </c>
      <c r="F69" s="800">
        <f t="shared" si="10"/>
        <v>3</v>
      </c>
      <c r="G69" s="816">
        <f>IF($E$12="NO",G68+1,
IF(OR(D69&lt;$F$8,D69&gt;$F$9),MAX($G$26:G68)+1,""))</f>
        <v>31</v>
      </c>
      <c r="H69" s="809">
        <f t="shared" si="14"/>
        <v>116105384.33261919</v>
      </c>
      <c r="I69" s="809">
        <f t="shared" si="15"/>
        <v>-556338.29992713372</v>
      </c>
      <c r="J69" s="817">
        <f t="shared" si="16"/>
        <v>-144777.74405822394</v>
      </c>
      <c r="K69" s="809">
        <f t="shared" si="11"/>
        <v>-701116.04398535762</v>
      </c>
      <c r="L69" s="791">
        <f t="shared" si="12"/>
        <v>115960606.58856097</v>
      </c>
    </row>
    <row r="70" spans="3:12">
      <c r="C70" s="814">
        <f t="shared" si="9"/>
        <v>44</v>
      </c>
      <c r="D70" s="815">
        <f t="shared" si="13"/>
        <v>51287</v>
      </c>
      <c r="E70" s="800">
        <f t="shared" si="5"/>
        <v>4</v>
      </c>
      <c r="F70" s="800">
        <f t="shared" si="10"/>
        <v>3</v>
      </c>
      <c r="G70" s="816">
        <f>IF($E$12="NO",G69+1,
IF(OR(D70&lt;$F$8,D70&gt;$F$9),MAX($G$26:G69)+1,""))</f>
        <v>32</v>
      </c>
      <c r="H70" s="809">
        <f t="shared" si="14"/>
        <v>115960606.58856097</v>
      </c>
      <c r="I70" s="809">
        <f t="shared" si="15"/>
        <v>-555644.57323685463</v>
      </c>
      <c r="J70" s="817">
        <f t="shared" si="16"/>
        <v>-145471.47074850294</v>
      </c>
      <c r="K70" s="809">
        <f t="shared" si="11"/>
        <v>-701116.04398535751</v>
      </c>
      <c r="L70" s="791">
        <f t="shared" si="12"/>
        <v>115815135.11781247</v>
      </c>
    </row>
    <row r="71" spans="3:12">
      <c r="C71" s="814">
        <f t="shared" si="9"/>
        <v>45</v>
      </c>
      <c r="D71" s="815">
        <f t="shared" si="13"/>
        <v>51317</v>
      </c>
      <c r="E71" s="800">
        <f t="shared" si="5"/>
        <v>4</v>
      </c>
      <c r="F71" s="800">
        <f t="shared" si="10"/>
        <v>3</v>
      </c>
      <c r="G71" s="816">
        <f>IF($E$12="NO",G70+1,
IF(OR(D71&lt;$F$8,D71&gt;$F$9),MAX($G$26:G70)+1,""))</f>
        <v>33</v>
      </c>
      <c r="H71" s="809">
        <f t="shared" si="14"/>
        <v>115815135.11781247</v>
      </c>
      <c r="I71" s="809">
        <f t="shared" si="15"/>
        <v>-554947.52243951813</v>
      </c>
      <c r="J71" s="817">
        <f t="shared" si="16"/>
        <v>-146168.5215458395</v>
      </c>
      <c r="K71" s="809">
        <f t="shared" si="11"/>
        <v>-701116.04398535762</v>
      </c>
      <c r="L71" s="791">
        <f t="shared" si="12"/>
        <v>115668966.59626663</v>
      </c>
    </row>
    <row r="72" spans="3:12">
      <c r="C72" s="814">
        <f t="shared" si="9"/>
        <v>46</v>
      </c>
      <c r="D72" s="815">
        <f t="shared" si="13"/>
        <v>51348</v>
      </c>
      <c r="E72" s="800">
        <f t="shared" si="5"/>
        <v>4</v>
      </c>
      <c r="F72" s="800">
        <f t="shared" si="10"/>
        <v>4</v>
      </c>
      <c r="G72" s="816">
        <f>IF($E$12="NO",G71+1,
IF(OR(D72&lt;$F$8,D72&gt;$F$9),MAX($G$26:G71)+1,""))</f>
        <v>34</v>
      </c>
      <c r="H72" s="809">
        <f t="shared" si="14"/>
        <v>115668966.59626663</v>
      </c>
      <c r="I72" s="809">
        <f t="shared" si="15"/>
        <v>-554247.13160711096</v>
      </c>
      <c r="J72" s="817">
        <f t="shared" si="16"/>
        <v>-146868.91237824663</v>
      </c>
      <c r="K72" s="809">
        <f t="shared" si="11"/>
        <v>-701116.04398535762</v>
      </c>
      <c r="L72" s="791">
        <f t="shared" si="12"/>
        <v>115522097.68388838</v>
      </c>
    </row>
    <row r="73" spans="3:12">
      <c r="C73" s="814">
        <f t="shared" si="9"/>
        <v>47</v>
      </c>
      <c r="D73" s="815">
        <f t="shared" si="13"/>
        <v>51379</v>
      </c>
      <c r="E73" s="800">
        <f t="shared" si="5"/>
        <v>4</v>
      </c>
      <c r="F73" s="800">
        <f t="shared" si="10"/>
        <v>4</v>
      </c>
      <c r="G73" s="816">
        <f>IF($E$12="NO",G72+1,
IF(OR(D73&lt;$F$8,D73&gt;$F$9),MAX($G$26:G72)+1,""))</f>
        <v>35</v>
      </c>
      <c r="H73" s="809">
        <f t="shared" si="14"/>
        <v>115522097.68388838</v>
      </c>
      <c r="I73" s="809">
        <f t="shared" si="15"/>
        <v>-553543.38473529846</v>
      </c>
      <c r="J73" s="817">
        <f t="shared" si="16"/>
        <v>-147572.65925005908</v>
      </c>
      <c r="K73" s="809">
        <f t="shared" si="11"/>
        <v>-701116.04398535751</v>
      </c>
      <c r="L73" s="791">
        <f t="shared" si="12"/>
        <v>115374525.02463831</v>
      </c>
    </row>
    <row r="74" spans="3:12">
      <c r="C74" s="814">
        <f t="shared" si="9"/>
        <v>48</v>
      </c>
      <c r="D74" s="815">
        <f t="shared" si="13"/>
        <v>51409</v>
      </c>
      <c r="E74" s="800">
        <f t="shared" si="5"/>
        <v>4</v>
      </c>
      <c r="F74" s="800">
        <f t="shared" si="10"/>
        <v>4</v>
      </c>
      <c r="G74" s="816">
        <f>IF($E$12="NO",G73+1,
IF(OR(D74&lt;$F$8,D74&gt;$F$9),MAX($G$26:G73)+1,""))</f>
        <v>36</v>
      </c>
      <c r="H74" s="809">
        <f t="shared" si="14"/>
        <v>115374525.02463831</v>
      </c>
      <c r="I74" s="809">
        <f t="shared" si="15"/>
        <v>-552836.26574305852</v>
      </c>
      <c r="J74" s="817">
        <f t="shared" si="16"/>
        <v>-148279.77824229893</v>
      </c>
      <c r="K74" s="809">
        <f t="shared" si="11"/>
        <v>-701116.04398535751</v>
      </c>
      <c r="L74" s="791">
        <f t="shared" si="12"/>
        <v>115226245.24639601</v>
      </c>
    </row>
    <row r="75" spans="3:12">
      <c r="C75" s="814">
        <f t="shared" si="9"/>
        <v>49</v>
      </c>
      <c r="D75" s="815">
        <f t="shared" si="13"/>
        <v>51440</v>
      </c>
      <c r="E75" s="800">
        <f t="shared" si="5"/>
        <v>5</v>
      </c>
      <c r="F75" s="800">
        <f t="shared" si="10"/>
        <v>1</v>
      </c>
      <c r="G75" s="816">
        <f>IF($E$12="NO",G74+1,
IF(OR(D75&lt;$F$8,D75&gt;$F$9),MAX($G$26:G74)+1,""))</f>
        <v>37</v>
      </c>
      <c r="H75" s="809">
        <f t="shared" si="14"/>
        <v>115226245.24639601</v>
      </c>
      <c r="I75" s="809">
        <f t="shared" si="15"/>
        <v>-552125.75847231422</v>
      </c>
      <c r="J75" s="817">
        <f t="shared" si="16"/>
        <v>-148990.28551304332</v>
      </c>
      <c r="K75" s="809">
        <f t="shared" si="11"/>
        <v>-701116.04398535751</v>
      </c>
      <c r="L75" s="791">
        <f t="shared" si="12"/>
        <v>115077254.96088296</v>
      </c>
    </row>
    <row r="76" spans="3:12">
      <c r="C76" s="814">
        <f t="shared" si="9"/>
        <v>50</v>
      </c>
      <c r="D76" s="815">
        <f t="shared" si="13"/>
        <v>51470</v>
      </c>
      <c r="E76" s="800">
        <f t="shared" si="5"/>
        <v>5</v>
      </c>
      <c r="F76" s="800">
        <f t="shared" si="10"/>
        <v>1</v>
      </c>
      <c r="G76" s="816">
        <f>IF($E$12="NO",G75+1,
IF(OR(D76&lt;$F$8,D76&gt;$F$9),MAX($G$26:G75)+1,""))</f>
        <v>38</v>
      </c>
      <c r="H76" s="809">
        <f t="shared" si="14"/>
        <v>115077254.96088296</v>
      </c>
      <c r="I76" s="809">
        <f t="shared" si="15"/>
        <v>-551411.84668756428</v>
      </c>
      <c r="J76" s="817">
        <f t="shared" si="16"/>
        <v>-149704.19729779332</v>
      </c>
      <c r="K76" s="809">
        <f t="shared" si="11"/>
        <v>-701116.04398535762</v>
      </c>
      <c r="L76" s="791">
        <f t="shared" si="12"/>
        <v>114927550.76358517</v>
      </c>
    </row>
    <row r="77" spans="3:12">
      <c r="C77" s="814">
        <f t="shared" si="9"/>
        <v>51</v>
      </c>
      <c r="D77" s="815">
        <f t="shared" si="13"/>
        <v>51501</v>
      </c>
      <c r="E77" s="800">
        <f t="shared" si="5"/>
        <v>5</v>
      </c>
      <c r="F77" s="800">
        <f t="shared" si="10"/>
        <v>1</v>
      </c>
      <c r="G77" s="816">
        <f>IF($E$12="NO",G76+1,
IF(OR(D77&lt;$F$8,D77&gt;$F$9),MAX($G$26:G76)+1,""))</f>
        <v>39</v>
      </c>
      <c r="H77" s="809">
        <f t="shared" si="14"/>
        <v>114927550.76358517</v>
      </c>
      <c r="I77" s="809">
        <f t="shared" si="15"/>
        <v>-550694.5140755123</v>
      </c>
      <c r="J77" s="817">
        <f t="shared" si="16"/>
        <v>-150421.52990984521</v>
      </c>
      <c r="K77" s="809">
        <f t="shared" si="11"/>
        <v>-701116.04398535751</v>
      </c>
      <c r="L77" s="791">
        <f t="shared" si="12"/>
        <v>114777129.23367532</v>
      </c>
    </row>
    <row r="78" spans="3:12">
      <c r="C78" s="814">
        <f t="shared" si="9"/>
        <v>52</v>
      </c>
      <c r="D78" s="815">
        <f t="shared" si="13"/>
        <v>51532</v>
      </c>
      <c r="E78" s="800">
        <f t="shared" si="5"/>
        <v>5</v>
      </c>
      <c r="F78" s="800">
        <f t="shared" si="10"/>
        <v>2</v>
      </c>
      <c r="G78" s="816">
        <f>IF($E$12="NO",G77+1,
IF(OR(D78&lt;$F$8,D78&gt;$F$9),MAX($G$26:G77)+1,""))</f>
        <v>40</v>
      </c>
      <c r="H78" s="809">
        <f t="shared" si="14"/>
        <v>114777129.23367532</v>
      </c>
      <c r="I78" s="809">
        <f t="shared" si="15"/>
        <v>-549973.74424469424</v>
      </c>
      <c r="J78" s="817">
        <f t="shared" si="16"/>
        <v>-151142.29974066323</v>
      </c>
      <c r="K78" s="809">
        <f t="shared" si="11"/>
        <v>-701116.04398535751</v>
      </c>
      <c r="L78" s="791">
        <f t="shared" si="12"/>
        <v>114625986.93393466</v>
      </c>
    </row>
    <row r="79" spans="3:12">
      <c r="C79" s="814">
        <f t="shared" si="9"/>
        <v>53</v>
      </c>
      <c r="D79" s="815">
        <f t="shared" si="13"/>
        <v>51560</v>
      </c>
      <c r="E79" s="800">
        <f t="shared" si="5"/>
        <v>5</v>
      </c>
      <c r="F79" s="800">
        <f t="shared" si="10"/>
        <v>2</v>
      </c>
      <c r="G79" s="816">
        <f>IF($E$12="NO",G78+1,
IF(OR(D79&lt;$F$8,D79&gt;$F$9),MAX($G$26:G78)+1,""))</f>
        <v>41</v>
      </c>
      <c r="H79" s="809">
        <f t="shared" si="14"/>
        <v>114625986.93393466</v>
      </c>
      <c r="I79" s="809">
        <f t="shared" si="15"/>
        <v>-549249.52072510356</v>
      </c>
      <c r="J79" s="817">
        <f t="shared" si="16"/>
        <v>-151866.52326025392</v>
      </c>
      <c r="K79" s="809">
        <f t="shared" si="11"/>
        <v>-701116.04398535751</v>
      </c>
      <c r="L79" s="791">
        <f t="shared" si="12"/>
        <v>114474120.41067441</v>
      </c>
    </row>
    <row r="80" spans="3:12">
      <c r="C80" s="814">
        <f t="shared" si="9"/>
        <v>54</v>
      </c>
      <c r="D80" s="815">
        <f t="shared" si="13"/>
        <v>51591</v>
      </c>
      <c r="E80" s="800">
        <f t="shared" si="5"/>
        <v>5</v>
      </c>
      <c r="F80" s="800">
        <f t="shared" si="10"/>
        <v>2</v>
      </c>
      <c r="G80" s="816">
        <f>IF($E$12="NO",G79+1,
IF(OR(D80&lt;$F$8,D80&gt;$F$9),MAX($G$26:G79)+1,""))</f>
        <v>42</v>
      </c>
      <c r="H80" s="809">
        <f t="shared" si="14"/>
        <v>114474120.41067441</v>
      </c>
      <c r="I80" s="809">
        <f t="shared" si="15"/>
        <v>-548521.82696781482</v>
      </c>
      <c r="J80" s="817">
        <f t="shared" si="16"/>
        <v>-152594.2170175426</v>
      </c>
      <c r="K80" s="809">
        <f t="shared" si="11"/>
        <v>-701116.04398535739</v>
      </c>
      <c r="L80" s="791">
        <f t="shared" si="12"/>
        <v>114321526.19365686</v>
      </c>
    </row>
    <row r="81" spans="3:12">
      <c r="C81" s="814">
        <f t="shared" si="9"/>
        <v>55</v>
      </c>
      <c r="D81" s="815">
        <f t="shared" si="13"/>
        <v>51621</v>
      </c>
      <c r="E81" s="800">
        <f t="shared" si="5"/>
        <v>5</v>
      </c>
      <c r="F81" s="800">
        <f t="shared" si="10"/>
        <v>3</v>
      </c>
      <c r="G81" s="816">
        <f>IF($E$12="NO",G80+1,
IF(OR(D81&lt;$F$8,D81&gt;$F$9),MAX($G$26:G80)+1,""))</f>
        <v>43</v>
      </c>
      <c r="H81" s="809">
        <f t="shared" si="14"/>
        <v>114321526.19365686</v>
      </c>
      <c r="I81" s="809">
        <f t="shared" si="15"/>
        <v>-547790.64634460583</v>
      </c>
      <c r="J81" s="817">
        <f t="shared" si="16"/>
        <v>-153325.39764075167</v>
      </c>
      <c r="K81" s="809">
        <f t="shared" si="11"/>
        <v>-701116.04398535751</v>
      </c>
      <c r="L81" s="791">
        <f t="shared" si="12"/>
        <v>114168200.79601611</v>
      </c>
    </row>
    <row r="82" spans="3:12">
      <c r="C82" s="814">
        <f t="shared" si="9"/>
        <v>56</v>
      </c>
      <c r="D82" s="815">
        <f t="shared" si="13"/>
        <v>51652</v>
      </c>
      <c r="E82" s="800">
        <f t="shared" si="5"/>
        <v>5</v>
      </c>
      <c r="F82" s="800">
        <f t="shared" si="10"/>
        <v>3</v>
      </c>
      <c r="G82" s="816">
        <f>IF($E$12="NO",G81+1,
IF(OR(D82&lt;$F$8,D82&gt;$F$9),MAX($G$26:G81)+1,""))</f>
        <v>44</v>
      </c>
      <c r="H82" s="809">
        <f t="shared" si="14"/>
        <v>114168200.79601611</v>
      </c>
      <c r="I82" s="809">
        <f t="shared" si="15"/>
        <v>-547055.9621475772</v>
      </c>
      <c r="J82" s="817">
        <f t="shared" si="16"/>
        <v>-154060.08183778031</v>
      </c>
      <c r="K82" s="809">
        <f t="shared" si="11"/>
        <v>-701116.04398535751</v>
      </c>
      <c r="L82" s="791">
        <f t="shared" si="12"/>
        <v>114014140.71417834</v>
      </c>
    </row>
    <row r="83" spans="3:12">
      <c r="C83" s="814">
        <f t="shared" si="9"/>
        <v>57</v>
      </c>
      <c r="D83" s="815">
        <f t="shared" si="13"/>
        <v>51682</v>
      </c>
      <c r="E83" s="800">
        <f t="shared" si="5"/>
        <v>5</v>
      </c>
      <c r="F83" s="800">
        <f t="shared" si="10"/>
        <v>3</v>
      </c>
      <c r="G83" s="816">
        <f>IF($E$12="NO",G82+1,
IF(OR(D83&lt;$F$8,D83&gt;$F$9),MAX($G$26:G82)+1,""))</f>
        <v>45</v>
      </c>
      <c r="H83" s="809">
        <f t="shared" si="14"/>
        <v>114014140.71417834</v>
      </c>
      <c r="I83" s="809">
        <f t="shared" si="15"/>
        <v>-546317.75758877129</v>
      </c>
      <c r="J83" s="817">
        <f t="shared" si="16"/>
        <v>-154798.28639658631</v>
      </c>
      <c r="K83" s="809">
        <f t="shared" si="11"/>
        <v>-701116.04398535762</v>
      </c>
      <c r="L83" s="791">
        <f t="shared" si="12"/>
        <v>113859342.42778175</v>
      </c>
    </row>
    <row r="84" spans="3:12">
      <c r="C84" s="814">
        <f t="shared" si="9"/>
        <v>58</v>
      </c>
      <c r="D84" s="815">
        <f t="shared" si="13"/>
        <v>51713</v>
      </c>
      <c r="E84" s="800">
        <f t="shared" si="5"/>
        <v>5</v>
      </c>
      <c r="F84" s="800">
        <f t="shared" si="10"/>
        <v>4</v>
      </c>
      <c r="G84" s="816">
        <f>IF($E$12="NO",G83+1,
IF(OR(D84&lt;$F$8,D84&gt;$F$9),MAX($G$26:G83)+1,""))</f>
        <v>46</v>
      </c>
      <c r="H84" s="809">
        <f t="shared" si="14"/>
        <v>113859342.42778175</v>
      </c>
      <c r="I84" s="809">
        <f t="shared" si="15"/>
        <v>-545576.01579978759</v>
      </c>
      <c r="J84" s="817">
        <f t="shared" si="16"/>
        <v>-155540.02818556994</v>
      </c>
      <c r="K84" s="809">
        <f t="shared" si="11"/>
        <v>-701116.04398535751</v>
      </c>
      <c r="L84" s="791">
        <f t="shared" si="12"/>
        <v>113703802.39959617</v>
      </c>
    </row>
    <row r="85" spans="3:12">
      <c r="C85" s="814">
        <f t="shared" si="9"/>
        <v>59</v>
      </c>
      <c r="D85" s="815">
        <f t="shared" si="13"/>
        <v>51744</v>
      </c>
      <c r="E85" s="800">
        <f t="shared" si="5"/>
        <v>5</v>
      </c>
      <c r="F85" s="800">
        <f t="shared" si="10"/>
        <v>4</v>
      </c>
      <c r="G85" s="816">
        <f>IF($E$12="NO",G84+1,
IF(OR(D85&lt;$F$8,D85&gt;$F$9),MAX($G$26:G84)+1,""))</f>
        <v>47</v>
      </c>
      <c r="H85" s="809">
        <f t="shared" si="14"/>
        <v>113703802.39959617</v>
      </c>
      <c r="I85" s="809">
        <f t="shared" si="15"/>
        <v>-544830.71983139834</v>
      </c>
      <c r="J85" s="817">
        <f t="shared" si="16"/>
        <v>-156285.32415395917</v>
      </c>
      <c r="K85" s="809">
        <f t="shared" si="11"/>
        <v>-701116.04398535751</v>
      </c>
      <c r="L85" s="791">
        <f t="shared" si="12"/>
        <v>113547517.07544221</v>
      </c>
    </row>
    <row r="86" spans="3:12">
      <c r="C86" s="818">
        <f t="shared" si="9"/>
        <v>60</v>
      </c>
      <c r="D86" s="819">
        <f t="shared" si="13"/>
        <v>51774</v>
      </c>
      <c r="E86" s="820">
        <f t="shared" si="5"/>
        <v>5</v>
      </c>
      <c r="F86" s="821">
        <f t="shared" si="10"/>
        <v>4</v>
      </c>
      <c r="G86" s="821">
        <f>IF($E$12="NO",G85+1,
IF(OR(D86&lt;$F$8,D86&gt;$F$9),MAX($G$26:G85)+1,""))</f>
        <v>48</v>
      </c>
      <c r="H86" s="810">
        <f t="shared" si="14"/>
        <v>113547517.07544221</v>
      </c>
      <c r="I86" s="810">
        <f t="shared" si="15"/>
        <v>-544081.85265316057</v>
      </c>
      <c r="J86" s="822">
        <f t="shared" si="16"/>
        <v>-157034.19133219685</v>
      </c>
      <c r="K86" s="810">
        <f t="shared" si="11"/>
        <v>-701116.04398535739</v>
      </c>
      <c r="L86" s="808">
        <f t="shared" si="12"/>
        <v>113390482.88411002</v>
      </c>
    </row>
  </sheetData>
  <conditionalFormatting sqref="F10">
    <cfRule type="expression" dxfId="1" priority="47">
      <formula>#REF!=#REF!</formula>
    </cfRule>
  </conditionalFormatting>
  <conditionalFormatting sqref="E10:E11">
    <cfRule type="expression" dxfId="0" priority="1">
      <formula>#REF!=#REF!</formula>
    </cfRule>
  </conditionalFormatting>
  <dataValidations count="1">
    <dataValidation type="list" allowBlank="1" showInputMessage="1" showErrorMessage="1" sqref="E12:F12" xr:uid="{32E299DD-5B81-4FB2-9EFF-56C9CED96E0B}">
      <formula1>"YES, NO"</formula1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241EA-A337-4485-A947-6D8E3C7D9046}">
  <sheetPr>
    <tabColor rgb="FFFF0000"/>
  </sheetPr>
  <dimension ref="A2:AB68"/>
  <sheetViews>
    <sheetView topLeftCell="A13" zoomScale="70" zoomScaleNormal="70" workbookViewId="0">
      <selection activeCell="G39" sqref="G39"/>
    </sheetView>
  </sheetViews>
  <sheetFormatPr defaultColWidth="8.5703125" defaultRowHeight="17.45"/>
  <cols>
    <col min="1" max="1" width="10.85546875" style="66" bestFit="1" customWidth="1"/>
    <col min="2" max="2" width="3" style="66" bestFit="1" customWidth="1"/>
    <col min="3" max="3" width="25.5703125" style="66" bestFit="1" customWidth="1"/>
    <col min="4" max="4" width="25.5703125" style="66" customWidth="1"/>
    <col min="5" max="5" width="21.42578125" style="66" customWidth="1"/>
    <col min="6" max="6" width="27.42578125" style="66" bestFit="1" customWidth="1"/>
    <col min="7" max="7" width="25.42578125" style="66" customWidth="1"/>
    <col min="8" max="8" width="31.42578125" style="66" bestFit="1" customWidth="1"/>
    <col min="9" max="9" width="25.42578125" style="66" customWidth="1"/>
    <col min="10" max="11" width="23.140625" style="66" customWidth="1"/>
    <col min="12" max="12" width="26.85546875" style="66" customWidth="1"/>
    <col min="13" max="13" width="16.42578125" style="66" bestFit="1" customWidth="1"/>
    <col min="14" max="14" width="21.42578125" style="66" customWidth="1"/>
    <col min="15" max="15" width="27.42578125" style="66" bestFit="1" customWidth="1"/>
    <col min="16" max="16" width="25.42578125" style="66" customWidth="1"/>
    <col min="17" max="17" width="31.42578125" style="66" bestFit="1" customWidth="1"/>
    <col min="18" max="18" width="20.140625" style="66" customWidth="1"/>
    <col min="19" max="19" width="14.42578125" style="66" customWidth="1"/>
    <col min="20" max="20" width="16.42578125" style="66" customWidth="1"/>
    <col min="21" max="22" width="14.42578125" style="66" customWidth="1"/>
    <col min="23" max="23" width="16.42578125" style="66" customWidth="1"/>
    <col min="24" max="24" width="18.42578125" style="66" customWidth="1"/>
    <col min="25" max="25" width="26" style="66" customWidth="1"/>
    <col min="26" max="26" width="33" style="66" customWidth="1"/>
    <col min="27" max="28" width="37.140625" style="66" bestFit="1" customWidth="1"/>
    <col min="29" max="16384" width="8.5703125" style="66"/>
  </cols>
  <sheetData>
    <row r="2" spans="1:28">
      <c r="C2" s="66" t="s">
        <v>219</v>
      </c>
      <c r="D2" s="66" t="s">
        <v>221</v>
      </c>
      <c r="E2" s="66" t="s">
        <v>222</v>
      </c>
      <c r="F2" s="66" t="s">
        <v>541</v>
      </c>
      <c r="G2" s="66" t="s">
        <v>224</v>
      </c>
      <c r="H2" s="66" t="s">
        <v>542</v>
      </c>
      <c r="I2" s="66" t="s">
        <v>226</v>
      </c>
      <c r="J2" s="66" t="s">
        <v>227</v>
      </c>
      <c r="K2" s="66" t="s">
        <v>228</v>
      </c>
      <c r="L2" s="66" t="s">
        <v>543</v>
      </c>
      <c r="M2" s="66" t="s">
        <v>12</v>
      </c>
      <c r="N2" s="68" t="s">
        <v>231</v>
      </c>
      <c r="O2" s="68" t="s">
        <v>232</v>
      </c>
      <c r="P2" s="68" t="s">
        <v>233</v>
      </c>
      <c r="Q2" s="68" t="s">
        <v>234</v>
      </c>
      <c r="R2" s="66" t="s">
        <v>59</v>
      </c>
      <c r="S2" s="66" t="s">
        <v>40</v>
      </c>
      <c r="T2" s="66" t="s">
        <v>44</v>
      </c>
      <c r="U2" s="66" t="s">
        <v>51</v>
      </c>
      <c r="V2" s="66" t="s">
        <v>230</v>
      </c>
      <c r="W2" s="66" t="s">
        <v>116</v>
      </c>
      <c r="X2" s="66" t="s">
        <v>235</v>
      </c>
      <c r="Y2" s="66" t="s">
        <v>544</v>
      </c>
      <c r="Z2" s="66" t="s">
        <v>545</v>
      </c>
      <c r="AA2" s="66" t="s">
        <v>546</v>
      </c>
      <c r="AB2" s="66" t="s">
        <v>547</v>
      </c>
    </row>
    <row r="3" spans="1:28">
      <c r="A3" s="66" t="s">
        <v>254</v>
      </c>
      <c r="B3" s="68" t="s">
        <v>548</v>
      </c>
      <c r="C3" s="67" t="s">
        <v>50</v>
      </c>
      <c r="D3" s="67" t="s">
        <v>245</v>
      </c>
      <c r="E3" s="195" t="s">
        <v>72</v>
      </c>
      <c r="F3" s="195" t="s">
        <v>72</v>
      </c>
      <c r="G3" s="195" t="s">
        <v>72</v>
      </c>
      <c r="H3" s="195" t="s">
        <v>72</v>
      </c>
      <c r="I3" s="195" t="s">
        <v>72</v>
      </c>
      <c r="J3" s="195" t="s">
        <v>40</v>
      </c>
      <c r="K3" s="195" t="s">
        <v>72</v>
      </c>
      <c r="L3" s="195" t="s">
        <v>72</v>
      </c>
      <c r="M3" s="69">
        <f>SUM(N3:W3)</f>
        <v>116638.8</v>
      </c>
      <c r="N3" s="69">
        <v>0</v>
      </c>
      <c r="O3" s="69"/>
      <c r="P3" s="69"/>
      <c r="Q3" s="69"/>
      <c r="R3" s="69"/>
      <c r="S3" s="69">
        <v>116638.8</v>
      </c>
      <c r="T3" s="69"/>
      <c r="U3" s="69"/>
      <c r="V3" s="69"/>
      <c r="W3" s="69"/>
      <c r="Y3" s="69" t="str">
        <f>IF(N3&gt;0,"O","X")</f>
        <v>X</v>
      </c>
      <c r="Z3" s="69" t="str">
        <f>IF(Y3="O",IF(W3&gt;0,"O","X"),"X")</f>
        <v>X</v>
      </c>
    </row>
    <row r="4" spans="1:28">
      <c r="B4" s="68" t="s">
        <v>548</v>
      </c>
      <c r="C4" s="67" t="s">
        <v>549</v>
      </c>
      <c r="D4" s="67" t="s">
        <v>245</v>
      </c>
      <c r="E4" s="195" t="s">
        <v>231</v>
      </c>
      <c r="F4" s="195" t="s">
        <v>72</v>
      </c>
      <c r="G4" s="195" t="s">
        <v>72</v>
      </c>
      <c r="H4" s="195" t="s">
        <v>72</v>
      </c>
      <c r="I4" s="195" t="s">
        <v>72</v>
      </c>
      <c r="J4" s="195" t="s">
        <v>40</v>
      </c>
      <c r="K4" s="195" t="s">
        <v>72</v>
      </c>
      <c r="L4" s="195" t="s">
        <v>72</v>
      </c>
      <c r="M4" s="69">
        <f>SUM(N4:W4)</f>
        <v>153188.79999999999</v>
      </c>
      <c r="N4" s="69">
        <v>94373.7</v>
      </c>
      <c r="O4" s="69"/>
      <c r="P4" s="69"/>
      <c r="Q4" s="69"/>
      <c r="R4" s="69"/>
      <c r="S4" s="69">
        <v>58815.1</v>
      </c>
      <c r="T4" s="69"/>
      <c r="U4" s="69"/>
      <c r="V4" s="69"/>
      <c r="W4" s="69"/>
      <c r="Y4" s="69" t="str">
        <f>IF(N4&gt;0,"O","X")</f>
        <v>O</v>
      </c>
      <c r="Z4" s="69" t="str">
        <f>IF(Y4="O",IF(W4&gt;0,"O","X"),"X")</f>
        <v>X</v>
      </c>
    </row>
    <row r="5" spans="1:28">
      <c r="B5" s="68" t="s">
        <v>548</v>
      </c>
      <c r="C5" s="67" t="s">
        <v>550</v>
      </c>
      <c r="D5" s="67" t="s">
        <v>245</v>
      </c>
      <c r="E5" s="195" t="s">
        <v>231</v>
      </c>
      <c r="F5" s="195" t="s">
        <v>72</v>
      </c>
      <c r="G5" s="195" t="s">
        <v>72</v>
      </c>
      <c r="H5" s="195" t="s">
        <v>72</v>
      </c>
      <c r="I5" s="195" t="s">
        <v>72</v>
      </c>
      <c r="J5" s="195" t="s">
        <v>40</v>
      </c>
      <c r="K5" s="195" t="s">
        <v>72</v>
      </c>
      <c r="L5" s="195" t="s">
        <v>72</v>
      </c>
      <c r="M5" s="69">
        <f>SUM(N5:W5)</f>
        <v>99006.3</v>
      </c>
      <c r="N5" s="69">
        <v>56624.4</v>
      </c>
      <c r="O5" s="69"/>
      <c r="P5" s="69"/>
      <c r="Q5" s="69"/>
      <c r="R5" s="69"/>
      <c r="S5" s="69">
        <v>42381.9</v>
      </c>
      <c r="T5" s="69"/>
      <c r="U5" s="69"/>
      <c r="V5" s="69"/>
      <c r="W5" s="69"/>
      <c r="Y5" s="69" t="str">
        <f>IF(N5&gt;0,"O","X")</f>
        <v>O</v>
      </c>
      <c r="Z5" s="69" t="str">
        <f>IF(Y5="O",IF(W5&gt;0,"O","X"),"X")</f>
        <v>X</v>
      </c>
    </row>
    <row r="6" spans="1:28">
      <c r="B6" s="195"/>
      <c r="C6" s="67" t="s">
        <v>548</v>
      </c>
      <c r="D6" s="67"/>
      <c r="E6" s="195"/>
      <c r="F6" s="195"/>
      <c r="G6" s="195"/>
      <c r="H6" s="195"/>
      <c r="I6" s="195"/>
      <c r="J6" s="195"/>
      <c r="K6" s="195"/>
      <c r="L6" s="195"/>
      <c r="M6" s="69">
        <f>SUM(M3:M5)</f>
        <v>368833.89999999997</v>
      </c>
      <c r="N6" s="69">
        <f t="shared" ref="N6:W6" si="0">SUM(N3:N5)</f>
        <v>150998.1</v>
      </c>
      <c r="O6" s="69"/>
      <c r="P6" s="69">
        <f t="shared" si="0"/>
        <v>0</v>
      </c>
      <c r="Q6" s="69"/>
      <c r="R6" s="69">
        <f t="shared" si="0"/>
        <v>0</v>
      </c>
      <c r="S6" s="69">
        <f t="shared" si="0"/>
        <v>217835.8</v>
      </c>
      <c r="T6" s="69">
        <f t="shared" si="0"/>
        <v>0</v>
      </c>
      <c r="U6" s="69">
        <f t="shared" si="0"/>
        <v>0</v>
      </c>
      <c r="V6" s="69">
        <f t="shared" si="0"/>
        <v>0</v>
      </c>
      <c r="W6" s="69">
        <f t="shared" si="0"/>
        <v>0</v>
      </c>
      <c r="Y6" s="69"/>
      <c r="Z6" s="69"/>
    </row>
    <row r="7" spans="1:28">
      <c r="B7" s="195"/>
      <c r="C7" s="67"/>
      <c r="D7" s="67"/>
      <c r="E7" s="195"/>
      <c r="F7" s="195"/>
      <c r="G7" s="195"/>
      <c r="H7" s="195"/>
      <c r="I7" s="195"/>
      <c r="J7" s="195"/>
      <c r="K7" s="195"/>
      <c r="L7" s="195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Y7" s="69"/>
      <c r="Z7" s="69"/>
    </row>
    <row r="8" spans="1:28">
      <c r="B8" s="68" t="s">
        <v>551</v>
      </c>
      <c r="C8" s="67" t="s">
        <v>552</v>
      </c>
      <c r="D8" s="67" t="s">
        <v>238</v>
      </c>
      <c r="E8" s="195" t="s">
        <v>231</v>
      </c>
      <c r="F8" s="195" t="s">
        <v>72</v>
      </c>
      <c r="G8" s="195" t="s">
        <v>233</v>
      </c>
      <c r="H8" s="195" t="s">
        <v>72</v>
      </c>
      <c r="I8" s="195" t="s">
        <v>72</v>
      </c>
      <c r="J8" s="195" t="s">
        <v>40</v>
      </c>
      <c r="K8" s="195" t="s">
        <v>72</v>
      </c>
      <c r="L8" s="195" t="s">
        <v>72</v>
      </c>
      <c r="M8" s="69">
        <f>SUM(N8:W8)</f>
        <v>720441.4</v>
      </c>
      <c r="N8" s="69">
        <v>483272.86000000004</v>
      </c>
      <c r="O8" s="69"/>
      <c r="P8" s="69">
        <v>207116.94</v>
      </c>
      <c r="Q8" s="69"/>
      <c r="R8" s="69"/>
      <c r="S8" s="69">
        <v>30051.599999999999</v>
      </c>
      <c r="T8" s="69"/>
      <c r="U8" s="69"/>
      <c r="V8" s="69"/>
      <c r="W8" s="69"/>
      <c r="Y8" s="69" t="str">
        <f>IF(N8&gt;0,"O","X")</f>
        <v>O</v>
      </c>
      <c r="Z8" s="69" t="str">
        <f>IF(Y8="O",IF(W8&gt;0,"O","X"),"X")</f>
        <v>X</v>
      </c>
    </row>
    <row r="9" spans="1:28">
      <c r="B9" s="195"/>
      <c r="C9" s="67" t="s">
        <v>551</v>
      </c>
      <c r="D9" s="67"/>
      <c r="E9" s="195"/>
      <c r="F9" s="195"/>
      <c r="G9" s="195"/>
      <c r="H9" s="195"/>
      <c r="I9" s="195"/>
      <c r="J9" s="195"/>
      <c r="K9" s="195"/>
      <c r="L9" s="195"/>
      <c r="M9" s="69">
        <f>SUM(M8)</f>
        <v>720441.4</v>
      </c>
      <c r="N9" s="69">
        <f>SUM(N8)</f>
        <v>483272.86000000004</v>
      </c>
      <c r="O9" s="69">
        <f>SUM(O8)</f>
        <v>0</v>
      </c>
      <c r="P9" s="69">
        <f>SUM(P8)</f>
        <v>207116.94</v>
      </c>
      <c r="Q9" s="69">
        <f>SUM(Q8)</f>
        <v>0</v>
      </c>
      <c r="R9" s="69">
        <f t="shared" ref="R9:W9" si="1">SUM(R8)</f>
        <v>0</v>
      </c>
      <c r="S9" s="69">
        <f t="shared" si="1"/>
        <v>30051.599999999999</v>
      </c>
      <c r="T9" s="69">
        <f t="shared" si="1"/>
        <v>0</v>
      </c>
      <c r="U9" s="69">
        <f t="shared" si="1"/>
        <v>0</v>
      </c>
      <c r="V9" s="69">
        <f t="shared" si="1"/>
        <v>0</v>
      </c>
      <c r="W9" s="69">
        <f t="shared" si="1"/>
        <v>0</v>
      </c>
      <c r="Y9" s="69"/>
      <c r="Z9" s="69"/>
    </row>
    <row r="10" spans="1:28">
      <c r="B10" s="195"/>
      <c r="C10" s="67"/>
      <c r="D10" s="67"/>
      <c r="E10" s="195"/>
      <c r="F10" s="195"/>
      <c r="G10" s="195"/>
      <c r="H10" s="195"/>
      <c r="I10" s="195"/>
      <c r="J10" s="195"/>
      <c r="K10" s="195"/>
      <c r="L10" s="195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Y10" s="69"/>
      <c r="Z10" s="69"/>
    </row>
    <row r="11" spans="1:28">
      <c r="B11" s="195" t="s">
        <v>553</v>
      </c>
      <c r="C11" s="67" t="s">
        <v>70</v>
      </c>
      <c r="D11" s="67" t="s">
        <v>238</v>
      </c>
      <c r="E11" s="195" t="s">
        <v>72</v>
      </c>
      <c r="F11" s="195" t="s">
        <v>72</v>
      </c>
      <c r="G11" s="195" t="s">
        <v>72</v>
      </c>
      <c r="H11" s="195" t="s">
        <v>72</v>
      </c>
      <c r="I11" s="195" t="s">
        <v>72</v>
      </c>
      <c r="J11" s="195" t="s">
        <v>40</v>
      </c>
      <c r="K11" s="195" t="s">
        <v>72</v>
      </c>
      <c r="L11" s="195" t="s">
        <v>230</v>
      </c>
      <c r="M11" s="69">
        <f>SUM(N11:W11)</f>
        <v>630836.30000000005</v>
      </c>
      <c r="N11" s="69"/>
      <c r="O11" s="69"/>
      <c r="P11" s="69"/>
      <c r="Q11" s="69"/>
      <c r="R11" s="69"/>
      <c r="S11" s="69">
        <v>290254.09999999998</v>
      </c>
      <c r="T11" s="69"/>
      <c r="U11" s="69"/>
      <c r="V11" s="69">
        <v>207772.5</v>
      </c>
      <c r="W11" s="69">
        <v>132809.70000000001</v>
      </c>
      <c r="X11" s="66" t="s">
        <v>239</v>
      </c>
      <c r="Y11" s="69" t="str">
        <f>IF(N11&gt;0,"O","X")</f>
        <v>X</v>
      </c>
      <c r="Z11" s="69" t="str">
        <f>IF(Y11="O",IF(W11&gt;0,"O","X"),"X")</f>
        <v>X</v>
      </c>
    </row>
    <row r="12" spans="1:28">
      <c r="B12" s="195"/>
      <c r="C12" s="67" t="s">
        <v>553</v>
      </c>
      <c r="D12" s="67"/>
      <c r="E12" s="195"/>
      <c r="F12" s="195"/>
      <c r="G12" s="195"/>
      <c r="H12" s="195"/>
      <c r="I12" s="195"/>
      <c r="J12" s="195"/>
      <c r="K12" s="195"/>
      <c r="L12" s="195"/>
      <c r="M12" s="69">
        <f>SUM(M11)</f>
        <v>630836.30000000005</v>
      </c>
      <c r="N12" s="69">
        <f t="shared" ref="N12:W12" si="2">SUM(N11)</f>
        <v>0</v>
      </c>
      <c r="O12" s="69"/>
      <c r="P12" s="69">
        <f t="shared" si="2"/>
        <v>0</v>
      </c>
      <c r="Q12" s="69"/>
      <c r="R12" s="69">
        <f t="shared" si="2"/>
        <v>0</v>
      </c>
      <c r="S12" s="69">
        <f t="shared" si="2"/>
        <v>290254.09999999998</v>
      </c>
      <c r="T12" s="69">
        <f t="shared" si="2"/>
        <v>0</v>
      </c>
      <c r="U12" s="69">
        <f t="shared" si="2"/>
        <v>0</v>
      </c>
      <c r="V12" s="69">
        <f t="shared" si="2"/>
        <v>207772.5</v>
      </c>
      <c r="W12" s="69">
        <f t="shared" si="2"/>
        <v>132809.70000000001</v>
      </c>
      <c r="Y12" s="69"/>
      <c r="Z12" s="69"/>
    </row>
    <row r="13" spans="1:28">
      <c r="B13" s="195"/>
      <c r="C13" s="67"/>
      <c r="D13" s="67"/>
      <c r="E13" s="195"/>
      <c r="F13" s="195"/>
      <c r="G13" s="195"/>
      <c r="H13" s="195"/>
      <c r="I13" s="195"/>
      <c r="J13" s="195"/>
      <c r="K13" s="195"/>
      <c r="L13" s="195"/>
      <c r="M13" s="69"/>
      <c r="N13" s="69"/>
      <c r="O13" s="69"/>
      <c r="P13" s="178"/>
      <c r="Q13" s="69"/>
      <c r="R13" s="69"/>
      <c r="S13" s="69"/>
      <c r="T13" s="69"/>
      <c r="U13" s="69"/>
      <c r="V13" s="69"/>
      <c r="W13" s="69"/>
      <c r="Y13" s="69"/>
      <c r="Z13" s="69"/>
    </row>
    <row r="14" spans="1:28">
      <c r="B14" s="68" t="s">
        <v>554</v>
      </c>
      <c r="C14" s="67" t="s">
        <v>30</v>
      </c>
      <c r="D14" s="67" t="s">
        <v>245</v>
      </c>
      <c r="E14" s="195" t="s">
        <v>72</v>
      </c>
      <c r="F14" s="195" t="s">
        <v>232</v>
      </c>
      <c r="G14" s="195" t="s">
        <v>72</v>
      </c>
      <c r="H14" s="195" t="s">
        <v>234</v>
      </c>
      <c r="I14" s="195" t="s">
        <v>72</v>
      </c>
      <c r="J14" s="195" t="s">
        <v>72</v>
      </c>
      <c r="K14" s="195" t="s">
        <v>72</v>
      </c>
      <c r="L14" s="195" t="s">
        <v>72</v>
      </c>
      <c r="M14" s="69">
        <f>SUM(N14:W14)</f>
        <v>278773.7</v>
      </c>
      <c r="N14" s="69"/>
      <c r="O14" s="71">
        <v>192352.59000000003</v>
      </c>
      <c r="P14" s="69"/>
      <c r="Q14" s="71">
        <v>21372.510000000006</v>
      </c>
      <c r="R14" s="69"/>
      <c r="S14" s="69"/>
      <c r="T14" s="69"/>
      <c r="U14" s="69"/>
      <c r="V14" s="69"/>
      <c r="W14" s="69">
        <v>65048.6</v>
      </c>
      <c r="X14" s="66" t="s">
        <v>61</v>
      </c>
      <c r="Y14" s="69" t="str">
        <f>IF(N14&gt;0,"O","X")</f>
        <v>X</v>
      </c>
      <c r="Z14" s="69" t="str">
        <f>IF(Y14="O",IF(W14&gt;0,"O","X"),"X")</f>
        <v>X</v>
      </c>
    </row>
    <row r="15" spans="1:28">
      <c r="B15" s="68" t="s">
        <v>554</v>
      </c>
      <c r="C15" s="67" t="s">
        <v>37</v>
      </c>
      <c r="D15" s="67" t="s">
        <v>245</v>
      </c>
      <c r="E15" s="195" t="s">
        <v>72</v>
      </c>
      <c r="F15" s="195" t="s">
        <v>232</v>
      </c>
      <c r="G15" s="195" t="s">
        <v>72</v>
      </c>
      <c r="H15" s="195" t="s">
        <v>234</v>
      </c>
      <c r="I15" s="195" t="s">
        <v>72</v>
      </c>
      <c r="J15" s="195" t="s">
        <v>72</v>
      </c>
      <c r="K15" s="195" t="s">
        <v>72</v>
      </c>
      <c r="L15" s="195" t="s">
        <v>72</v>
      </c>
      <c r="M15" s="69">
        <f>SUM(N15:W15)</f>
        <v>257407.7</v>
      </c>
      <c r="N15" s="69"/>
      <c r="O15" s="69">
        <v>153721.89000000001</v>
      </c>
      <c r="P15" s="69"/>
      <c r="Q15" s="69">
        <v>17080.210000000003</v>
      </c>
      <c r="R15" s="69"/>
      <c r="S15" s="69"/>
      <c r="T15" s="69"/>
      <c r="U15" s="69"/>
      <c r="V15" s="69"/>
      <c r="W15" s="69">
        <v>86605.6</v>
      </c>
      <c r="X15" s="66" t="s">
        <v>61</v>
      </c>
      <c r="Y15" s="69" t="str">
        <f>IF(N15&gt;0,"O","X")</f>
        <v>X</v>
      </c>
      <c r="Z15" s="69" t="str">
        <f>IF(Y15="O",IF(W15&gt;0,"O","X"),"X")</f>
        <v>X</v>
      </c>
    </row>
    <row r="16" spans="1:28">
      <c r="C16" s="67" t="s">
        <v>554</v>
      </c>
      <c r="D16" s="67"/>
      <c r="M16" s="71">
        <f>SUM(M14:M15)</f>
        <v>536181.4</v>
      </c>
      <c r="N16" s="71">
        <f t="shared" ref="N16:W16" si="3">SUM(N14:N15)</f>
        <v>0</v>
      </c>
      <c r="O16" s="71">
        <f t="shared" si="3"/>
        <v>346074.48000000004</v>
      </c>
      <c r="P16" s="71">
        <f t="shared" si="3"/>
        <v>0</v>
      </c>
      <c r="Q16" s="71">
        <f t="shared" si="3"/>
        <v>38452.720000000008</v>
      </c>
      <c r="R16" s="71">
        <f t="shared" si="3"/>
        <v>0</v>
      </c>
      <c r="S16" s="71">
        <f t="shared" si="3"/>
        <v>0</v>
      </c>
      <c r="T16" s="71">
        <f t="shared" si="3"/>
        <v>0</v>
      </c>
      <c r="U16" s="71">
        <f t="shared" si="3"/>
        <v>0</v>
      </c>
      <c r="V16" s="71">
        <f t="shared" si="3"/>
        <v>0</v>
      </c>
      <c r="W16" s="71">
        <f t="shared" si="3"/>
        <v>151654.20000000001</v>
      </c>
      <c r="Y16" s="71"/>
      <c r="Z16" s="71"/>
    </row>
    <row r="17" spans="2:26">
      <c r="C17" s="67"/>
      <c r="D17" s="67"/>
      <c r="M17" s="71"/>
      <c r="Y17" s="71"/>
      <c r="Z17" s="71"/>
    </row>
    <row r="18" spans="2:26">
      <c r="B18" s="68" t="s">
        <v>555</v>
      </c>
      <c r="C18" s="67" t="s">
        <v>556</v>
      </c>
      <c r="D18" s="67" t="s">
        <v>238</v>
      </c>
      <c r="E18" s="195" t="s">
        <v>72</v>
      </c>
      <c r="F18" s="195" t="s">
        <v>72</v>
      </c>
      <c r="G18" s="195" t="s">
        <v>72</v>
      </c>
      <c r="H18" s="195" t="s">
        <v>72</v>
      </c>
      <c r="I18" s="195" t="s">
        <v>72</v>
      </c>
      <c r="J18" s="195" t="s">
        <v>72</v>
      </c>
      <c r="K18" s="195" t="s">
        <v>72</v>
      </c>
      <c r="L18" s="195" t="s">
        <v>51</v>
      </c>
      <c r="M18" s="69">
        <f>SUM(N18:W18)</f>
        <v>148526.1</v>
      </c>
      <c r="N18" s="69"/>
      <c r="O18" s="69"/>
      <c r="P18" s="69"/>
      <c r="Q18" s="69"/>
      <c r="R18" s="69"/>
      <c r="S18" s="69">
        <v>30691.4</v>
      </c>
      <c r="T18" s="69"/>
      <c r="U18" s="69">
        <v>117834.7</v>
      </c>
      <c r="V18" s="69"/>
      <c r="W18" s="69"/>
      <c r="Y18" s="69" t="str">
        <f>IF(N18&gt;0,"O","X")</f>
        <v>X</v>
      </c>
      <c r="Z18" s="69" t="str">
        <f>IF(Y18="O",IF(W18&gt;0,"O","X"),"X")</f>
        <v>X</v>
      </c>
    </row>
    <row r="19" spans="2:26">
      <c r="B19" s="68" t="s">
        <v>555</v>
      </c>
      <c r="C19" s="67" t="s">
        <v>557</v>
      </c>
      <c r="D19" s="67" t="s">
        <v>238</v>
      </c>
      <c r="E19" s="195" t="s">
        <v>72</v>
      </c>
      <c r="F19" s="195" t="s">
        <v>72</v>
      </c>
      <c r="G19" s="195" t="s">
        <v>72</v>
      </c>
      <c r="H19" s="195" t="s">
        <v>72</v>
      </c>
      <c r="I19" s="195" t="s">
        <v>72</v>
      </c>
      <c r="J19" s="195" t="s">
        <v>72</v>
      </c>
      <c r="K19" s="195" t="s">
        <v>72</v>
      </c>
      <c r="L19" s="195" t="s">
        <v>51</v>
      </c>
      <c r="M19" s="69">
        <f>SUM(N19:W19)</f>
        <v>327104.19999999995</v>
      </c>
      <c r="N19" s="69"/>
      <c r="O19" s="69"/>
      <c r="P19" s="69"/>
      <c r="Q19" s="69"/>
      <c r="R19" s="69"/>
      <c r="S19" s="69">
        <v>93051.9</v>
      </c>
      <c r="T19" s="69"/>
      <c r="U19" s="69">
        <v>234052.3</v>
      </c>
      <c r="V19" s="69"/>
      <c r="W19" s="69"/>
      <c r="Y19" s="69" t="str">
        <f>IF(N19&gt;0,"O","X")</f>
        <v>X</v>
      </c>
      <c r="Z19" s="69" t="str">
        <f>IF(Y19="O",IF(W19&gt;0,"O","X"),"X")</f>
        <v>X</v>
      </c>
    </row>
    <row r="20" spans="2:26">
      <c r="B20" s="68" t="s">
        <v>555</v>
      </c>
      <c r="C20" s="67" t="s">
        <v>558</v>
      </c>
      <c r="D20" s="67" t="s">
        <v>238</v>
      </c>
      <c r="E20" s="195" t="s">
        <v>72</v>
      </c>
      <c r="F20" s="195" t="s">
        <v>72</v>
      </c>
      <c r="G20" s="195" t="s">
        <v>72</v>
      </c>
      <c r="H20" s="195" t="s">
        <v>72</v>
      </c>
      <c r="I20" s="195" t="s">
        <v>72</v>
      </c>
      <c r="J20" s="195" t="s">
        <v>44</v>
      </c>
      <c r="K20" s="195" t="s">
        <v>40</v>
      </c>
      <c r="L20" s="195" t="s">
        <v>72</v>
      </c>
      <c r="M20" s="69">
        <f>SUM(N20:W20)</f>
        <v>800233.5</v>
      </c>
      <c r="N20" s="69"/>
      <c r="O20" s="69"/>
      <c r="P20" s="69"/>
      <c r="Q20" s="69"/>
      <c r="R20" s="69"/>
      <c r="S20" s="69">
        <v>94576.9</v>
      </c>
      <c r="T20" s="69">
        <v>536410</v>
      </c>
      <c r="U20" s="69"/>
      <c r="V20" s="69"/>
      <c r="W20" s="69">
        <v>169246.6</v>
      </c>
      <c r="X20" s="66" t="s">
        <v>239</v>
      </c>
      <c r="Y20" s="69" t="str">
        <f>IF(N20&gt;0,"O","X")</f>
        <v>X</v>
      </c>
      <c r="Z20" s="69" t="str">
        <f>IF(Y20="O",IF(W20&gt;0,"O","X"),"X")</f>
        <v>X</v>
      </c>
    </row>
    <row r="21" spans="2:26">
      <c r="B21" s="195"/>
      <c r="C21" s="70" t="s">
        <v>555</v>
      </c>
      <c r="D21" s="70"/>
      <c r="E21" s="195"/>
      <c r="F21" s="195"/>
      <c r="G21" s="195"/>
      <c r="H21" s="195"/>
      <c r="I21" s="195"/>
      <c r="J21" s="195"/>
      <c r="K21" s="195"/>
      <c r="L21" s="195"/>
      <c r="M21" s="69">
        <f>SUM(M18:M20)</f>
        <v>1275863.7999999998</v>
      </c>
      <c r="N21" s="69">
        <f t="shared" ref="N21:W21" si="4">SUM(N18:N20)</f>
        <v>0</v>
      </c>
      <c r="O21" s="69"/>
      <c r="P21" s="69">
        <f t="shared" si="4"/>
        <v>0</v>
      </c>
      <c r="Q21" s="69"/>
      <c r="R21" s="69">
        <f t="shared" si="4"/>
        <v>0</v>
      </c>
      <c r="S21" s="69">
        <f t="shared" si="4"/>
        <v>218320.19999999998</v>
      </c>
      <c r="T21" s="69">
        <f t="shared" si="4"/>
        <v>536410</v>
      </c>
      <c r="U21" s="69">
        <f t="shared" si="4"/>
        <v>351887</v>
      </c>
      <c r="V21" s="69">
        <f t="shared" si="4"/>
        <v>0</v>
      </c>
      <c r="W21" s="69">
        <f t="shared" si="4"/>
        <v>169246.6</v>
      </c>
      <c r="X21" s="66" t="s">
        <v>239</v>
      </c>
      <c r="Y21" s="69"/>
      <c r="Z21" s="69"/>
    </row>
    <row r="22" spans="2:26">
      <c r="B22" s="195"/>
      <c r="C22" s="67"/>
      <c r="D22" s="67"/>
      <c r="E22" s="195"/>
      <c r="F22" s="195"/>
      <c r="G22" s="195"/>
      <c r="H22" s="195"/>
      <c r="I22" s="195"/>
      <c r="J22" s="195"/>
      <c r="K22" s="195"/>
      <c r="L22" s="195"/>
      <c r="M22" s="69"/>
      <c r="N22" s="69">
        <v>0</v>
      </c>
      <c r="O22" s="69"/>
      <c r="P22" s="69"/>
      <c r="Q22" s="69"/>
      <c r="R22" s="69"/>
      <c r="S22" s="69"/>
      <c r="T22" s="69"/>
      <c r="U22" s="69"/>
      <c r="V22" s="69"/>
      <c r="W22" s="69"/>
      <c r="Y22" s="69"/>
      <c r="Z22" s="69"/>
    </row>
    <row r="23" spans="2:26">
      <c r="B23" s="68" t="s">
        <v>559</v>
      </c>
      <c r="C23" s="67" t="s">
        <v>560</v>
      </c>
      <c r="D23" s="67" t="s">
        <v>245</v>
      </c>
      <c r="E23" s="195" t="s">
        <v>231</v>
      </c>
      <c r="F23" s="195" t="s">
        <v>72</v>
      </c>
      <c r="G23" s="195" t="s">
        <v>233</v>
      </c>
      <c r="H23" s="195" t="s">
        <v>72</v>
      </c>
      <c r="I23" s="195" t="s">
        <v>72</v>
      </c>
      <c r="J23" s="195" t="s">
        <v>72</v>
      </c>
      <c r="K23" s="195" t="s">
        <v>72</v>
      </c>
      <c r="L23" s="195" t="s">
        <v>72</v>
      </c>
      <c r="M23" s="69">
        <f>SUM(N23:W23)</f>
        <v>331467</v>
      </c>
      <c r="N23" s="69">
        <v>203070.90999999997</v>
      </c>
      <c r="O23" s="69"/>
      <c r="P23" s="69">
        <v>87030.39</v>
      </c>
      <c r="Q23" s="69"/>
      <c r="R23" s="69"/>
      <c r="S23" s="69"/>
      <c r="T23" s="69"/>
      <c r="U23" s="69"/>
      <c r="V23" s="69"/>
      <c r="W23" s="69">
        <v>41365.699999999997</v>
      </c>
      <c r="X23" s="66" t="s">
        <v>61</v>
      </c>
      <c r="Y23" s="69" t="str">
        <f>IF(N23&gt;0,"O","X")</f>
        <v>O</v>
      </c>
      <c r="Z23" s="69" t="str">
        <f>IF(Y23="O",IF(W23&gt;0,"O","X"),"X")</f>
        <v>O</v>
      </c>
    </row>
    <row r="24" spans="2:26">
      <c r="B24" s="68" t="s">
        <v>559</v>
      </c>
      <c r="C24" s="67" t="s">
        <v>561</v>
      </c>
      <c r="D24" s="67" t="s">
        <v>245</v>
      </c>
      <c r="E24" s="195" t="s">
        <v>231</v>
      </c>
      <c r="F24" s="195" t="s">
        <v>72</v>
      </c>
      <c r="G24" s="195" t="s">
        <v>233</v>
      </c>
      <c r="H24" s="195" t="s">
        <v>72</v>
      </c>
      <c r="I24" s="195" t="s">
        <v>72</v>
      </c>
      <c r="J24" s="195" t="s">
        <v>72</v>
      </c>
      <c r="K24" s="195" t="s">
        <v>72</v>
      </c>
      <c r="L24" s="195" t="s">
        <v>72</v>
      </c>
      <c r="M24" s="69">
        <f>SUM(N24:W24)</f>
        <v>287959</v>
      </c>
      <c r="N24" s="69">
        <v>170400.15999999997</v>
      </c>
      <c r="O24" s="69"/>
      <c r="P24" s="69">
        <v>73028.639999999999</v>
      </c>
      <c r="Q24" s="69"/>
      <c r="R24" s="69"/>
      <c r="S24" s="69"/>
      <c r="T24" s="69"/>
      <c r="U24" s="69"/>
      <c r="V24" s="69"/>
      <c r="W24" s="69">
        <v>44530.2</v>
      </c>
      <c r="X24" s="66" t="s">
        <v>61</v>
      </c>
      <c r="Y24" s="69" t="str">
        <f>IF(N24&gt;0,"O","X")</f>
        <v>O</v>
      </c>
      <c r="Z24" s="69" t="str">
        <f>IF(Y24="O",IF(W24&gt;0,"O","X"),"X")</f>
        <v>O</v>
      </c>
    </row>
    <row r="25" spans="2:26">
      <c r="B25" s="68"/>
      <c r="C25" s="67" t="s">
        <v>559</v>
      </c>
      <c r="D25" s="67"/>
      <c r="E25" s="195"/>
      <c r="F25" s="195"/>
      <c r="G25" s="195"/>
      <c r="H25" s="195"/>
      <c r="I25" s="195"/>
      <c r="J25" s="195"/>
      <c r="K25" s="195"/>
      <c r="L25" s="195"/>
      <c r="M25" s="69">
        <f>SUM(M23:M24)</f>
        <v>619426</v>
      </c>
      <c r="N25" s="69">
        <f>SUM(N23:N24)</f>
        <v>373471.06999999995</v>
      </c>
      <c r="O25" s="69"/>
      <c r="P25" s="69">
        <f>SUM(P23:P24)</f>
        <v>160059.03</v>
      </c>
      <c r="Q25" s="69"/>
      <c r="R25" s="69">
        <f t="shared" ref="R25:W25" si="5">SUM(R23:R24)</f>
        <v>0</v>
      </c>
      <c r="S25" s="69">
        <f t="shared" si="5"/>
        <v>0</v>
      </c>
      <c r="T25" s="69">
        <f t="shared" si="5"/>
        <v>0</v>
      </c>
      <c r="U25" s="69">
        <f t="shared" si="5"/>
        <v>0</v>
      </c>
      <c r="V25" s="69">
        <f t="shared" si="5"/>
        <v>0</v>
      </c>
      <c r="W25" s="69">
        <f t="shared" si="5"/>
        <v>85895.9</v>
      </c>
      <c r="Y25" s="69"/>
      <c r="Z25" s="69"/>
    </row>
    <row r="26" spans="2:26">
      <c r="B26" s="68"/>
      <c r="C26" s="67"/>
      <c r="D26" s="67"/>
      <c r="E26" s="195"/>
      <c r="F26" s="195"/>
      <c r="G26" s="195"/>
      <c r="H26" s="195"/>
      <c r="I26" s="195"/>
      <c r="J26" s="195"/>
      <c r="K26" s="195"/>
      <c r="L26" s="195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Y26" s="69"/>
      <c r="Z26" s="69"/>
    </row>
    <row r="27" spans="2:26">
      <c r="B27" s="68" t="s">
        <v>562</v>
      </c>
      <c r="C27" s="67" t="s">
        <v>563</v>
      </c>
      <c r="D27" s="67" t="s">
        <v>245</v>
      </c>
      <c r="E27" s="195" t="s">
        <v>231</v>
      </c>
      <c r="F27" s="195" t="s">
        <v>72</v>
      </c>
      <c r="G27" s="195" t="s">
        <v>233</v>
      </c>
      <c r="H27" s="195" t="s">
        <v>72</v>
      </c>
      <c r="I27" s="195" t="s">
        <v>72</v>
      </c>
      <c r="J27" s="195" t="s">
        <v>72</v>
      </c>
      <c r="K27" s="195" t="s">
        <v>72</v>
      </c>
      <c r="L27" s="195" t="s">
        <v>72</v>
      </c>
      <c r="M27" s="69">
        <f>SUM(N27:W27)</f>
        <v>180158.1</v>
      </c>
      <c r="N27" s="69">
        <v>106999.9</v>
      </c>
      <c r="O27" s="69"/>
      <c r="P27" s="69">
        <v>45857.1</v>
      </c>
      <c r="Q27" s="69"/>
      <c r="R27" s="69"/>
      <c r="S27" s="69"/>
      <c r="T27" s="69"/>
      <c r="U27" s="69"/>
      <c r="V27" s="69"/>
      <c r="W27" s="69">
        <v>27301.1</v>
      </c>
      <c r="X27" s="66" t="s">
        <v>61</v>
      </c>
      <c r="Y27" s="69" t="str">
        <f>IF(N27&gt;0,"O","X")</f>
        <v>O</v>
      </c>
      <c r="Z27" s="69" t="str">
        <f>IF(Y27="O",IF(W27&gt;0,"O","X"),"X")</f>
        <v>O</v>
      </c>
    </row>
    <row r="28" spans="2:26">
      <c r="B28" s="68" t="s">
        <v>562</v>
      </c>
      <c r="C28" s="67" t="s">
        <v>564</v>
      </c>
      <c r="D28" s="67" t="s">
        <v>245</v>
      </c>
      <c r="E28" s="195" t="s">
        <v>231</v>
      </c>
      <c r="F28" s="195" t="s">
        <v>72</v>
      </c>
      <c r="G28" s="195" t="s">
        <v>233</v>
      </c>
      <c r="H28" s="195" t="s">
        <v>72</v>
      </c>
      <c r="I28" s="195" t="s">
        <v>72</v>
      </c>
      <c r="J28" s="195" t="s">
        <v>72</v>
      </c>
      <c r="K28" s="195" t="s">
        <v>72</v>
      </c>
      <c r="L28" s="195" t="s">
        <v>72</v>
      </c>
      <c r="M28" s="69">
        <f>SUM(N28:W28)</f>
        <v>108759.8</v>
      </c>
      <c r="N28" s="69">
        <v>64787.8</v>
      </c>
      <c r="O28" s="69"/>
      <c r="P28" s="69">
        <v>27766.2</v>
      </c>
      <c r="Q28" s="69"/>
      <c r="R28" s="69"/>
      <c r="S28" s="69"/>
      <c r="T28" s="69"/>
      <c r="U28" s="69"/>
      <c r="V28" s="69"/>
      <c r="W28" s="69">
        <v>16205.8</v>
      </c>
      <c r="X28" s="66" t="s">
        <v>61</v>
      </c>
      <c r="Y28" s="69" t="str">
        <f>IF(N28&gt;0,"O","X")</f>
        <v>O</v>
      </c>
      <c r="Z28" s="69" t="str">
        <f>IF(Y28="O",IF(W28&gt;0,"O","X"),"X")</f>
        <v>O</v>
      </c>
    </row>
    <row r="29" spans="2:26">
      <c r="B29" s="68" t="s">
        <v>562</v>
      </c>
      <c r="C29" s="67" t="s">
        <v>565</v>
      </c>
      <c r="D29" s="67" t="s">
        <v>245</v>
      </c>
      <c r="E29" s="195" t="s">
        <v>231</v>
      </c>
      <c r="F29" s="195" t="s">
        <v>72</v>
      </c>
      <c r="G29" s="195" t="s">
        <v>233</v>
      </c>
      <c r="H29" s="195" t="s">
        <v>72</v>
      </c>
      <c r="I29" s="195" t="s">
        <v>72</v>
      </c>
      <c r="J29" s="195" t="s">
        <v>72</v>
      </c>
      <c r="K29" s="195" t="s">
        <v>72</v>
      </c>
      <c r="L29" s="195" t="s">
        <v>72</v>
      </c>
      <c r="M29" s="69">
        <f>SUM(N29:W29)</f>
        <v>394970.1</v>
      </c>
      <c r="N29" s="69">
        <v>247422.21</v>
      </c>
      <c r="O29" s="69"/>
      <c r="P29" s="69">
        <v>106038.09</v>
      </c>
      <c r="Q29" s="69"/>
      <c r="R29" s="69"/>
      <c r="S29" s="69"/>
      <c r="T29" s="69"/>
      <c r="U29" s="69"/>
      <c r="V29" s="69"/>
      <c r="W29" s="69">
        <v>41509.800000000003</v>
      </c>
      <c r="X29" s="66" t="s">
        <v>61</v>
      </c>
      <c r="Y29" s="69" t="str">
        <f>IF(N29&gt;0,"O","X")</f>
        <v>O</v>
      </c>
      <c r="Z29" s="69" t="str">
        <f>IF(Y29="O",IF(W29&gt;0,"O","X"),"X")</f>
        <v>O</v>
      </c>
    </row>
    <row r="30" spans="2:26">
      <c r="B30" s="68"/>
      <c r="C30" s="67" t="s">
        <v>562</v>
      </c>
      <c r="D30" s="67"/>
      <c r="E30" s="195"/>
      <c r="F30" s="195"/>
      <c r="G30" s="195"/>
      <c r="H30" s="195"/>
      <c r="I30" s="195"/>
      <c r="J30" s="195"/>
      <c r="K30" s="195"/>
      <c r="L30" s="195"/>
      <c r="M30" s="69">
        <f>SUM(M27:M29)</f>
        <v>683888</v>
      </c>
      <c r="N30" s="69">
        <f t="shared" ref="N30:W30" si="6">SUM(N27:N29)</f>
        <v>419209.91000000003</v>
      </c>
      <c r="O30" s="69"/>
      <c r="P30" s="69">
        <f t="shared" si="6"/>
        <v>179661.39</v>
      </c>
      <c r="Q30" s="69"/>
      <c r="R30" s="69">
        <f t="shared" si="6"/>
        <v>0</v>
      </c>
      <c r="S30" s="69">
        <f t="shared" si="6"/>
        <v>0</v>
      </c>
      <c r="T30" s="69">
        <f t="shared" si="6"/>
        <v>0</v>
      </c>
      <c r="U30" s="69">
        <f t="shared" si="6"/>
        <v>0</v>
      </c>
      <c r="V30" s="69">
        <f t="shared" si="6"/>
        <v>0</v>
      </c>
      <c r="W30" s="69">
        <f t="shared" si="6"/>
        <v>85016.7</v>
      </c>
      <c r="Y30" s="69"/>
      <c r="Z30" s="69"/>
    </row>
    <row r="31" spans="2:26">
      <c r="B31" s="68"/>
      <c r="C31" s="67"/>
      <c r="D31" s="67"/>
      <c r="E31" s="195"/>
      <c r="F31" s="195"/>
      <c r="G31" s="195"/>
      <c r="H31" s="195"/>
      <c r="I31" s="195"/>
      <c r="J31" s="195"/>
      <c r="K31" s="195"/>
      <c r="L31" s="195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Y31" s="69"/>
      <c r="Z31" s="69"/>
    </row>
    <row r="32" spans="2:26">
      <c r="B32" s="68" t="s">
        <v>566</v>
      </c>
      <c r="C32" s="67" t="s">
        <v>62</v>
      </c>
      <c r="D32" s="67" t="s">
        <v>238</v>
      </c>
      <c r="E32" s="195" t="s">
        <v>72</v>
      </c>
      <c r="F32" s="195" t="s">
        <v>72</v>
      </c>
      <c r="G32" s="195" t="s">
        <v>72</v>
      </c>
      <c r="H32" s="195" t="s">
        <v>72</v>
      </c>
      <c r="I32" s="195" t="s">
        <v>72</v>
      </c>
      <c r="J32" s="195" t="s">
        <v>44</v>
      </c>
      <c r="K32" s="195" t="s">
        <v>72</v>
      </c>
      <c r="L32" s="195" t="s">
        <v>72</v>
      </c>
      <c r="M32" s="69">
        <f>SUM(N32:W32)</f>
        <v>226826.2</v>
      </c>
      <c r="N32" s="69">
        <v>0</v>
      </c>
      <c r="O32" s="69"/>
      <c r="P32" s="69"/>
      <c r="Q32" s="69"/>
      <c r="R32" s="69"/>
      <c r="S32" s="69"/>
      <c r="T32" s="69">
        <v>160109.9</v>
      </c>
      <c r="U32" s="69"/>
      <c r="V32" s="69"/>
      <c r="W32" s="69">
        <v>66716.3</v>
      </c>
      <c r="X32" s="66" t="s">
        <v>239</v>
      </c>
      <c r="Y32" s="69" t="str">
        <f>IF(N32&gt;0,"O","X")</f>
        <v>X</v>
      </c>
      <c r="Z32" s="69" t="str">
        <f>IF(Y32="O",IF(W32&gt;0,"O","X"),"X")</f>
        <v>X</v>
      </c>
    </row>
    <row r="33" spans="2:26">
      <c r="B33" s="68" t="s">
        <v>566</v>
      </c>
      <c r="C33" s="67" t="s">
        <v>65</v>
      </c>
      <c r="D33" s="67" t="s">
        <v>238</v>
      </c>
      <c r="E33" s="195" t="s">
        <v>72</v>
      </c>
      <c r="F33" s="195" t="s">
        <v>72</v>
      </c>
      <c r="G33" s="195" t="s">
        <v>72</v>
      </c>
      <c r="H33" s="195" t="s">
        <v>72</v>
      </c>
      <c r="I33" s="195" t="s">
        <v>72</v>
      </c>
      <c r="J33" s="195" t="s">
        <v>44</v>
      </c>
      <c r="K33" s="195" t="s">
        <v>72</v>
      </c>
      <c r="L33" s="195" t="s">
        <v>72</v>
      </c>
      <c r="M33" s="69">
        <f>SUM(N33:W33)</f>
        <v>216281.40000000002</v>
      </c>
      <c r="N33" s="69">
        <v>0</v>
      </c>
      <c r="O33" s="69"/>
      <c r="P33" s="69"/>
      <c r="Q33" s="69"/>
      <c r="R33" s="69"/>
      <c r="S33" s="69"/>
      <c r="T33" s="69">
        <v>152078.6</v>
      </c>
      <c r="U33" s="69"/>
      <c r="V33" s="69"/>
      <c r="W33" s="69">
        <v>64202.8</v>
      </c>
      <c r="X33" s="66" t="s">
        <v>239</v>
      </c>
      <c r="Y33" s="69" t="str">
        <f>IF(N33&gt;0,"O","X")</f>
        <v>X</v>
      </c>
      <c r="Z33" s="69" t="str">
        <f>IF(Y33="O",IF(W33&gt;0,"O","X"),"X")</f>
        <v>X</v>
      </c>
    </row>
    <row r="34" spans="2:26">
      <c r="B34" s="68" t="s">
        <v>566</v>
      </c>
      <c r="C34" s="67" t="s">
        <v>567</v>
      </c>
      <c r="D34" s="67" t="s">
        <v>238</v>
      </c>
      <c r="E34" s="195" t="s">
        <v>72</v>
      </c>
      <c r="F34" s="195" t="s">
        <v>72</v>
      </c>
      <c r="G34" s="195" t="s">
        <v>72</v>
      </c>
      <c r="H34" s="195" t="s">
        <v>72</v>
      </c>
      <c r="I34" s="195" t="s">
        <v>72</v>
      </c>
      <c r="J34" s="195" t="s">
        <v>44</v>
      </c>
      <c r="K34" s="195" t="s">
        <v>72</v>
      </c>
      <c r="L34" s="195" t="s">
        <v>72</v>
      </c>
      <c r="M34" s="69">
        <f>SUM(N34:W34)</f>
        <v>143384.29999999999</v>
      </c>
      <c r="N34" s="69">
        <v>0</v>
      </c>
      <c r="O34" s="69"/>
      <c r="P34" s="69"/>
      <c r="Q34" s="69"/>
      <c r="R34" s="69"/>
      <c r="S34" s="69"/>
      <c r="T34" s="69">
        <v>126895.5</v>
      </c>
      <c r="U34" s="69"/>
      <c r="V34" s="69"/>
      <c r="W34" s="69">
        <v>16488.8</v>
      </c>
      <c r="X34" s="66" t="s">
        <v>239</v>
      </c>
      <c r="Y34" s="69" t="str">
        <f>IF(N34&gt;0,"O","X")</f>
        <v>X</v>
      </c>
      <c r="Z34" s="69" t="str">
        <f>IF(Y34="O",IF(W34&gt;0,"O","X"),"X")</f>
        <v>X</v>
      </c>
    </row>
    <row r="35" spans="2:26">
      <c r="B35" s="68" t="s">
        <v>566</v>
      </c>
      <c r="C35" s="67" t="s">
        <v>568</v>
      </c>
      <c r="D35" s="67" t="s">
        <v>238</v>
      </c>
      <c r="E35" s="195" t="s">
        <v>72</v>
      </c>
      <c r="F35" s="195" t="s">
        <v>72</v>
      </c>
      <c r="G35" s="195" t="s">
        <v>72</v>
      </c>
      <c r="H35" s="195" t="s">
        <v>72</v>
      </c>
      <c r="I35" s="195" t="s">
        <v>72</v>
      </c>
      <c r="J35" s="195" t="s">
        <v>44</v>
      </c>
      <c r="K35" s="195" t="s">
        <v>72</v>
      </c>
      <c r="L35" s="195" t="s">
        <v>72</v>
      </c>
      <c r="M35" s="69">
        <f>SUM(N35:W35)</f>
        <v>198699.69999999998</v>
      </c>
      <c r="N35" s="69">
        <v>0</v>
      </c>
      <c r="O35" s="69"/>
      <c r="P35" s="69"/>
      <c r="Q35" s="69"/>
      <c r="R35" s="69"/>
      <c r="S35" s="69"/>
      <c r="T35" s="69">
        <v>174869.8</v>
      </c>
      <c r="U35" s="69"/>
      <c r="V35" s="69"/>
      <c r="W35" s="69">
        <v>23829.9</v>
      </c>
      <c r="X35" s="66" t="s">
        <v>239</v>
      </c>
      <c r="Y35" s="69" t="str">
        <f>IF(N35&gt;0,"O","X")</f>
        <v>X</v>
      </c>
      <c r="Z35" s="69" t="str">
        <f>IF(Y35="O",IF(W35&gt;0,"O","X"),"X")</f>
        <v>X</v>
      </c>
    </row>
    <row r="36" spans="2:26">
      <c r="B36" s="195"/>
      <c r="C36" s="67" t="s">
        <v>566</v>
      </c>
      <c r="D36" s="67"/>
      <c r="E36" s="195"/>
      <c r="F36" s="195"/>
      <c r="G36" s="195"/>
      <c r="H36" s="195"/>
      <c r="I36" s="195"/>
      <c r="J36" s="195"/>
      <c r="K36" s="195"/>
      <c r="L36" s="195"/>
      <c r="M36" s="69">
        <f>SUM(M32:M35)</f>
        <v>785191.6</v>
      </c>
      <c r="N36" s="69">
        <f t="shared" ref="N36:W36" si="7">SUM(N32:N35)</f>
        <v>0</v>
      </c>
      <c r="O36" s="69"/>
      <c r="P36" s="69">
        <f t="shared" si="7"/>
        <v>0</v>
      </c>
      <c r="Q36" s="69"/>
      <c r="R36" s="69">
        <f t="shared" si="7"/>
        <v>0</v>
      </c>
      <c r="S36" s="69">
        <f t="shared" si="7"/>
        <v>0</v>
      </c>
      <c r="T36" s="69">
        <f t="shared" si="7"/>
        <v>613953.80000000005</v>
      </c>
      <c r="U36" s="69">
        <f t="shared" si="7"/>
        <v>0</v>
      </c>
      <c r="V36" s="69">
        <f t="shared" si="7"/>
        <v>0</v>
      </c>
      <c r="W36" s="69">
        <f t="shared" si="7"/>
        <v>171237.8</v>
      </c>
      <c r="Y36" s="69"/>
      <c r="Z36" s="69"/>
    </row>
    <row r="37" spans="2:26">
      <c r="B37" s="195"/>
      <c r="C37" s="67"/>
      <c r="D37" s="67"/>
      <c r="E37" s="195"/>
      <c r="F37" s="195"/>
      <c r="G37" s="195"/>
      <c r="H37" s="195"/>
      <c r="I37" s="195"/>
      <c r="J37" s="195"/>
      <c r="K37" s="195"/>
      <c r="L37" s="195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Y37" s="69"/>
      <c r="Z37" s="69"/>
    </row>
    <row r="38" spans="2:26">
      <c r="B38" s="68"/>
      <c r="C38" s="67"/>
      <c r="D38" s="67"/>
      <c r="E38" s="195"/>
      <c r="F38" s="195"/>
      <c r="G38" s="195"/>
      <c r="H38" s="195"/>
      <c r="I38" s="195"/>
      <c r="J38" s="195"/>
      <c r="K38" s="195"/>
      <c r="L38" s="195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Y38" s="69"/>
      <c r="Z38" s="69"/>
    </row>
    <row r="39" spans="2:26">
      <c r="B39" s="68" t="s">
        <v>569</v>
      </c>
      <c r="C39" s="67" t="s">
        <v>570</v>
      </c>
      <c r="D39" s="67" t="s">
        <v>245</v>
      </c>
      <c r="E39" s="195" t="s">
        <v>72</v>
      </c>
      <c r="F39" s="195" t="s">
        <v>72</v>
      </c>
      <c r="G39" s="195" t="s">
        <v>72</v>
      </c>
      <c r="H39" s="195" t="s">
        <v>72</v>
      </c>
      <c r="I39" s="195" t="s">
        <v>59</v>
      </c>
      <c r="J39" s="195" t="s">
        <v>72</v>
      </c>
      <c r="K39" s="195" t="s">
        <v>72</v>
      </c>
      <c r="L39" s="195" t="s">
        <v>72</v>
      </c>
      <c r="M39" s="69">
        <f>SUM(N39:W39)</f>
        <v>41710.1</v>
      </c>
      <c r="N39" s="69">
        <v>0</v>
      </c>
      <c r="O39" s="69"/>
      <c r="P39" s="69"/>
      <c r="Q39" s="69"/>
      <c r="R39" s="69">
        <v>31707.5</v>
      </c>
      <c r="S39" s="69"/>
      <c r="T39" s="69"/>
      <c r="U39" s="69"/>
      <c r="V39" s="69"/>
      <c r="W39" s="69">
        <v>10002.6</v>
      </c>
      <c r="X39" s="66" t="s">
        <v>61</v>
      </c>
      <c r="Y39" s="69" t="str">
        <f>IF(N39&gt;0,"O","X")</f>
        <v>X</v>
      </c>
      <c r="Z39" s="69" t="str">
        <f>IF(Y39="O",IF(W39&gt;0,"O","X"),"X")</f>
        <v>X</v>
      </c>
    </row>
    <row r="40" spans="2:26">
      <c r="B40" s="68" t="s">
        <v>569</v>
      </c>
      <c r="C40" s="67" t="s">
        <v>571</v>
      </c>
      <c r="D40" s="67" t="s">
        <v>245</v>
      </c>
      <c r="E40" s="195" t="s">
        <v>72</v>
      </c>
      <c r="F40" s="195" t="s">
        <v>72</v>
      </c>
      <c r="G40" s="195" t="s">
        <v>72</v>
      </c>
      <c r="H40" s="195" t="s">
        <v>72</v>
      </c>
      <c r="I40" s="195" t="s">
        <v>59</v>
      </c>
      <c r="J40" s="195" t="s">
        <v>72</v>
      </c>
      <c r="K40" s="195" t="s">
        <v>72</v>
      </c>
      <c r="L40" s="195" t="s">
        <v>72</v>
      </c>
      <c r="M40" s="69">
        <f>SUM(N40:W40)</f>
        <v>84767.6</v>
      </c>
      <c r="N40" s="69">
        <v>0</v>
      </c>
      <c r="O40" s="69"/>
      <c r="P40" s="69"/>
      <c r="Q40" s="69"/>
      <c r="R40" s="69">
        <v>74487.600000000006</v>
      </c>
      <c r="S40" s="69"/>
      <c r="T40" s="69"/>
      <c r="U40" s="69"/>
      <c r="V40" s="69"/>
      <c r="W40" s="69">
        <v>10280</v>
      </c>
      <c r="X40" s="66" t="s">
        <v>61</v>
      </c>
      <c r="Y40" s="69" t="str">
        <f>IF(N40&gt;0,"O","X")</f>
        <v>X</v>
      </c>
      <c r="Z40" s="69" t="str">
        <f>IF(Y40="O",IF(W40&gt;0,"O","X"),"X")</f>
        <v>X</v>
      </c>
    </row>
    <row r="41" spans="2:26">
      <c r="B41" s="68" t="s">
        <v>569</v>
      </c>
      <c r="C41" s="67" t="s">
        <v>572</v>
      </c>
      <c r="D41" s="67" t="s">
        <v>245</v>
      </c>
      <c r="E41" s="195" t="s">
        <v>72</v>
      </c>
      <c r="F41" s="195" t="s">
        <v>72</v>
      </c>
      <c r="G41" s="195" t="s">
        <v>72</v>
      </c>
      <c r="H41" s="195" t="s">
        <v>72</v>
      </c>
      <c r="I41" s="195" t="s">
        <v>59</v>
      </c>
      <c r="J41" s="195" t="s">
        <v>72</v>
      </c>
      <c r="K41" s="195" t="s">
        <v>72</v>
      </c>
      <c r="L41" s="195" t="s">
        <v>72</v>
      </c>
      <c r="M41" s="69">
        <f>SUM(N41:W41)</f>
        <v>86268.7</v>
      </c>
      <c r="N41" s="69">
        <v>0</v>
      </c>
      <c r="O41" s="69"/>
      <c r="P41" s="69"/>
      <c r="Q41" s="69"/>
      <c r="R41" s="69">
        <v>71507.7</v>
      </c>
      <c r="S41" s="69"/>
      <c r="T41" s="69"/>
      <c r="U41" s="69"/>
      <c r="V41" s="69"/>
      <c r="W41" s="69">
        <v>14761</v>
      </c>
      <c r="X41" s="66" t="s">
        <v>61</v>
      </c>
      <c r="Y41" s="69" t="str">
        <f>IF(N41&gt;0,"O","X")</f>
        <v>X</v>
      </c>
      <c r="Z41" s="69" t="str">
        <f>IF(Y41="O",IF(W41&gt;0,"O","X"),"X")</f>
        <v>X</v>
      </c>
    </row>
    <row r="42" spans="2:26">
      <c r="B42" s="68" t="s">
        <v>569</v>
      </c>
      <c r="C42" s="67" t="s">
        <v>573</v>
      </c>
      <c r="D42" s="67" t="s">
        <v>245</v>
      </c>
      <c r="E42" s="195" t="s">
        <v>231</v>
      </c>
      <c r="F42" s="195" t="s">
        <v>72</v>
      </c>
      <c r="G42" s="195" t="s">
        <v>72</v>
      </c>
      <c r="H42" s="195" t="s">
        <v>72</v>
      </c>
      <c r="I42" s="195" t="s">
        <v>72</v>
      </c>
      <c r="J42" s="195" t="s">
        <v>72</v>
      </c>
      <c r="K42" s="195" t="s">
        <v>72</v>
      </c>
      <c r="L42" s="195" t="s">
        <v>72</v>
      </c>
      <c r="M42" s="69">
        <f>SUM(N42:W42)</f>
        <v>183024</v>
      </c>
      <c r="N42" s="69">
        <v>130654</v>
      </c>
      <c r="O42" s="69"/>
      <c r="P42" s="69"/>
      <c r="Q42" s="69"/>
      <c r="R42" s="69"/>
      <c r="S42" s="69"/>
      <c r="T42" s="69"/>
      <c r="U42" s="69"/>
      <c r="V42" s="69"/>
      <c r="W42" s="69">
        <v>52370</v>
      </c>
      <c r="X42" s="66" t="s">
        <v>61</v>
      </c>
      <c r="Y42" s="69" t="str">
        <f>IF(N42&gt;0,"O","X")</f>
        <v>O</v>
      </c>
      <c r="Z42" s="69" t="str">
        <f>IF(Y42="O",IF(W42&gt;0,"O","X"),"X")</f>
        <v>O</v>
      </c>
    </row>
    <row r="43" spans="2:26">
      <c r="B43" s="68" t="s">
        <v>569</v>
      </c>
      <c r="C43" s="67" t="s">
        <v>574</v>
      </c>
      <c r="D43" s="67" t="s">
        <v>238</v>
      </c>
      <c r="E43" s="195" t="s">
        <v>72</v>
      </c>
      <c r="F43" s="195" t="s">
        <v>72</v>
      </c>
      <c r="G43" s="195" t="s">
        <v>72</v>
      </c>
      <c r="H43" s="195" t="s">
        <v>72</v>
      </c>
      <c r="I43" s="195" t="s">
        <v>72</v>
      </c>
      <c r="J43" s="195" t="s">
        <v>72</v>
      </c>
      <c r="K43" s="195" t="s">
        <v>72</v>
      </c>
      <c r="L43" s="195" t="s">
        <v>72</v>
      </c>
      <c r="M43" s="69">
        <f>SUM(N43:W43)</f>
        <v>107645.5</v>
      </c>
      <c r="N43" s="69"/>
      <c r="O43" s="69"/>
      <c r="P43" s="69"/>
      <c r="Q43" s="69"/>
      <c r="R43" s="69"/>
      <c r="S43" s="69"/>
      <c r="T43" s="69"/>
      <c r="U43" s="69"/>
      <c r="V43" s="69"/>
      <c r="W43" s="69">
        <v>107645.5</v>
      </c>
      <c r="X43" s="66" t="s">
        <v>239</v>
      </c>
      <c r="Y43" s="69" t="str">
        <f>IF(N43&gt;0,"O","X")</f>
        <v>X</v>
      </c>
      <c r="Z43" s="69" t="str">
        <f>IF(Y43="O",IF(W43&gt;0,"O","X"),"X")</f>
        <v>X</v>
      </c>
    </row>
    <row r="44" spans="2:26">
      <c r="B44" s="195"/>
      <c r="C44" s="67" t="s">
        <v>569</v>
      </c>
      <c r="D44" s="67"/>
      <c r="E44" s="195"/>
      <c r="F44" s="195"/>
      <c r="G44" s="195"/>
      <c r="H44" s="195"/>
      <c r="I44" s="195"/>
      <c r="J44" s="195"/>
      <c r="K44" s="195"/>
      <c r="L44" s="195"/>
      <c r="M44" s="69">
        <f>SUM(M39:M43)</f>
        <v>503415.9</v>
      </c>
      <c r="N44" s="69">
        <f t="shared" ref="N44:W44" si="8">SUM(N39:N43)</f>
        <v>130654</v>
      </c>
      <c r="O44" s="69">
        <f t="shared" si="8"/>
        <v>0</v>
      </c>
      <c r="P44" s="69">
        <f t="shared" si="8"/>
        <v>0</v>
      </c>
      <c r="Q44" s="69">
        <f t="shared" si="8"/>
        <v>0</v>
      </c>
      <c r="R44" s="69">
        <f t="shared" si="8"/>
        <v>177702.8</v>
      </c>
      <c r="S44" s="69">
        <f t="shared" si="8"/>
        <v>0</v>
      </c>
      <c r="T44" s="69">
        <f t="shared" si="8"/>
        <v>0</v>
      </c>
      <c r="U44" s="69">
        <f t="shared" si="8"/>
        <v>0</v>
      </c>
      <c r="V44" s="69">
        <f t="shared" si="8"/>
        <v>0</v>
      </c>
      <c r="W44" s="69">
        <f t="shared" si="8"/>
        <v>195059.1</v>
      </c>
      <c r="Y44" s="69"/>
      <c r="Z44" s="69"/>
    </row>
    <row r="45" spans="2:26">
      <c r="B45" s="195"/>
      <c r="C45" s="67"/>
      <c r="D45" s="67"/>
      <c r="E45" s="195"/>
      <c r="F45" s="195"/>
      <c r="G45" s="195"/>
      <c r="H45" s="195"/>
      <c r="I45" s="195"/>
      <c r="J45" s="195"/>
      <c r="K45" s="195"/>
      <c r="L45" s="195"/>
      <c r="M45" s="71">
        <f t="shared" ref="M45:W45" si="9">SUM(M6,M9,M12,M16,M21,M25,M44,M30,M36)</f>
        <v>6124078.2999999998</v>
      </c>
      <c r="N45" s="71">
        <f t="shared" si="9"/>
        <v>1557605.94</v>
      </c>
      <c r="O45" s="71">
        <f t="shared" si="9"/>
        <v>346074.48000000004</v>
      </c>
      <c r="P45" s="71">
        <f t="shared" si="9"/>
        <v>546837.36</v>
      </c>
      <c r="Q45" s="71">
        <f t="shared" si="9"/>
        <v>38452.720000000008</v>
      </c>
      <c r="R45" s="71">
        <f t="shared" si="9"/>
        <v>177702.8</v>
      </c>
      <c r="S45" s="71">
        <f t="shared" si="9"/>
        <v>756461.7</v>
      </c>
      <c r="T45" s="71">
        <f t="shared" si="9"/>
        <v>1150363.8</v>
      </c>
      <c r="U45" s="71">
        <f t="shared" si="9"/>
        <v>351887</v>
      </c>
      <c r="V45" s="71">
        <f t="shared" si="9"/>
        <v>207772.5</v>
      </c>
      <c r="W45" s="71">
        <f t="shared" si="9"/>
        <v>990920</v>
      </c>
    </row>
    <row r="46" spans="2:26">
      <c r="M46" s="71"/>
      <c r="N46" s="71"/>
      <c r="O46" s="71">
        <f>SUM(N45:O45)</f>
        <v>1903680.42</v>
      </c>
      <c r="P46" s="144"/>
      <c r="Q46" s="71">
        <f>SUM(P45:Q45)</f>
        <v>585290.07999999996</v>
      </c>
    </row>
    <row r="47" spans="2:26">
      <c r="O47" s="71">
        <f>SUM(O46:Q46)</f>
        <v>2488970.5</v>
      </c>
      <c r="P47" s="145"/>
      <c r="Q47" s="145"/>
    </row>
    <row r="48" spans="2:26">
      <c r="N48" s="69"/>
      <c r="O48" s="71"/>
      <c r="P48" s="145"/>
      <c r="Q48" s="145"/>
      <c r="R48" s="69"/>
      <c r="S48" s="145"/>
      <c r="U48" s="69"/>
    </row>
    <row r="49" spans="2:26">
      <c r="O49" s="71"/>
      <c r="R49" s="69"/>
      <c r="S49" s="145"/>
      <c r="U49" s="69"/>
    </row>
    <row r="50" spans="2:26">
      <c r="D50" s="190"/>
    </row>
    <row r="51" spans="2:26">
      <c r="B51" s="195"/>
      <c r="C51" s="67"/>
      <c r="D51" s="191"/>
      <c r="E51" s="195"/>
      <c r="F51" s="195"/>
      <c r="G51" s="195"/>
      <c r="H51" s="195"/>
      <c r="I51" s="195"/>
      <c r="J51" s="195"/>
      <c r="K51" s="195"/>
      <c r="L51" s="195"/>
      <c r="N51" s="69"/>
      <c r="O51" s="69"/>
      <c r="P51" s="69"/>
      <c r="Q51" s="69"/>
      <c r="R51" s="69"/>
      <c r="S51" s="69"/>
      <c r="T51" s="69"/>
      <c r="U51" s="69"/>
      <c r="V51" s="69"/>
      <c r="W51" s="69"/>
    </row>
    <row r="52" spans="2:26">
      <c r="C52" s="67"/>
      <c r="D52" s="191"/>
      <c r="M52" s="71"/>
      <c r="N52"/>
      <c r="O52"/>
      <c r="P52" s="71"/>
      <c r="Q52" s="71"/>
      <c r="R52" s="71"/>
      <c r="S52" s="71"/>
      <c r="T52" s="71"/>
      <c r="U52" s="71"/>
      <c r="V52" s="71"/>
      <c r="W52" s="71"/>
      <c r="Y52" s="71"/>
      <c r="Z52" s="71"/>
    </row>
    <row r="53" spans="2:26">
      <c r="D53" s="191"/>
      <c r="N53"/>
      <c r="O53"/>
    </row>
    <row r="54" spans="2:26">
      <c r="D54" s="191"/>
      <c r="N54"/>
      <c r="O54"/>
    </row>
    <row r="55" spans="2:26">
      <c r="D55" s="190"/>
    </row>
    <row r="56" spans="2:26">
      <c r="D56" s="191"/>
    </row>
    <row r="57" spans="2:26">
      <c r="D57" s="191"/>
    </row>
    <row r="64" spans="2:26">
      <c r="E64" s="188"/>
    </row>
    <row r="67" spans="15:17">
      <c r="O67" s="69"/>
      <c r="P67" s="145"/>
      <c r="Q67" s="145"/>
    </row>
    <row r="68" spans="15:17">
      <c r="O68" s="69"/>
      <c r="P68" s="145"/>
      <c r="Q68" s="14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A74CA-E12E-4809-8080-B962D65CAF68}">
  <sheetPr>
    <tabColor rgb="FFFF0000"/>
  </sheetPr>
  <dimension ref="A1:AB71"/>
  <sheetViews>
    <sheetView zoomScale="25" zoomScaleNormal="25" workbookViewId="0">
      <selection activeCell="BC54" sqref="BC54"/>
    </sheetView>
  </sheetViews>
  <sheetFormatPr defaultColWidth="8.5703125" defaultRowHeight="17.45"/>
  <cols>
    <col min="1" max="1" width="10.85546875" style="66" bestFit="1" customWidth="1"/>
    <col min="2" max="2" width="5.42578125" style="66" bestFit="1" customWidth="1"/>
    <col min="3" max="3" width="14.5703125" style="67" bestFit="1" customWidth="1"/>
    <col min="4" max="4" width="25.5703125" style="66" bestFit="1" customWidth="1"/>
    <col min="5" max="5" width="25.5703125" style="66" customWidth="1"/>
    <col min="6" max="6" width="25.5703125" style="66" hidden="1" customWidth="1"/>
    <col min="7" max="7" width="47.140625" style="66" hidden="1" customWidth="1"/>
    <col min="8" max="8" width="50.42578125" style="66" hidden="1" customWidth="1"/>
    <col min="9" max="9" width="51" style="66" hidden="1" customWidth="1"/>
    <col min="10" max="10" width="54.42578125" style="66" hidden="1" customWidth="1"/>
    <col min="11" max="11" width="44.42578125" style="66" hidden="1" customWidth="1"/>
    <col min="12" max="12" width="33.140625" style="66" hidden="1" customWidth="1"/>
    <col min="13" max="14" width="47.42578125" style="66" hidden="1" customWidth="1"/>
    <col min="15" max="15" width="26.85546875" style="66" hidden="1" customWidth="1"/>
    <col min="16" max="16" width="18.140625" style="66" bestFit="1" customWidth="1"/>
    <col min="17" max="17" width="21.42578125" style="66" customWidth="1"/>
    <col min="18" max="18" width="27.42578125" style="66" bestFit="1" customWidth="1"/>
    <col min="19" max="19" width="25.42578125" style="66" customWidth="1"/>
    <col min="20" max="20" width="31.42578125" style="66" bestFit="1" customWidth="1"/>
    <col min="21" max="21" width="20.140625" style="66" customWidth="1"/>
    <col min="22" max="22" width="14.42578125" style="66" customWidth="1"/>
    <col min="23" max="23" width="16.42578125" style="66" customWidth="1"/>
    <col min="24" max="24" width="18.42578125" style="66" bestFit="1" customWidth="1"/>
    <col min="25" max="25" width="14.42578125" style="66" customWidth="1"/>
    <col min="26" max="26" width="16.42578125" style="66" customWidth="1"/>
    <col min="27" max="27" width="18.42578125" style="66" customWidth="1"/>
    <col min="28" max="28" width="36.42578125" style="66" bestFit="1" customWidth="1"/>
    <col min="29" max="16384" width="8.5703125" style="66"/>
  </cols>
  <sheetData>
    <row r="1" spans="2:28">
      <c r="Y1" s="71"/>
    </row>
    <row r="2" spans="2:28" ht="20.100000000000001" customHeight="1">
      <c r="C2" s="67" t="s">
        <v>218</v>
      </c>
      <c r="D2" s="66" t="s">
        <v>219</v>
      </c>
      <c r="E2" s="66" t="s">
        <v>220</v>
      </c>
      <c r="F2" s="66" t="s">
        <v>221</v>
      </c>
      <c r="G2" s="66" t="s">
        <v>222</v>
      </c>
      <c r="H2" s="66" t="s">
        <v>223</v>
      </c>
      <c r="I2" s="66" t="s">
        <v>224</v>
      </c>
      <c r="J2" s="66" t="s">
        <v>225</v>
      </c>
      <c r="K2" s="66" t="s">
        <v>226</v>
      </c>
      <c r="L2" s="66" t="s">
        <v>227</v>
      </c>
      <c r="M2" s="66" t="s">
        <v>228</v>
      </c>
      <c r="N2" s="66" t="s">
        <v>229</v>
      </c>
      <c r="O2" s="66" t="s">
        <v>230</v>
      </c>
      <c r="P2" s="66" t="s">
        <v>12</v>
      </c>
      <c r="Q2" s="68" t="s">
        <v>231</v>
      </c>
      <c r="R2" s="68" t="s">
        <v>232</v>
      </c>
      <c r="S2" s="68" t="s">
        <v>233</v>
      </c>
      <c r="T2" s="68" t="s">
        <v>234</v>
      </c>
      <c r="U2" s="66" t="s">
        <v>59</v>
      </c>
      <c r="V2" s="66" t="s">
        <v>40</v>
      </c>
      <c r="W2" s="66" t="s">
        <v>44</v>
      </c>
      <c r="X2" s="66" t="s">
        <v>51</v>
      </c>
      <c r="Y2" s="195" t="s">
        <v>48</v>
      </c>
      <c r="Z2" s="66" t="s">
        <v>116</v>
      </c>
      <c r="AA2" s="66" t="s">
        <v>235</v>
      </c>
    </row>
    <row r="3" spans="2:28" s="205" customFormat="1" ht="20.100000000000001" customHeight="1">
      <c r="B3" s="206" t="s">
        <v>94</v>
      </c>
      <c r="C3" s="499" t="s">
        <v>236</v>
      </c>
      <c r="D3" s="500" t="s">
        <v>51</v>
      </c>
      <c r="E3" s="500" t="s">
        <v>237</v>
      </c>
      <c r="F3" s="500" t="s">
        <v>238</v>
      </c>
      <c r="G3" s="499" t="s">
        <v>72</v>
      </c>
      <c r="H3" s="499" t="s">
        <v>72</v>
      </c>
      <c r="I3" s="499" t="s">
        <v>72</v>
      </c>
      <c r="J3" s="499" t="s">
        <v>72</v>
      </c>
      <c r="K3" s="499" t="s">
        <v>72</v>
      </c>
      <c r="L3" s="499" t="s">
        <v>40</v>
      </c>
      <c r="M3" s="499" t="s">
        <v>44</v>
      </c>
      <c r="N3" s="499" t="s">
        <v>51</v>
      </c>
      <c r="O3" s="499" t="s">
        <v>72</v>
      </c>
      <c r="P3" s="501">
        <f>SUM(Q3:Z3)</f>
        <v>1095863.8</v>
      </c>
      <c r="Q3" s="502">
        <v>0</v>
      </c>
      <c r="R3" s="502"/>
      <c r="S3" s="502">
        <v>0</v>
      </c>
      <c r="T3" s="502">
        <v>0</v>
      </c>
      <c r="U3" s="502">
        <v>0</v>
      </c>
      <c r="V3" s="502">
        <v>0</v>
      </c>
      <c r="W3" s="502">
        <v>0</v>
      </c>
      <c r="X3" s="503">
        <v>1095863.8</v>
      </c>
      <c r="Y3" s="502">
        <v>0</v>
      </c>
      <c r="Z3" s="502">
        <v>0</v>
      </c>
      <c r="AA3" s="205" t="s">
        <v>239</v>
      </c>
      <c r="AB3" s="205" t="s">
        <v>240</v>
      </c>
    </row>
    <row r="4" spans="2:28" ht="20.100000000000001" customHeight="1">
      <c r="B4" s="195"/>
      <c r="C4" s="195"/>
      <c r="D4" s="70" t="s">
        <v>94</v>
      </c>
      <c r="E4" s="70"/>
      <c r="F4" s="70"/>
      <c r="G4" s="195"/>
      <c r="H4" s="195"/>
      <c r="I4" s="195"/>
      <c r="J4" s="195"/>
      <c r="K4" s="195"/>
      <c r="L4" s="195"/>
      <c r="M4" s="195"/>
      <c r="N4" s="195"/>
      <c r="O4" s="195"/>
      <c r="P4" s="495">
        <f t="shared" ref="P4:Z4" si="0">SUM(P3)</f>
        <v>1095863.8</v>
      </c>
      <c r="Q4" s="69">
        <f t="shared" si="0"/>
        <v>0</v>
      </c>
      <c r="R4" s="69">
        <f t="shared" si="0"/>
        <v>0</v>
      </c>
      <c r="S4" s="69">
        <f t="shared" si="0"/>
        <v>0</v>
      </c>
      <c r="T4" s="69">
        <f t="shared" si="0"/>
        <v>0</v>
      </c>
      <c r="U4" s="69">
        <f t="shared" si="0"/>
        <v>0</v>
      </c>
      <c r="V4" s="69">
        <f t="shared" si="0"/>
        <v>0</v>
      </c>
      <c r="W4" s="69">
        <f t="shared" si="0"/>
        <v>0</v>
      </c>
      <c r="X4" s="69">
        <f t="shared" si="0"/>
        <v>1095863.8</v>
      </c>
      <c r="Y4" s="69">
        <f t="shared" si="0"/>
        <v>0</v>
      </c>
      <c r="Z4" s="69">
        <f t="shared" si="0"/>
        <v>0</v>
      </c>
      <c r="AB4" s="66" t="s">
        <v>241</v>
      </c>
    </row>
    <row r="5" spans="2:28" ht="20.100000000000001" customHeight="1">
      <c r="B5" s="195"/>
      <c r="C5" s="195"/>
      <c r="D5" s="70"/>
      <c r="E5" s="70"/>
      <c r="F5" s="70"/>
      <c r="G5" s="195"/>
      <c r="H5" s="195"/>
      <c r="I5" s="195"/>
      <c r="J5" s="195"/>
      <c r="K5" s="195"/>
      <c r="L5" s="195"/>
      <c r="M5" s="195"/>
      <c r="N5" s="195"/>
      <c r="O5" s="195"/>
      <c r="P5" s="495"/>
      <c r="Q5" s="69"/>
      <c r="R5" s="69"/>
      <c r="S5" s="69"/>
      <c r="T5" s="69"/>
      <c r="U5" s="69"/>
      <c r="V5" s="69"/>
      <c r="W5" s="69"/>
      <c r="X5" s="69"/>
      <c r="Y5" s="69"/>
      <c r="Z5" s="69"/>
      <c r="AB5" s="66" t="s">
        <v>242</v>
      </c>
    </row>
    <row r="6" spans="2:28" ht="20.100000000000001" customHeight="1">
      <c r="B6" s="68" t="s">
        <v>98</v>
      </c>
      <c r="C6" s="195" t="s">
        <v>243</v>
      </c>
      <c r="D6" s="67" t="s">
        <v>59</v>
      </c>
      <c r="E6" s="67" t="s">
        <v>244</v>
      </c>
      <c r="F6" s="67" t="s">
        <v>245</v>
      </c>
      <c r="G6" s="195" t="s">
        <v>72</v>
      </c>
      <c r="H6" s="195" t="s">
        <v>72</v>
      </c>
      <c r="I6" s="195" t="s">
        <v>72</v>
      </c>
      <c r="J6" s="195" t="s">
        <v>72</v>
      </c>
      <c r="K6" s="195" t="s">
        <v>59</v>
      </c>
      <c r="L6" s="195" t="s">
        <v>72</v>
      </c>
      <c r="M6" s="195" t="s">
        <v>72</v>
      </c>
      <c r="N6" s="195" t="s">
        <v>72</v>
      </c>
      <c r="O6" s="195" t="s">
        <v>72</v>
      </c>
      <c r="P6" s="495">
        <f>SUM(Q6:Z6)</f>
        <v>126477.70000000001</v>
      </c>
      <c r="Q6" s="69">
        <v>0</v>
      </c>
      <c r="R6" s="69">
        <v>0</v>
      </c>
      <c r="S6" s="69">
        <v>0</v>
      </c>
      <c r="T6" s="69">
        <v>0</v>
      </c>
      <c r="U6" s="69">
        <v>106195.1</v>
      </c>
      <c r="V6" s="69">
        <v>0</v>
      </c>
      <c r="W6" s="69">
        <v>0</v>
      </c>
      <c r="X6" s="69">
        <v>0</v>
      </c>
      <c r="Y6" s="69">
        <v>0</v>
      </c>
      <c r="Z6" s="69">
        <v>20282.599999999999</v>
      </c>
      <c r="AA6" s="66" t="s">
        <v>61</v>
      </c>
    </row>
    <row r="7" spans="2:28" ht="20.100000000000001" customHeight="1">
      <c r="B7" s="68" t="s">
        <v>98</v>
      </c>
      <c r="C7" s="195">
        <v>5</v>
      </c>
      <c r="D7" s="67" t="s">
        <v>30</v>
      </c>
      <c r="E7" s="67" t="s">
        <v>246</v>
      </c>
      <c r="F7" s="67" t="s">
        <v>245</v>
      </c>
      <c r="G7" s="195" t="s">
        <v>231</v>
      </c>
      <c r="H7" s="195" t="s">
        <v>72</v>
      </c>
      <c r="I7" s="195" t="s">
        <v>233</v>
      </c>
      <c r="J7" s="195" t="s">
        <v>72</v>
      </c>
      <c r="K7" s="195" t="s">
        <v>72</v>
      </c>
      <c r="L7" s="195" t="s">
        <v>72</v>
      </c>
      <c r="M7" s="195" t="s">
        <v>72</v>
      </c>
      <c r="N7" s="195" t="s">
        <v>72</v>
      </c>
      <c r="O7" s="195" t="s">
        <v>72</v>
      </c>
      <c r="P7" s="495">
        <f>SUM(Q7:Z7)</f>
        <v>183024</v>
      </c>
      <c r="Q7" s="69">
        <v>104523.20000000001</v>
      </c>
      <c r="R7" s="69"/>
      <c r="S7" s="69">
        <v>26130.800000000003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201">
        <v>52370</v>
      </c>
      <c r="AA7" s="66" t="s">
        <v>61</v>
      </c>
    </row>
    <row r="8" spans="2:28" s="205" customFormat="1" ht="20.100000000000001" customHeight="1">
      <c r="B8" s="206" t="s">
        <v>98</v>
      </c>
      <c r="C8" s="499">
        <v>6</v>
      </c>
      <c r="D8" s="500" t="s">
        <v>73</v>
      </c>
      <c r="E8" s="500" t="s">
        <v>246</v>
      </c>
      <c r="F8" s="500" t="s">
        <v>238</v>
      </c>
      <c r="G8" s="499" t="s">
        <v>72</v>
      </c>
      <c r="H8" s="499" t="s">
        <v>72</v>
      </c>
      <c r="I8" s="499" t="s">
        <v>72</v>
      </c>
      <c r="J8" s="499" t="s">
        <v>72</v>
      </c>
      <c r="K8" s="499" t="s">
        <v>72</v>
      </c>
      <c r="L8" s="499" t="s">
        <v>72</v>
      </c>
      <c r="M8" s="499" t="s">
        <v>72</v>
      </c>
      <c r="N8" s="499" t="s">
        <v>72</v>
      </c>
      <c r="O8" s="499" t="s">
        <v>72</v>
      </c>
      <c r="P8" s="501">
        <f>SUM(Q8:Z8)</f>
        <v>107645.5</v>
      </c>
      <c r="Q8" s="502">
        <v>0</v>
      </c>
      <c r="R8" s="502">
        <v>0</v>
      </c>
      <c r="S8" s="502">
        <v>0</v>
      </c>
      <c r="T8" s="502">
        <v>0</v>
      </c>
      <c r="U8" s="502">
        <v>0</v>
      </c>
      <c r="V8" s="502">
        <v>0</v>
      </c>
      <c r="W8" s="502">
        <v>0</v>
      </c>
      <c r="X8" s="502">
        <v>0</v>
      </c>
      <c r="Y8" s="502">
        <v>0</v>
      </c>
      <c r="Z8" s="502">
        <v>107645.5</v>
      </c>
      <c r="AA8" s="205" t="s">
        <v>61</v>
      </c>
    </row>
    <row r="9" spans="2:28" ht="20.100000000000001" customHeight="1">
      <c r="B9" s="195"/>
      <c r="C9" s="195"/>
      <c r="D9" s="67" t="s">
        <v>98</v>
      </c>
      <c r="E9" s="67"/>
      <c r="F9" s="67"/>
      <c r="G9" s="195"/>
      <c r="H9" s="195"/>
      <c r="I9" s="195"/>
      <c r="J9" s="195"/>
      <c r="K9" s="195"/>
      <c r="L9" s="195"/>
      <c r="M9" s="195"/>
      <c r="N9" s="195"/>
      <c r="O9" s="195"/>
      <c r="P9" s="495">
        <f>SUM(P6:P8)</f>
        <v>417147.2</v>
      </c>
      <c r="Q9" s="69">
        <f>SUM(Q6:Q8)</f>
        <v>104523.20000000001</v>
      </c>
      <c r="R9" s="69">
        <f t="shared" ref="R9:Z9" si="1">SUM(R6:R8)</f>
        <v>0</v>
      </c>
      <c r="S9" s="69">
        <f t="shared" si="1"/>
        <v>26130.800000000003</v>
      </c>
      <c r="T9" s="69">
        <f t="shared" si="1"/>
        <v>0</v>
      </c>
      <c r="U9" s="69">
        <f t="shared" si="1"/>
        <v>106195.1</v>
      </c>
      <c r="V9" s="69">
        <f t="shared" si="1"/>
        <v>0</v>
      </c>
      <c r="W9" s="69">
        <f t="shared" si="1"/>
        <v>0</v>
      </c>
      <c r="X9" s="69">
        <f t="shared" si="1"/>
        <v>0</v>
      </c>
      <c r="Y9" s="69">
        <f t="shared" si="1"/>
        <v>0</v>
      </c>
      <c r="Z9" s="69">
        <f t="shared" si="1"/>
        <v>180298.1</v>
      </c>
    </row>
    <row r="10" spans="2:28" ht="20.100000000000001" customHeight="1">
      <c r="B10" s="195"/>
      <c r="C10" s="195"/>
      <c r="D10" s="67"/>
      <c r="E10" s="67"/>
      <c r="F10" s="67"/>
      <c r="G10" s="195"/>
      <c r="H10" s="195"/>
      <c r="I10" s="195"/>
      <c r="J10" s="195"/>
      <c r="K10" s="195"/>
      <c r="L10" s="195"/>
      <c r="M10" s="195"/>
      <c r="N10" s="195"/>
      <c r="O10" s="195"/>
      <c r="P10" s="495"/>
      <c r="Q10" s="69"/>
      <c r="R10" s="69"/>
      <c r="S10" s="69"/>
      <c r="T10" s="69"/>
      <c r="U10" s="69"/>
      <c r="V10" s="69"/>
      <c r="W10" s="69"/>
      <c r="X10" s="69"/>
      <c r="Y10" s="69"/>
      <c r="Z10" s="69"/>
    </row>
    <row r="11" spans="2:28" s="205" customFormat="1" ht="20.100000000000001" customHeight="1">
      <c r="B11" s="206" t="s">
        <v>102</v>
      </c>
      <c r="C11" s="499" t="s">
        <v>247</v>
      </c>
      <c r="D11" s="500" t="s">
        <v>42</v>
      </c>
      <c r="E11" s="500" t="s">
        <v>246</v>
      </c>
      <c r="F11" s="500" t="s">
        <v>245</v>
      </c>
      <c r="G11" s="499" t="s">
        <v>231</v>
      </c>
      <c r="H11" s="499" t="s">
        <v>72</v>
      </c>
      <c r="I11" s="499" t="s">
        <v>233</v>
      </c>
      <c r="J11" s="499" t="s">
        <v>72</v>
      </c>
      <c r="K11" s="499" t="s">
        <v>72</v>
      </c>
      <c r="L11" s="499" t="s">
        <v>40</v>
      </c>
      <c r="M11" s="499" t="s">
        <v>72</v>
      </c>
      <c r="N11" s="499" t="s">
        <v>72</v>
      </c>
      <c r="O11" s="499" t="s">
        <v>72</v>
      </c>
      <c r="P11" s="504">
        <f>SUM(Q11:Z11)</f>
        <v>619426</v>
      </c>
      <c r="Q11" s="505">
        <v>384141.67200000002</v>
      </c>
      <c r="R11" s="505">
        <v>0</v>
      </c>
      <c r="S11" s="505">
        <v>96035.418000000005</v>
      </c>
      <c r="T11" s="505">
        <v>0</v>
      </c>
      <c r="U11" s="505">
        <v>0</v>
      </c>
      <c r="V11" s="505">
        <v>61942.600000000006</v>
      </c>
      <c r="W11" s="505">
        <v>0</v>
      </c>
      <c r="X11" s="505">
        <v>0</v>
      </c>
      <c r="Y11" s="505">
        <v>0</v>
      </c>
      <c r="Z11" s="505">
        <v>77306.31</v>
      </c>
      <c r="AA11" s="205" t="s">
        <v>61</v>
      </c>
    </row>
    <row r="12" spans="2:28" ht="20.100000000000001" customHeight="1">
      <c r="B12" s="68"/>
      <c r="C12" s="195"/>
      <c r="D12" s="195" t="s">
        <v>102</v>
      </c>
      <c r="E12" s="195"/>
      <c r="F12" s="67"/>
      <c r="G12" s="195"/>
      <c r="H12" s="195"/>
      <c r="I12" s="195"/>
      <c r="J12" s="195"/>
      <c r="K12" s="195"/>
      <c r="L12" s="195"/>
      <c r="M12" s="195"/>
      <c r="N12" s="195"/>
      <c r="O12" s="195"/>
      <c r="P12" s="496">
        <f>SUM(P11)</f>
        <v>619426</v>
      </c>
      <c r="Q12" s="201">
        <f>SUM(Q11)</f>
        <v>384141.67200000002</v>
      </c>
      <c r="R12" s="201">
        <f t="shared" ref="R12:Z12" si="2">SUM(R11)</f>
        <v>0</v>
      </c>
      <c r="S12" s="201">
        <f t="shared" si="2"/>
        <v>96035.418000000005</v>
      </c>
      <c r="T12" s="201">
        <f t="shared" si="2"/>
        <v>0</v>
      </c>
      <c r="U12" s="201">
        <f t="shared" si="2"/>
        <v>0</v>
      </c>
      <c r="V12" s="201">
        <f t="shared" si="2"/>
        <v>61942.600000000006</v>
      </c>
      <c r="W12" s="201">
        <f t="shared" si="2"/>
        <v>0</v>
      </c>
      <c r="X12" s="201">
        <f t="shared" si="2"/>
        <v>0</v>
      </c>
      <c r="Y12" s="201">
        <f t="shared" si="2"/>
        <v>0</v>
      </c>
      <c r="Z12" s="201">
        <f t="shared" si="2"/>
        <v>77306.31</v>
      </c>
    </row>
    <row r="13" spans="2:28" ht="20.100000000000001" customHeight="1">
      <c r="B13" s="68"/>
      <c r="C13" s="195"/>
      <c r="D13" s="195"/>
      <c r="E13" s="195"/>
      <c r="F13" s="67"/>
      <c r="G13" s="195"/>
      <c r="H13" s="195"/>
      <c r="I13" s="195"/>
      <c r="J13" s="195"/>
      <c r="K13" s="195"/>
      <c r="L13" s="195"/>
      <c r="M13" s="195"/>
      <c r="N13" s="195"/>
      <c r="O13" s="195"/>
      <c r="P13" s="496"/>
      <c r="Q13" s="201"/>
      <c r="R13" s="201"/>
      <c r="S13" s="201"/>
      <c r="T13" s="201"/>
      <c r="U13" s="201"/>
      <c r="V13" s="201"/>
      <c r="W13" s="201"/>
      <c r="X13" s="201"/>
      <c r="Y13" s="201"/>
      <c r="Z13" s="201"/>
    </row>
    <row r="14" spans="2:28" s="205" customFormat="1" ht="20.100000000000001" customHeight="1">
      <c r="B14" s="206" t="s">
        <v>105</v>
      </c>
      <c r="C14" s="499" t="s">
        <v>248</v>
      </c>
      <c r="D14" s="500" t="s">
        <v>53</v>
      </c>
      <c r="E14" s="500" t="s">
        <v>249</v>
      </c>
      <c r="F14" s="500" t="s">
        <v>245</v>
      </c>
      <c r="G14" s="499" t="s">
        <v>72</v>
      </c>
      <c r="H14" s="499" t="s">
        <v>232</v>
      </c>
      <c r="I14" s="499" t="s">
        <v>72</v>
      </c>
      <c r="J14" s="499" t="s">
        <v>234</v>
      </c>
      <c r="K14" s="499" t="s">
        <v>72</v>
      </c>
      <c r="L14" s="499" t="s">
        <v>40</v>
      </c>
      <c r="M14" s="499" t="s">
        <v>72</v>
      </c>
      <c r="N14" s="499" t="s">
        <v>72</v>
      </c>
      <c r="O14" s="499" t="s">
        <v>72</v>
      </c>
      <c r="P14" s="504">
        <f>SUM(Q14:Z14)</f>
        <v>288917.90000000008</v>
      </c>
      <c r="Q14" s="502">
        <v>0</v>
      </c>
      <c r="R14" s="505">
        <v>176695.92000000004</v>
      </c>
      <c r="S14" s="502">
        <v>0</v>
      </c>
      <c r="T14" s="505">
        <v>44173.98000000001</v>
      </c>
      <c r="U14" s="505">
        <v>0</v>
      </c>
      <c r="V14" s="505">
        <v>28891.790000000005</v>
      </c>
      <c r="W14" s="502">
        <v>0</v>
      </c>
      <c r="X14" s="502">
        <v>0</v>
      </c>
      <c r="Y14" s="502">
        <v>0</v>
      </c>
      <c r="Z14" s="505">
        <v>39156.21</v>
      </c>
      <c r="AA14" s="205" t="s">
        <v>61</v>
      </c>
    </row>
    <row r="15" spans="2:28" ht="20.100000000000001" customHeight="1">
      <c r="B15" s="68"/>
      <c r="C15" s="195"/>
      <c r="D15" s="195" t="s">
        <v>105</v>
      </c>
      <c r="E15" s="195"/>
      <c r="F15" s="67"/>
      <c r="G15" s="195"/>
      <c r="H15" s="195"/>
      <c r="I15" s="195"/>
      <c r="J15" s="195"/>
      <c r="K15" s="195"/>
      <c r="L15" s="195"/>
      <c r="M15" s="195"/>
      <c r="N15" s="195"/>
      <c r="O15" s="195"/>
      <c r="P15" s="495">
        <f>SUM(P14)</f>
        <v>288917.90000000008</v>
      </c>
      <c r="Q15" s="69">
        <f>SUM(Q14)</f>
        <v>0</v>
      </c>
      <c r="R15" s="69">
        <f t="shared" ref="R15:Z15" si="3">SUM(R14)</f>
        <v>176695.92000000004</v>
      </c>
      <c r="S15" s="69">
        <f t="shared" si="3"/>
        <v>0</v>
      </c>
      <c r="T15" s="69">
        <f t="shared" si="3"/>
        <v>44173.98000000001</v>
      </c>
      <c r="U15" s="69">
        <f t="shared" si="3"/>
        <v>0</v>
      </c>
      <c r="V15" s="69">
        <f t="shared" si="3"/>
        <v>28891.790000000005</v>
      </c>
      <c r="W15" s="69">
        <f t="shared" si="3"/>
        <v>0</v>
      </c>
      <c r="X15" s="69">
        <f t="shared" si="3"/>
        <v>0</v>
      </c>
      <c r="Y15" s="69">
        <f t="shared" si="3"/>
        <v>0</v>
      </c>
      <c r="Z15" s="69">
        <f t="shared" si="3"/>
        <v>39156.21</v>
      </c>
      <c r="AA15" s="71"/>
    </row>
    <row r="16" spans="2:28" ht="20.100000000000001" customHeight="1">
      <c r="B16" s="68"/>
      <c r="C16" s="195"/>
      <c r="D16" s="68"/>
      <c r="E16" s="68"/>
      <c r="F16" s="67"/>
      <c r="G16" s="195"/>
      <c r="H16" s="195"/>
      <c r="I16" s="195"/>
      <c r="J16" s="195"/>
      <c r="K16" s="195"/>
      <c r="L16" s="195"/>
      <c r="M16" s="195"/>
      <c r="N16" s="195"/>
      <c r="O16" s="195"/>
      <c r="P16" s="495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 spans="1:28" s="205" customFormat="1" ht="20.100000000000001" customHeight="1">
      <c r="B17" s="206" t="s">
        <v>108</v>
      </c>
      <c r="C17" s="499" t="s">
        <v>250</v>
      </c>
      <c r="D17" s="500" t="s">
        <v>62</v>
      </c>
      <c r="E17" s="500" t="s">
        <v>246</v>
      </c>
      <c r="F17" s="500" t="s">
        <v>238</v>
      </c>
      <c r="G17" s="499" t="s">
        <v>72</v>
      </c>
      <c r="H17" s="499" t="s">
        <v>72</v>
      </c>
      <c r="I17" s="499" t="s">
        <v>72</v>
      </c>
      <c r="J17" s="499" t="s">
        <v>72</v>
      </c>
      <c r="K17" s="499" t="s">
        <v>72</v>
      </c>
      <c r="L17" s="499" t="s">
        <v>72</v>
      </c>
      <c r="M17" s="499" t="s">
        <v>44</v>
      </c>
      <c r="N17" s="499" t="s">
        <v>72</v>
      </c>
      <c r="O17" s="499" t="s">
        <v>72</v>
      </c>
      <c r="P17" s="501">
        <v>342084</v>
      </c>
      <c r="Q17" s="502">
        <v>0</v>
      </c>
      <c r="R17" s="502">
        <v>0</v>
      </c>
      <c r="S17" s="502">
        <v>0</v>
      </c>
      <c r="T17" s="502">
        <v>0</v>
      </c>
      <c r="U17" s="502">
        <v>0</v>
      </c>
      <c r="V17" s="502">
        <v>0</v>
      </c>
      <c r="W17" s="502">
        <v>301765.3</v>
      </c>
      <c r="X17" s="502">
        <v>0</v>
      </c>
      <c r="Y17" s="502">
        <v>0</v>
      </c>
      <c r="Z17" s="502">
        <v>40318.699999999997</v>
      </c>
      <c r="AA17" s="205" t="s">
        <v>239</v>
      </c>
    </row>
    <row r="18" spans="1:28" ht="20.100000000000001" customHeight="1">
      <c r="B18" s="68"/>
      <c r="C18" s="195"/>
      <c r="D18" s="195" t="s">
        <v>108</v>
      </c>
      <c r="E18" s="195"/>
      <c r="F18" s="67"/>
      <c r="G18" s="195"/>
      <c r="H18" s="195"/>
      <c r="I18" s="195"/>
      <c r="J18" s="195"/>
      <c r="K18" s="195"/>
      <c r="L18" s="195"/>
      <c r="M18" s="195"/>
      <c r="N18" s="195"/>
      <c r="O18" s="195"/>
      <c r="P18" s="495">
        <f t="shared" ref="P18:Z18" si="4">SUM(P17)</f>
        <v>342084</v>
      </c>
      <c r="Q18" s="69">
        <f t="shared" si="4"/>
        <v>0</v>
      </c>
      <c r="R18" s="69">
        <f t="shared" si="4"/>
        <v>0</v>
      </c>
      <c r="S18" s="69">
        <f t="shared" si="4"/>
        <v>0</v>
      </c>
      <c r="T18" s="69">
        <f t="shared" si="4"/>
        <v>0</v>
      </c>
      <c r="U18" s="69">
        <f t="shared" si="4"/>
        <v>0</v>
      </c>
      <c r="V18" s="69">
        <f t="shared" si="4"/>
        <v>0</v>
      </c>
      <c r="W18" s="69">
        <f t="shared" si="4"/>
        <v>301765.3</v>
      </c>
      <c r="X18" s="69">
        <f t="shared" si="4"/>
        <v>0</v>
      </c>
      <c r="Y18" s="69">
        <f t="shared" si="4"/>
        <v>0</v>
      </c>
      <c r="Z18" s="69">
        <f t="shared" si="4"/>
        <v>40318.699999999997</v>
      </c>
    </row>
    <row r="19" spans="1:28" ht="20.100000000000001" customHeight="1">
      <c r="B19" s="68"/>
      <c r="C19" s="195"/>
      <c r="D19" s="68"/>
      <c r="E19" s="68"/>
      <c r="F19" s="67"/>
      <c r="G19" s="195"/>
      <c r="H19" s="195"/>
      <c r="I19" s="195"/>
      <c r="J19" s="195"/>
      <c r="K19" s="195"/>
      <c r="L19" s="195"/>
      <c r="M19" s="195"/>
      <c r="N19" s="195"/>
      <c r="O19" s="195"/>
      <c r="P19" s="495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spans="1:28" s="205" customFormat="1" ht="20.100000000000001" customHeight="1">
      <c r="B20" s="499" t="s">
        <v>111</v>
      </c>
      <c r="C20" s="499" t="s">
        <v>251</v>
      </c>
      <c r="D20" s="500" t="s">
        <v>46</v>
      </c>
      <c r="E20" s="500" t="s">
        <v>246</v>
      </c>
      <c r="F20" s="500" t="s">
        <v>245</v>
      </c>
      <c r="G20" s="499" t="s">
        <v>231</v>
      </c>
      <c r="H20" s="499" t="s">
        <v>72</v>
      </c>
      <c r="I20" s="499" t="s">
        <v>233</v>
      </c>
      <c r="J20" s="499" t="s">
        <v>72</v>
      </c>
      <c r="K20" s="499" t="s">
        <v>72</v>
      </c>
      <c r="L20" s="499" t="s">
        <v>40</v>
      </c>
      <c r="M20" s="499" t="s">
        <v>72</v>
      </c>
      <c r="N20" s="499" t="s">
        <v>72</v>
      </c>
      <c r="O20" s="499" t="s">
        <v>72</v>
      </c>
      <c r="P20" s="501">
        <f>SUM(Q20:Z20)</f>
        <v>1015411.5</v>
      </c>
      <c r="Q20" s="502">
        <v>675080.08</v>
      </c>
      <c r="R20" s="502">
        <v>0</v>
      </c>
      <c r="S20" s="502">
        <v>168770.02</v>
      </c>
      <c r="T20" s="502">
        <v>0</v>
      </c>
      <c r="U20" s="502">
        <v>0</v>
      </c>
      <c r="V20" s="502">
        <v>30051.599999999999</v>
      </c>
      <c r="W20" s="502">
        <v>0</v>
      </c>
      <c r="X20" s="502">
        <v>0</v>
      </c>
      <c r="Y20" s="502">
        <v>0</v>
      </c>
      <c r="Z20" s="502">
        <v>141509.79999999999</v>
      </c>
      <c r="AA20" s="205" t="s">
        <v>61</v>
      </c>
      <c r="AB20" s="506" t="s">
        <v>252</v>
      </c>
    </row>
    <row r="21" spans="1:28" ht="20.100000000000001" customHeight="1">
      <c r="B21" s="68"/>
      <c r="C21" s="195"/>
      <c r="D21" s="195" t="s">
        <v>111</v>
      </c>
      <c r="E21" s="195"/>
      <c r="F21" s="67"/>
      <c r="G21" s="195"/>
      <c r="H21" s="195"/>
      <c r="I21" s="195"/>
      <c r="J21" s="195"/>
      <c r="K21" s="195"/>
      <c r="L21" s="195"/>
      <c r="M21" s="195"/>
      <c r="N21" s="195"/>
      <c r="O21" s="195"/>
      <c r="P21" s="495">
        <f t="shared" ref="P21:Z21" si="5">SUM(P20)</f>
        <v>1015411.5</v>
      </c>
      <c r="Q21" s="69">
        <f t="shared" si="5"/>
        <v>675080.08</v>
      </c>
      <c r="R21" s="69">
        <f t="shared" si="5"/>
        <v>0</v>
      </c>
      <c r="S21" s="69">
        <f t="shared" si="5"/>
        <v>168770.02</v>
      </c>
      <c r="T21" s="69">
        <f t="shared" si="5"/>
        <v>0</v>
      </c>
      <c r="U21" s="69">
        <f t="shared" si="5"/>
        <v>0</v>
      </c>
      <c r="V21" s="69">
        <f t="shared" si="5"/>
        <v>30051.599999999999</v>
      </c>
      <c r="W21" s="69">
        <f t="shared" si="5"/>
        <v>0</v>
      </c>
      <c r="X21" s="69">
        <f t="shared" si="5"/>
        <v>0</v>
      </c>
      <c r="Y21" s="69">
        <f t="shared" si="5"/>
        <v>0</v>
      </c>
      <c r="Z21" s="69">
        <f t="shared" si="5"/>
        <v>141509.79999999999</v>
      </c>
    </row>
    <row r="22" spans="1:28" ht="20.100000000000001" customHeight="1">
      <c r="B22" s="68"/>
      <c r="C22" s="195"/>
      <c r="D22" s="67"/>
      <c r="E22" s="67"/>
      <c r="F22" s="67"/>
      <c r="G22" s="195"/>
      <c r="H22" s="195"/>
      <c r="I22" s="195"/>
      <c r="J22" s="195"/>
      <c r="K22" s="195"/>
      <c r="L22" s="195"/>
      <c r="M22" s="195"/>
      <c r="N22" s="195"/>
      <c r="O22" s="195"/>
      <c r="P22" s="495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 spans="1:28" s="205" customFormat="1" ht="20.100000000000001" customHeight="1">
      <c r="B23" s="499" t="s">
        <v>114</v>
      </c>
      <c r="C23" s="499" t="s">
        <v>253</v>
      </c>
      <c r="D23" s="500" t="s">
        <v>65</v>
      </c>
      <c r="E23" s="500" t="s">
        <v>246</v>
      </c>
      <c r="F23" s="500" t="s">
        <v>238</v>
      </c>
      <c r="G23" s="499" t="s">
        <v>72</v>
      </c>
      <c r="H23" s="499" t="s">
        <v>72</v>
      </c>
      <c r="I23" s="499" t="s">
        <v>72</v>
      </c>
      <c r="J23" s="499" t="s">
        <v>72</v>
      </c>
      <c r="K23" s="499" t="s">
        <v>72</v>
      </c>
      <c r="L23" s="499" t="s">
        <v>72</v>
      </c>
      <c r="M23" s="499" t="s">
        <v>44</v>
      </c>
      <c r="N23" s="499" t="s">
        <v>72</v>
      </c>
      <c r="O23" s="499" t="s">
        <v>72</v>
      </c>
      <c r="P23" s="501">
        <v>443107.60000000003</v>
      </c>
      <c r="Q23" s="502">
        <v>0</v>
      </c>
      <c r="R23" s="502">
        <v>0</v>
      </c>
      <c r="S23" s="502">
        <v>0</v>
      </c>
      <c r="T23" s="502">
        <v>0</v>
      </c>
      <c r="U23" s="502">
        <v>0</v>
      </c>
      <c r="V23" s="502">
        <v>0</v>
      </c>
      <c r="W23" s="502">
        <v>312188.5</v>
      </c>
      <c r="X23" s="502">
        <v>0</v>
      </c>
      <c r="Y23" s="502">
        <v>0</v>
      </c>
      <c r="Z23" s="502">
        <v>130919.1</v>
      </c>
      <c r="AA23" s="205" t="s">
        <v>239</v>
      </c>
    </row>
    <row r="24" spans="1:28" ht="20.100000000000001" customHeight="1">
      <c r="B24" s="195"/>
      <c r="C24" s="195"/>
      <c r="D24" s="67" t="s">
        <v>114</v>
      </c>
      <c r="E24" s="67"/>
      <c r="F24" s="67"/>
      <c r="G24" s="195"/>
      <c r="H24" s="195"/>
      <c r="I24" s="195"/>
      <c r="J24" s="195"/>
      <c r="K24" s="195"/>
      <c r="L24" s="195"/>
      <c r="M24" s="195"/>
      <c r="N24" s="195"/>
      <c r="O24" s="195"/>
      <c r="P24" s="495">
        <f t="shared" ref="P24:Z24" si="6">SUM(P23)</f>
        <v>443107.60000000003</v>
      </c>
      <c r="Q24" s="69">
        <f t="shared" si="6"/>
        <v>0</v>
      </c>
      <c r="R24" s="69">
        <f t="shared" si="6"/>
        <v>0</v>
      </c>
      <c r="S24" s="69">
        <f t="shared" si="6"/>
        <v>0</v>
      </c>
      <c r="T24" s="69">
        <f t="shared" si="6"/>
        <v>0</v>
      </c>
      <c r="U24" s="69">
        <f t="shared" si="6"/>
        <v>0</v>
      </c>
      <c r="V24" s="69">
        <f t="shared" si="6"/>
        <v>0</v>
      </c>
      <c r="W24" s="69">
        <f t="shared" si="6"/>
        <v>312188.5</v>
      </c>
      <c r="X24" s="69">
        <f t="shared" si="6"/>
        <v>0</v>
      </c>
      <c r="Y24" s="69">
        <f t="shared" si="6"/>
        <v>0</v>
      </c>
      <c r="Z24" s="69">
        <f t="shared" si="6"/>
        <v>130919.1</v>
      </c>
    </row>
    <row r="25" spans="1:28" ht="20.100000000000001" customHeight="1">
      <c r="B25" s="68"/>
      <c r="C25" s="195"/>
      <c r="D25" s="67"/>
      <c r="E25" s="67"/>
      <c r="F25" s="67"/>
      <c r="G25" s="195"/>
      <c r="H25" s="195"/>
      <c r="I25" s="195"/>
      <c r="J25" s="195"/>
      <c r="K25" s="195"/>
      <c r="L25" s="195"/>
      <c r="M25" s="195"/>
      <c r="N25" s="195"/>
      <c r="O25" s="195"/>
      <c r="P25" s="495"/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 spans="1:28" ht="20.100000000000001" customHeight="1">
      <c r="A26" s="66" t="s">
        <v>254</v>
      </c>
      <c r="B26" s="68" t="s">
        <v>115</v>
      </c>
      <c r="C26" s="195">
        <v>17</v>
      </c>
      <c r="D26" s="67" t="s">
        <v>50</v>
      </c>
      <c r="E26" s="67" t="s">
        <v>246</v>
      </c>
      <c r="F26" s="67" t="s">
        <v>245</v>
      </c>
      <c r="G26" s="195" t="s">
        <v>72</v>
      </c>
      <c r="H26" s="195" t="s">
        <v>72</v>
      </c>
      <c r="I26" s="195" t="s">
        <v>72</v>
      </c>
      <c r="J26" s="195" t="s">
        <v>72</v>
      </c>
      <c r="K26" s="195" t="s">
        <v>72</v>
      </c>
      <c r="L26" s="195" t="s">
        <v>40</v>
      </c>
      <c r="M26" s="195" t="s">
        <v>72</v>
      </c>
      <c r="N26" s="195" t="s">
        <v>72</v>
      </c>
      <c r="O26" s="195" t="s">
        <v>72</v>
      </c>
      <c r="P26" s="495">
        <f>SUM(Q26:Z26)</f>
        <v>116638.8</v>
      </c>
      <c r="Q26" s="69">
        <v>0</v>
      </c>
      <c r="R26" s="69">
        <v>0</v>
      </c>
      <c r="S26" s="69">
        <v>0</v>
      </c>
      <c r="T26" s="69">
        <v>0</v>
      </c>
      <c r="U26" s="69">
        <v>0</v>
      </c>
      <c r="V26" s="69">
        <v>116638.8</v>
      </c>
      <c r="W26" s="69">
        <v>0</v>
      </c>
      <c r="X26" s="69">
        <v>0</v>
      </c>
      <c r="Y26" s="69">
        <v>0</v>
      </c>
      <c r="Z26" s="69">
        <v>0</v>
      </c>
      <c r="AA26" s="66" t="s">
        <v>239</v>
      </c>
    </row>
    <row r="27" spans="1:28" s="205" customFormat="1" ht="20.100000000000001" customHeight="1">
      <c r="B27" s="206" t="s">
        <v>115</v>
      </c>
      <c r="C27" s="499" t="s">
        <v>255</v>
      </c>
      <c r="D27" s="500" t="s">
        <v>56</v>
      </c>
      <c r="E27" s="500" t="s">
        <v>249</v>
      </c>
      <c r="F27" s="500" t="s">
        <v>245</v>
      </c>
      <c r="G27" s="499" t="s">
        <v>72</v>
      </c>
      <c r="H27" s="499" t="s">
        <v>232</v>
      </c>
      <c r="I27" s="499" t="s">
        <v>72</v>
      </c>
      <c r="J27" s="499" t="s">
        <v>234</v>
      </c>
      <c r="K27" s="499" t="s">
        <v>72</v>
      </c>
      <c r="L27" s="499" t="s">
        <v>40</v>
      </c>
      <c r="M27" s="499" t="s">
        <v>72</v>
      </c>
      <c r="N27" s="499" t="s">
        <v>72</v>
      </c>
      <c r="O27" s="499" t="s">
        <v>72</v>
      </c>
      <c r="P27" s="501">
        <f>SUM(Q27:Z27)</f>
        <v>252195.1</v>
      </c>
      <c r="Q27" s="502">
        <v>0</v>
      </c>
      <c r="R27" s="502">
        <v>120798.48000000001</v>
      </c>
      <c r="S27" s="502">
        <v>0</v>
      </c>
      <c r="T27" s="502">
        <v>30199.619999999995</v>
      </c>
      <c r="U27" s="502">
        <v>0</v>
      </c>
      <c r="V27" s="502">
        <v>101197</v>
      </c>
      <c r="W27" s="502">
        <v>0</v>
      </c>
      <c r="X27" s="502">
        <v>0</v>
      </c>
      <c r="Y27" s="502">
        <v>0</v>
      </c>
      <c r="Z27" s="502">
        <v>0</v>
      </c>
      <c r="AA27" s="205" t="s">
        <v>61</v>
      </c>
    </row>
    <row r="28" spans="1:28" ht="20.100000000000001" customHeight="1">
      <c r="B28" s="195"/>
      <c r="C28" s="195"/>
      <c r="D28" s="195" t="s">
        <v>115</v>
      </c>
      <c r="E28" s="195"/>
      <c r="F28" s="67"/>
      <c r="G28" s="195"/>
      <c r="H28" s="195"/>
      <c r="I28" s="195"/>
      <c r="J28" s="195"/>
      <c r="K28" s="195"/>
      <c r="L28" s="195"/>
      <c r="M28" s="195"/>
      <c r="N28" s="195"/>
      <c r="O28" s="195"/>
      <c r="P28" s="495">
        <f>SUM(P26:P27)</f>
        <v>368833.9</v>
      </c>
      <c r="Q28" s="69">
        <f>SUM(Q26:Q27)</f>
        <v>0</v>
      </c>
      <c r="R28" s="69">
        <f t="shared" ref="R28:Z28" si="7">SUM(R26:R27)</f>
        <v>120798.48000000001</v>
      </c>
      <c r="S28" s="69">
        <f t="shared" si="7"/>
        <v>0</v>
      </c>
      <c r="T28" s="69">
        <f t="shared" si="7"/>
        <v>30199.619999999995</v>
      </c>
      <c r="U28" s="69">
        <f t="shared" si="7"/>
        <v>0</v>
      </c>
      <c r="V28" s="69">
        <f t="shared" si="7"/>
        <v>217835.8</v>
      </c>
      <c r="W28" s="69">
        <f t="shared" si="7"/>
        <v>0</v>
      </c>
      <c r="X28" s="69">
        <f t="shared" si="7"/>
        <v>0</v>
      </c>
      <c r="Y28" s="69">
        <f t="shared" si="7"/>
        <v>0</v>
      </c>
      <c r="Z28" s="69">
        <f t="shared" si="7"/>
        <v>0</v>
      </c>
    </row>
    <row r="29" spans="1:28" ht="20.100000000000001" customHeight="1">
      <c r="B29" s="195"/>
      <c r="C29" s="195"/>
      <c r="D29" s="67"/>
      <c r="E29" s="67"/>
      <c r="F29" s="67"/>
      <c r="G29" s="195"/>
      <c r="H29" s="195"/>
      <c r="I29" s="195"/>
      <c r="J29" s="195"/>
      <c r="K29" s="195"/>
      <c r="L29" s="195"/>
      <c r="M29" s="195"/>
      <c r="N29" s="195"/>
      <c r="O29" s="195"/>
      <c r="P29" s="495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 spans="1:28" s="205" customFormat="1" ht="20.100000000000001" customHeight="1">
      <c r="B30" s="206" t="s">
        <v>117</v>
      </c>
      <c r="C30" s="499" t="s">
        <v>256</v>
      </c>
      <c r="D30" s="500" t="s">
        <v>37</v>
      </c>
      <c r="E30" s="500" t="s">
        <v>246</v>
      </c>
      <c r="F30" s="500" t="s">
        <v>245</v>
      </c>
      <c r="G30" s="499" t="s">
        <v>231</v>
      </c>
      <c r="H30" s="499" t="s">
        <v>72</v>
      </c>
      <c r="I30" s="499" t="s">
        <v>233</v>
      </c>
      <c r="J30" s="499" t="s">
        <v>72</v>
      </c>
      <c r="K30" s="499" t="s">
        <v>72</v>
      </c>
      <c r="L30" s="499" t="s">
        <v>72</v>
      </c>
      <c r="M30" s="499" t="s">
        <v>72</v>
      </c>
      <c r="N30" s="499" t="s">
        <v>72</v>
      </c>
      <c r="O30" s="499" t="s">
        <v>72</v>
      </c>
      <c r="P30" s="501">
        <f>SUM(Q30:Z30)</f>
        <v>446181.40000000008</v>
      </c>
      <c r="Q30" s="502">
        <v>307621.76000000007</v>
      </c>
      <c r="R30" s="502">
        <v>0</v>
      </c>
      <c r="S30" s="502">
        <v>76905.440000000017</v>
      </c>
      <c r="T30" s="502">
        <v>0</v>
      </c>
      <c r="U30" s="502">
        <v>0</v>
      </c>
      <c r="V30" s="502">
        <v>0</v>
      </c>
      <c r="W30" s="502">
        <v>0</v>
      </c>
      <c r="X30" s="502">
        <v>0</v>
      </c>
      <c r="Y30" s="502">
        <v>0</v>
      </c>
      <c r="Z30" s="502">
        <v>61654.2</v>
      </c>
      <c r="AA30" s="205" t="s">
        <v>61</v>
      </c>
      <c r="AB30" s="205" t="s">
        <v>257</v>
      </c>
    </row>
    <row r="31" spans="1:28" ht="20.100000000000001" customHeight="1">
      <c r="D31" s="195" t="s">
        <v>117</v>
      </c>
      <c r="E31" s="195"/>
      <c r="F31" s="67"/>
      <c r="P31" s="495">
        <f t="shared" ref="P31:Z31" si="8">SUM(P30)</f>
        <v>446181.40000000008</v>
      </c>
      <c r="Q31" s="69">
        <f t="shared" si="8"/>
        <v>307621.76000000007</v>
      </c>
      <c r="R31" s="69">
        <f t="shared" si="8"/>
        <v>0</v>
      </c>
      <c r="S31" s="69">
        <f t="shared" si="8"/>
        <v>76905.440000000017</v>
      </c>
      <c r="T31" s="69">
        <f t="shared" si="8"/>
        <v>0</v>
      </c>
      <c r="U31" s="69">
        <f t="shared" si="8"/>
        <v>0</v>
      </c>
      <c r="V31" s="69">
        <f t="shared" si="8"/>
        <v>0</v>
      </c>
      <c r="W31" s="69">
        <f t="shared" si="8"/>
        <v>0</v>
      </c>
      <c r="X31" s="69">
        <f t="shared" si="8"/>
        <v>0</v>
      </c>
      <c r="Y31" s="69">
        <f t="shared" si="8"/>
        <v>0</v>
      </c>
      <c r="Z31" s="69">
        <f t="shared" si="8"/>
        <v>61654.2</v>
      </c>
    </row>
    <row r="32" spans="1:28" ht="20.100000000000001" customHeight="1">
      <c r="D32" s="195"/>
      <c r="E32" s="195"/>
      <c r="F32" s="67"/>
      <c r="P32" s="494"/>
      <c r="Q32" s="71"/>
      <c r="R32" s="71"/>
      <c r="S32" s="71"/>
      <c r="T32" s="71"/>
      <c r="U32" s="71"/>
      <c r="V32" s="71"/>
      <c r="W32" s="71"/>
      <c r="X32" s="71"/>
      <c r="Y32" s="71"/>
      <c r="Z32" s="71"/>
    </row>
    <row r="33" spans="2:28" s="205" customFormat="1" ht="20.100000000000001" customHeight="1">
      <c r="B33" s="499" t="s">
        <v>119</v>
      </c>
      <c r="C33" s="499">
        <v>22</v>
      </c>
      <c r="D33" s="500" t="s">
        <v>70</v>
      </c>
      <c r="E33" s="500" t="s">
        <v>246</v>
      </c>
      <c r="F33" s="500" t="s">
        <v>238</v>
      </c>
      <c r="G33" s="499" t="s">
        <v>72</v>
      </c>
      <c r="H33" s="499" t="s">
        <v>72</v>
      </c>
      <c r="I33" s="499" t="s">
        <v>72</v>
      </c>
      <c r="J33" s="499" t="s">
        <v>72</v>
      </c>
      <c r="K33" s="499" t="s">
        <v>72</v>
      </c>
      <c r="L33" s="499" t="s">
        <v>40</v>
      </c>
      <c r="M33" s="499" t="s">
        <v>72</v>
      </c>
      <c r="N33" s="499" t="s">
        <v>72</v>
      </c>
      <c r="O33" s="499" t="s">
        <v>48</v>
      </c>
      <c r="P33" s="501">
        <f>SUM(Q33:Z33)</f>
        <v>680836.3</v>
      </c>
      <c r="Q33" s="502">
        <v>0</v>
      </c>
      <c r="R33" s="502">
        <v>0</v>
      </c>
      <c r="S33" s="502">
        <v>0</v>
      </c>
      <c r="T33" s="502">
        <v>0</v>
      </c>
      <c r="U33" s="502">
        <v>0</v>
      </c>
      <c r="V33" s="502">
        <v>290254.09999999998</v>
      </c>
      <c r="W33" s="502">
        <v>0</v>
      </c>
      <c r="X33" s="502">
        <v>0</v>
      </c>
      <c r="Y33" s="502">
        <v>257772.5</v>
      </c>
      <c r="Z33" s="502">
        <v>132809.70000000001</v>
      </c>
      <c r="AA33" s="205" t="s">
        <v>239</v>
      </c>
    </row>
    <row r="34" spans="2:28" ht="20.100000000000001" customHeight="1">
      <c r="B34" s="195"/>
      <c r="C34" s="195"/>
      <c r="D34" s="195" t="s">
        <v>119</v>
      </c>
      <c r="E34" s="195"/>
      <c r="F34" s="67"/>
      <c r="G34" s="195"/>
      <c r="H34" s="195"/>
      <c r="I34" s="195"/>
      <c r="J34" s="195"/>
      <c r="K34" s="195"/>
      <c r="L34" s="195"/>
      <c r="M34" s="195"/>
      <c r="N34" s="195"/>
      <c r="O34" s="195"/>
      <c r="P34" s="495">
        <f t="shared" ref="P34:Z34" si="9">SUM(P33)</f>
        <v>680836.3</v>
      </c>
      <c r="Q34" s="69">
        <f t="shared" si="9"/>
        <v>0</v>
      </c>
      <c r="R34" s="69">
        <f t="shared" si="9"/>
        <v>0</v>
      </c>
      <c r="S34" s="69">
        <f t="shared" si="9"/>
        <v>0</v>
      </c>
      <c r="T34" s="69">
        <f t="shared" si="9"/>
        <v>0</v>
      </c>
      <c r="U34" s="69">
        <f t="shared" si="9"/>
        <v>0</v>
      </c>
      <c r="V34" s="69">
        <f t="shared" si="9"/>
        <v>290254.09999999998</v>
      </c>
      <c r="W34" s="69">
        <f t="shared" si="9"/>
        <v>0</v>
      </c>
      <c r="X34" s="69">
        <f t="shared" si="9"/>
        <v>0</v>
      </c>
      <c r="Y34" s="69">
        <f t="shared" si="9"/>
        <v>257772.5</v>
      </c>
      <c r="Z34" s="69">
        <f t="shared" si="9"/>
        <v>132809.70000000001</v>
      </c>
    </row>
    <row r="35" spans="2:28">
      <c r="P35" s="495">
        <f>SUM(P4,P9,P12,P18,P15,P21,P24,P28,P31,P34)</f>
        <v>5717809.6000000006</v>
      </c>
      <c r="Q35" s="69"/>
      <c r="R35" s="145"/>
      <c r="S35" s="69"/>
      <c r="T35" s="69"/>
      <c r="Z35" s="201"/>
    </row>
    <row r="36" spans="2:28">
      <c r="P36" s="494"/>
      <c r="Q36" s="69"/>
      <c r="R36" s="71"/>
      <c r="S36" s="145"/>
      <c r="T36" s="145"/>
      <c r="U36" s="69"/>
      <c r="V36" s="145"/>
      <c r="X36" s="69"/>
    </row>
    <row r="37" spans="2:28">
      <c r="P37" s="68"/>
      <c r="Q37" s="68" t="s">
        <v>258</v>
      </c>
      <c r="R37" s="68" t="s">
        <v>259</v>
      </c>
      <c r="S37" s="68" t="s">
        <v>260</v>
      </c>
      <c r="T37" s="68" t="s">
        <v>261</v>
      </c>
      <c r="U37" s="66" t="s">
        <v>59</v>
      </c>
      <c r="V37" s="66" t="s">
        <v>40</v>
      </c>
      <c r="W37" s="66" t="s">
        <v>44</v>
      </c>
      <c r="X37" s="66" t="s">
        <v>51</v>
      </c>
      <c r="Y37" s="195" t="s">
        <v>48</v>
      </c>
      <c r="Z37" s="66" t="s">
        <v>116</v>
      </c>
    </row>
    <row r="38" spans="2:28" ht="18.95">
      <c r="P38" s="494" t="s">
        <v>12</v>
      </c>
      <c r="Q38" s="507">
        <f>Q4+Q9+Q12+Q15+Q18+Q21+Q24+Q28+Q31+Q34</f>
        <v>1471366.7120000001</v>
      </c>
      <c r="R38" s="507">
        <f t="shared" ref="R38:Z38" si="10">R4+R9+R12+R15+R18+R21+R24+R28+R31+R34</f>
        <v>297494.40000000002</v>
      </c>
      <c r="S38" s="507">
        <f t="shared" si="10"/>
        <v>367841.67800000001</v>
      </c>
      <c r="T38" s="507">
        <f t="shared" si="10"/>
        <v>74373.600000000006</v>
      </c>
      <c r="U38" s="507">
        <f t="shared" si="10"/>
        <v>106195.1</v>
      </c>
      <c r="V38" s="507">
        <f t="shared" si="10"/>
        <v>628975.89</v>
      </c>
      <c r="W38" s="507">
        <f t="shared" si="10"/>
        <v>613953.80000000005</v>
      </c>
      <c r="X38" s="507">
        <f t="shared" si="10"/>
        <v>1095863.8</v>
      </c>
      <c r="Y38" s="507">
        <f t="shared" si="10"/>
        <v>257772.5</v>
      </c>
      <c r="Z38" s="507">
        <f t="shared" si="10"/>
        <v>803972.11999999988</v>
      </c>
      <c r="AA38" s="494"/>
      <c r="AB38" s="494"/>
    </row>
    <row r="39" spans="2:28" ht="18.95">
      <c r="F39" s="190"/>
      <c r="P39" s="66" t="s">
        <v>161</v>
      </c>
      <c r="Q39" s="507">
        <f>Q4+Q9</f>
        <v>104523.20000000001</v>
      </c>
      <c r="R39" s="507">
        <f t="shared" ref="R39:Z39" si="11">R4+R9</f>
        <v>0</v>
      </c>
      <c r="S39" s="507">
        <f t="shared" si="11"/>
        <v>26130.800000000003</v>
      </c>
      <c r="T39" s="507">
        <f t="shared" si="11"/>
        <v>0</v>
      </c>
      <c r="U39" s="507">
        <f t="shared" si="11"/>
        <v>106195.1</v>
      </c>
      <c r="V39" s="507">
        <f t="shared" si="11"/>
        <v>0</v>
      </c>
      <c r="W39" s="507">
        <f t="shared" si="11"/>
        <v>0</v>
      </c>
      <c r="X39" s="507">
        <f t="shared" si="11"/>
        <v>1095863.8</v>
      </c>
      <c r="Y39" s="507">
        <f t="shared" si="11"/>
        <v>0</v>
      </c>
      <c r="Z39" s="507">
        <f t="shared" si="11"/>
        <v>180298.1</v>
      </c>
    </row>
    <row r="40" spans="2:28" s="178" customFormat="1" ht="18.95">
      <c r="C40" s="511"/>
      <c r="F40" s="512"/>
      <c r="Q40" s="498">
        <f>Q39/Q$38</f>
        <v>7.1038170938313314E-2</v>
      </c>
      <c r="R40" s="498">
        <f t="shared" ref="R40:Z40" si="12">R39/R$38</f>
        <v>0</v>
      </c>
      <c r="S40" s="498">
        <f t="shared" si="12"/>
        <v>7.1038170938313314E-2</v>
      </c>
      <c r="T40" s="498">
        <f t="shared" si="12"/>
        <v>0</v>
      </c>
      <c r="U40" s="498">
        <f t="shared" si="12"/>
        <v>1</v>
      </c>
      <c r="V40" s="498">
        <f t="shared" si="12"/>
        <v>0</v>
      </c>
      <c r="W40" s="498">
        <f t="shared" si="12"/>
        <v>0</v>
      </c>
      <c r="X40" s="498">
        <f t="shared" si="12"/>
        <v>1</v>
      </c>
      <c r="Y40" s="498">
        <f t="shared" si="12"/>
        <v>0</v>
      </c>
      <c r="Z40" s="498">
        <f t="shared" si="12"/>
        <v>0.22425914470765482</v>
      </c>
    </row>
    <row r="41" spans="2:28" ht="18.95">
      <c r="B41" s="195"/>
      <c r="C41" s="195"/>
      <c r="D41" s="67"/>
      <c r="E41" s="67"/>
      <c r="F41" s="191"/>
      <c r="G41" s="195"/>
      <c r="H41" s="195"/>
      <c r="I41" s="195"/>
      <c r="J41" s="195"/>
      <c r="K41" s="195"/>
      <c r="L41" s="195"/>
      <c r="M41" s="195"/>
      <c r="N41" s="195"/>
      <c r="O41" s="195"/>
      <c r="P41" s="66" t="s">
        <v>162</v>
      </c>
      <c r="Q41" s="508">
        <f>Q12+Q15+Q18</f>
        <v>384141.67200000002</v>
      </c>
      <c r="R41" s="508">
        <f t="shared" ref="R41:Z41" si="13">R12+R15+R18</f>
        <v>176695.92000000004</v>
      </c>
      <c r="S41" s="508">
        <f t="shared" si="13"/>
        <v>96035.418000000005</v>
      </c>
      <c r="T41" s="508">
        <f t="shared" si="13"/>
        <v>44173.98000000001</v>
      </c>
      <c r="U41" s="508">
        <f t="shared" si="13"/>
        <v>0</v>
      </c>
      <c r="V41" s="508">
        <f t="shared" si="13"/>
        <v>90834.390000000014</v>
      </c>
      <c r="W41" s="508">
        <f t="shared" si="13"/>
        <v>301765.3</v>
      </c>
      <c r="X41" s="508">
        <f t="shared" si="13"/>
        <v>0</v>
      </c>
      <c r="Y41" s="508">
        <f t="shared" si="13"/>
        <v>0</v>
      </c>
      <c r="Z41" s="508">
        <f t="shared" si="13"/>
        <v>156781.21999999997</v>
      </c>
    </row>
    <row r="42" spans="2:28" s="144" customFormat="1" ht="18.95">
      <c r="B42" s="513"/>
      <c r="C42" s="513"/>
      <c r="D42" s="510"/>
      <c r="E42" s="510"/>
      <c r="F42" s="514"/>
      <c r="G42" s="513"/>
      <c r="H42" s="513"/>
      <c r="I42" s="513"/>
      <c r="J42" s="513"/>
      <c r="K42" s="513"/>
      <c r="L42" s="513"/>
      <c r="M42" s="513"/>
      <c r="N42" s="513"/>
      <c r="O42" s="513"/>
      <c r="Q42" s="498">
        <f>Q41/Q$38</f>
        <v>0.26107813155419546</v>
      </c>
      <c r="R42" s="498">
        <f t="shared" ref="R42:Z42" si="14">R41/R$38</f>
        <v>0.59394704572590284</v>
      </c>
      <c r="S42" s="498">
        <f t="shared" si="14"/>
        <v>0.26107813155419546</v>
      </c>
      <c r="T42" s="498">
        <f t="shared" si="14"/>
        <v>0.59394704572590284</v>
      </c>
      <c r="U42" s="498">
        <f t="shared" si="14"/>
        <v>0</v>
      </c>
      <c r="V42" s="498">
        <f t="shared" si="14"/>
        <v>0.14441633048923389</v>
      </c>
      <c r="W42" s="498">
        <f t="shared" si="14"/>
        <v>0.49151141339950982</v>
      </c>
      <c r="X42" s="498">
        <f t="shared" si="14"/>
        <v>0</v>
      </c>
      <c r="Y42" s="498">
        <f t="shared" si="14"/>
        <v>0</v>
      </c>
      <c r="Z42" s="498">
        <f t="shared" si="14"/>
        <v>0.19500827964034373</v>
      </c>
    </row>
    <row r="43" spans="2:28" ht="19.5">
      <c r="D43" s="67"/>
      <c r="E43" s="67"/>
      <c r="F43" s="191"/>
      <c r="P43" s="71" t="s">
        <v>163</v>
      </c>
      <c r="Q43" s="509">
        <f>Q21+Q24</f>
        <v>675080.08</v>
      </c>
      <c r="R43" s="509">
        <f t="shared" ref="R43:Z43" si="15">R21+R24</f>
        <v>0</v>
      </c>
      <c r="S43" s="509">
        <f t="shared" si="15"/>
        <v>168770.02</v>
      </c>
      <c r="T43" s="509">
        <f t="shared" si="15"/>
        <v>0</v>
      </c>
      <c r="U43" s="509">
        <f t="shared" si="15"/>
        <v>0</v>
      </c>
      <c r="V43" s="509">
        <f t="shared" si="15"/>
        <v>30051.599999999999</v>
      </c>
      <c r="W43" s="509">
        <f t="shared" si="15"/>
        <v>312188.5</v>
      </c>
      <c r="X43" s="509">
        <f t="shared" si="15"/>
        <v>0</v>
      </c>
      <c r="Y43" s="509">
        <f t="shared" si="15"/>
        <v>0</v>
      </c>
      <c r="Z43" s="509">
        <f t="shared" si="15"/>
        <v>272428.90000000002</v>
      </c>
    </row>
    <row r="44" spans="2:28" s="144" customFormat="1" ht="18.95">
      <c r="C44" s="510"/>
      <c r="D44" s="510"/>
      <c r="E44" s="510"/>
      <c r="F44" s="514"/>
      <c r="Q44" s="498">
        <f>Q43/Q$38</f>
        <v>0.45881157599547484</v>
      </c>
      <c r="R44" s="498">
        <f t="shared" ref="R44:Z44" si="16">R43/R$38</f>
        <v>0</v>
      </c>
      <c r="S44" s="498">
        <f t="shared" si="16"/>
        <v>0.45881157599547484</v>
      </c>
      <c r="T44" s="498">
        <f t="shared" si="16"/>
        <v>0</v>
      </c>
      <c r="U44" s="498">
        <f t="shared" si="16"/>
        <v>0</v>
      </c>
      <c r="V44" s="498">
        <f t="shared" si="16"/>
        <v>4.7778619940424101E-2</v>
      </c>
      <c r="W44" s="498">
        <f t="shared" si="16"/>
        <v>0.50848858660049012</v>
      </c>
      <c r="X44" s="498">
        <f t="shared" si="16"/>
        <v>0</v>
      </c>
      <c r="Y44" s="498">
        <f t="shared" si="16"/>
        <v>0</v>
      </c>
      <c r="Z44" s="498">
        <f t="shared" si="16"/>
        <v>0.33885366572164227</v>
      </c>
    </row>
    <row r="45" spans="2:28" ht="19.5">
      <c r="F45" s="191"/>
      <c r="P45" s="66" t="s">
        <v>164</v>
      </c>
      <c r="Q45" s="509">
        <f>Q28+Q31+Q34</f>
        <v>307621.76000000007</v>
      </c>
      <c r="R45" s="509">
        <f t="shared" ref="R45:Z45" si="17">R28+R31+R34</f>
        <v>120798.48000000001</v>
      </c>
      <c r="S45" s="509">
        <f t="shared" si="17"/>
        <v>76905.440000000017</v>
      </c>
      <c r="T45" s="509">
        <f t="shared" si="17"/>
        <v>30199.619999999995</v>
      </c>
      <c r="U45" s="509">
        <f t="shared" si="17"/>
        <v>0</v>
      </c>
      <c r="V45" s="509">
        <f t="shared" si="17"/>
        <v>508089.89999999997</v>
      </c>
      <c r="W45" s="509">
        <f t="shared" si="17"/>
        <v>0</v>
      </c>
      <c r="X45" s="509">
        <f t="shared" si="17"/>
        <v>0</v>
      </c>
      <c r="Y45" s="509">
        <f t="shared" si="17"/>
        <v>257772.5</v>
      </c>
      <c r="Z45" s="509">
        <f t="shared" si="17"/>
        <v>194463.90000000002</v>
      </c>
    </row>
    <row r="46" spans="2:28" ht="18.95">
      <c r="F46" s="191"/>
      <c r="Q46" s="498">
        <f>Q45/Q$38</f>
        <v>0.2090721215120164</v>
      </c>
      <c r="R46" s="498">
        <f t="shared" ref="R46:Z46" si="18">R45/R$38</f>
        <v>0.40605295427409727</v>
      </c>
      <c r="S46" s="498">
        <f t="shared" si="18"/>
        <v>0.2090721215120164</v>
      </c>
      <c r="T46" s="498">
        <f t="shared" si="18"/>
        <v>0.40605295427409716</v>
      </c>
      <c r="U46" s="498">
        <f t="shared" si="18"/>
        <v>0</v>
      </c>
      <c r="V46" s="498">
        <f t="shared" si="18"/>
        <v>0.80780504957034194</v>
      </c>
      <c r="W46" s="498">
        <f t="shared" si="18"/>
        <v>0</v>
      </c>
      <c r="X46" s="498">
        <f t="shared" si="18"/>
        <v>0</v>
      </c>
      <c r="Y46" s="498">
        <f t="shared" si="18"/>
        <v>1</v>
      </c>
      <c r="Z46" s="498">
        <f t="shared" si="18"/>
        <v>0.24187890993035935</v>
      </c>
    </row>
    <row r="47" spans="2:28">
      <c r="F47" s="190"/>
    </row>
    <row r="48" spans="2:28">
      <c r="F48" s="191"/>
      <c r="P48" s="494"/>
      <c r="Q48" s="66" t="s">
        <v>262</v>
      </c>
      <c r="R48" s="66" t="s">
        <v>263</v>
      </c>
      <c r="S48" s="66" t="s">
        <v>59</v>
      </c>
      <c r="T48" s="66" t="s">
        <v>40</v>
      </c>
      <c r="U48" s="66" t="s">
        <v>44</v>
      </c>
      <c r="V48" s="66" t="s">
        <v>51</v>
      </c>
      <c r="W48" s="195" t="s">
        <v>48</v>
      </c>
      <c r="X48" s="66" t="s">
        <v>116</v>
      </c>
    </row>
    <row r="49" spans="6:25">
      <c r="F49" s="191"/>
      <c r="P49" s="494" t="s">
        <v>12</v>
      </c>
      <c r="Q49" s="494">
        <f>Q38+R38</f>
        <v>1768861.1120000002</v>
      </c>
      <c r="R49" s="494">
        <f>S38+T38</f>
        <v>442215.27800000005</v>
      </c>
      <c r="S49" s="494">
        <f t="shared" ref="S49:X49" si="19">U38</f>
        <v>106195.1</v>
      </c>
      <c r="T49" s="494">
        <f t="shared" si="19"/>
        <v>628975.89</v>
      </c>
      <c r="U49" s="494">
        <f t="shared" si="19"/>
        <v>613953.80000000005</v>
      </c>
      <c r="V49" s="494">
        <f t="shared" si="19"/>
        <v>1095863.8</v>
      </c>
      <c r="W49" s="494">
        <f t="shared" si="19"/>
        <v>257772.5</v>
      </c>
      <c r="X49" s="494">
        <f t="shared" si="19"/>
        <v>803972.11999999988</v>
      </c>
    </row>
    <row r="50" spans="6:25">
      <c r="Q50" s="178">
        <f>Q49/SUM($Q$49:$X$49)</f>
        <v>0.30935991852544376</v>
      </c>
      <c r="R50" s="178">
        <f t="shared" ref="R50:X50" si="20">R49/SUM($Q$49:$X$49)</f>
        <v>7.7339979631360939E-2</v>
      </c>
      <c r="S50" s="178">
        <f t="shared" si="20"/>
        <v>1.8572689094089455E-2</v>
      </c>
      <c r="T50" s="178">
        <f t="shared" si="20"/>
        <v>0.11000294413441118</v>
      </c>
      <c r="U50" s="178">
        <f t="shared" si="20"/>
        <v>0.10737569855421558</v>
      </c>
      <c r="V50" s="178">
        <f t="shared" si="20"/>
        <v>0.19165797336098775</v>
      </c>
      <c r="W50" s="178">
        <f t="shared" si="20"/>
        <v>4.5082386094143459E-2</v>
      </c>
      <c r="X50" s="178">
        <f t="shared" si="20"/>
        <v>0.14060841060534787</v>
      </c>
      <c r="Y50" s="515">
        <f>SUM(Q50:X50)</f>
        <v>1</v>
      </c>
    </row>
    <row r="51" spans="6:25">
      <c r="P51" s="66" t="s">
        <v>161</v>
      </c>
      <c r="Q51" s="494">
        <f>Q39+R39</f>
        <v>104523.20000000001</v>
      </c>
      <c r="R51" s="494">
        <f>S39+T39</f>
        <v>26130.800000000003</v>
      </c>
      <c r="S51" s="494">
        <f t="shared" ref="S51:X51" si="21">U39</f>
        <v>106195.1</v>
      </c>
      <c r="T51" s="494">
        <f t="shared" si="21"/>
        <v>0</v>
      </c>
      <c r="U51" s="494">
        <f t="shared" si="21"/>
        <v>0</v>
      </c>
      <c r="V51" s="494">
        <f t="shared" si="21"/>
        <v>1095863.8</v>
      </c>
      <c r="W51" s="494">
        <f t="shared" si="21"/>
        <v>0</v>
      </c>
      <c r="X51" s="494">
        <f t="shared" si="21"/>
        <v>180298.1</v>
      </c>
    </row>
    <row r="52" spans="6:25" ht="18.95">
      <c r="P52" s="178"/>
      <c r="Q52" s="498">
        <f t="shared" ref="Q52:X52" si="22">Q51/Q$49</f>
        <v>5.9090676645504769E-2</v>
      </c>
      <c r="R52" s="498">
        <f t="shared" si="22"/>
        <v>5.9090676645504769E-2</v>
      </c>
      <c r="S52" s="498">
        <f t="shared" si="22"/>
        <v>1</v>
      </c>
      <c r="T52" s="498">
        <f t="shared" si="22"/>
        <v>0</v>
      </c>
      <c r="U52" s="498">
        <f t="shared" si="22"/>
        <v>0</v>
      </c>
      <c r="V52" s="498">
        <f t="shared" si="22"/>
        <v>1</v>
      </c>
      <c r="W52" s="498">
        <f t="shared" si="22"/>
        <v>0</v>
      </c>
      <c r="X52" s="498">
        <f t="shared" si="22"/>
        <v>0.22425914470765482</v>
      </c>
    </row>
    <row r="53" spans="6:25">
      <c r="P53" s="66" t="s">
        <v>162</v>
      </c>
      <c r="Q53" s="494">
        <f>Q41+R41</f>
        <v>560837.59200000006</v>
      </c>
      <c r="R53" s="494">
        <f>S41+T41</f>
        <v>140209.39800000002</v>
      </c>
      <c r="S53" s="494">
        <f t="shared" ref="S53:X53" si="23">U41</f>
        <v>0</v>
      </c>
      <c r="T53" s="494">
        <f t="shared" si="23"/>
        <v>90834.390000000014</v>
      </c>
      <c r="U53" s="494">
        <f t="shared" si="23"/>
        <v>301765.3</v>
      </c>
      <c r="V53" s="494">
        <f t="shared" si="23"/>
        <v>0</v>
      </c>
      <c r="W53" s="494">
        <f t="shared" si="23"/>
        <v>0</v>
      </c>
      <c r="X53" s="494">
        <f t="shared" si="23"/>
        <v>156781.21999999997</v>
      </c>
    </row>
    <row r="54" spans="6:25" ht="18.95">
      <c r="P54" s="144"/>
      <c r="Q54" s="498">
        <f t="shared" ref="Q54:X54" si="24">Q53/Q$49</f>
        <v>0.31706140645823638</v>
      </c>
      <c r="R54" s="498">
        <f t="shared" si="24"/>
        <v>0.31706140645823638</v>
      </c>
      <c r="S54" s="498">
        <f t="shared" si="24"/>
        <v>0</v>
      </c>
      <c r="T54" s="498">
        <f t="shared" si="24"/>
        <v>0.14441633048923389</v>
      </c>
      <c r="U54" s="498">
        <f t="shared" si="24"/>
        <v>0.49151141339950982</v>
      </c>
      <c r="V54" s="498">
        <f t="shared" si="24"/>
        <v>0</v>
      </c>
      <c r="W54" s="498">
        <f t="shared" si="24"/>
        <v>0</v>
      </c>
      <c r="X54" s="498">
        <f t="shared" si="24"/>
        <v>0.19500827964034373</v>
      </c>
    </row>
    <row r="55" spans="6:25">
      <c r="P55" s="71" t="s">
        <v>163</v>
      </c>
      <c r="Q55" s="494">
        <f>Q43+R43</f>
        <v>675080.08</v>
      </c>
      <c r="R55" s="494">
        <f>S43+T43</f>
        <v>168770.02</v>
      </c>
      <c r="S55" s="494">
        <f t="shared" ref="S55:X55" si="25">U43</f>
        <v>0</v>
      </c>
      <c r="T55" s="494">
        <f t="shared" si="25"/>
        <v>30051.599999999999</v>
      </c>
      <c r="U55" s="494">
        <f t="shared" si="25"/>
        <v>312188.5</v>
      </c>
      <c r="V55" s="494">
        <f t="shared" si="25"/>
        <v>0</v>
      </c>
      <c r="W55" s="494">
        <f t="shared" si="25"/>
        <v>0</v>
      </c>
      <c r="X55" s="494">
        <f t="shared" si="25"/>
        <v>272428.90000000002</v>
      </c>
    </row>
    <row r="56" spans="6:25" ht="18.95">
      <c r="G56" s="188"/>
      <c r="P56" s="144"/>
      <c r="Q56" s="498">
        <f t="shared" ref="Q56:X56" si="26">Q55/Q$49</f>
        <v>0.38164674174825769</v>
      </c>
      <c r="R56" s="498">
        <f t="shared" si="26"/>
        <v>0.38164674174825769</v>
      </c>
      <c r="S56" s="498">
        <f t="shared" si="26"/>
        <v>0</v>
      </c>
      <c r="T56" s="498">
        <f t="shared" si="26"/>
        <v>4.7778619940424101E-2</v>
      </c>
      <c r="U56" s="498">
        <f t="shared" si="26"/>
        <v>0.50848858660049012</v>
      </c>
      <c r="V56" s="498">
        <f t="shared" si="26"/>
        <v>0</v>
      </c>
      <c r="W56" s="498">
        <f t="shared" si="26"/>
        <v>0</v>
      </c>
      <c r="X56" s="498">
        <f t="shared" si="26"/>
        <v>0.33885366572164227</v>
      </c>
    </row>
    <row r="57" spans="6:25">
      <c r="P57" s="66" t="s">
        <v>164</v>
      </c>
      <c r="Q57" s="494">
        <f>Q45+R45</f>
        <v>428420.24000000011</v>
      </c>
      <c r="R57" s="494">
        <f>S45+T45</f>
        <v>107105.06000000001</v>
      </c>
      <c r="S57" s="494">
        <f t="shared" ref="S57:X57" si="27">U45</f>
        <v>0</v>
      </c>
      <c r="T57" s="494">
        <f t="shared" si="27"/>
        <v>508089.89999999997</v>
      </c>
      <c r="U57" s="494">
        <f t="shared" si="27"/>
        <v>0</v>
      </c>
      <c r="V57" s="494">
        <f t="shared" si="27"/>
        <v>0</v>
      </c>
      <c r="W57" s="494">
        <f t="shared" si="27"/>
        <v>257772.5</v>
      </c>
      <c r="X57" s="494">
        <f t="shared" si="27"/>
        <v>194463.90000000002</v>
      </c>
    </row>
    <row r="58" spans="6:25" ht="18.95">
      <c r="Q58" s="498">
        <f t="shared" ref="Q58:X58" si="28">Q57/Q$49</f>
        <v>0.24220117514800113</v>
      </c>
      <c r="R58" s="498">
        <f t="shared" si="28"/>
        <v>0.2422011751480011</v>
      </c>
      <c r="S58" s="498">
        <f t="shared" si="28"/>
        <v>0</v>
      </c>
      <c r="T58" s="498">
        <f t="shared" si="28"/>
        <v>0.80780504957034194</v>
      </c>
      <c r="U58" s="498">
        <f t="shared" si="28"/>
        <v>0</v>
      </c>
      <c r="V58" s="498">
        <f t="shared" si="28"/>
        <v>0</v>
      </c>
      <c r="W58" s="498">
        <f t="shared" si="28"/>
        <v>1</v>
      </c>
      <c r="X58" s="498">
        <f t="shared" si="28"/>
        <v>0.24187890993035935</v>
      </c>
    </row>
    <row r="59" spans="6:25">
      <c r="Q59" s="515">
        <f>SUM(Q52,Q54,Q56,Q58)</f>
        <v>1</v>
      </c>
      <c r="R59" s="515">
        <f t="shared" ref="R59:X59" si="29">SUM(R52,R54,R56,R58)</f>
        <v>1</v>
      </c>
      <c r="S59" s="515">
        <f t="shared" si="29"/>
        <v>1</v>
      </c>
      <c r="T59" s="515">
        <f t="shared" si="29"/>
        <v>0.99999999999999989</v>
      </c>
      <c r="U59" s="515">
        <f t="shared" si="29"/>
        <v>1</v>
      </c>
      <c r="V59" s="515">
        <f t="shared" si="29"/>
        <v>1</v>
      </c>
      <c r="W59" s="515">
        <f t="shared" si="29"/>
        <v>1</v>
      </c>
      <c r="X59" s="515">
        <f t="shared" si="29"/>
        <v>1.0000000000000002</v>
      </c>
    </row>
    <row r="60" spans="6:25">
      <c r="R60" s="69"/>
      <c r="S60" s="145"/>
      <c r="T60" s="145"/>
    </row>
    <row r="61" spans="6:25">
      <c r="W61" s="195"/>
    </row>
    <row r="62" spans="6:25">
      <c r="P62" s="494"/>
      <c r="Q62" s="494"/>
      <c r="R62" s="494"/>
    </row>
    <row r="64" spans="6:25">
      <c r="Q64" s="494"/>
      <c r="R64" s="494"/>
    </row>
    <row r="65" spans="16:18">
      <c r="P65" s="178"/>
      <c r="Q65" s="178"/>
      <c r="R65" s="178"/>
    </row>
    <row r="66" spans="16:18">
      <c r="Q66" s="494"/>
      <c r="R66" s="494"/>
    </row>
    <row r="67" spans="16:18">
      <c r="P67" s="144"/>
      <c r="Q67" s="178"/>
      <c r="R67" s="178"/>
    </row>
    <row r="68" spans="16:18">
      <c r="P68" s="71"/>
      <c r="Q68" s="494"/>
      <c r="R68" s="494"/>
    </row>
    <row r="69" spans="16:18">
      <c r="P69" s="144"/>
      <c r="Q69" s="178"/>
      <c r="R69" s="178"/>
    </row>
    <row r="70" spans="16:18">
      <c r="Q70" s="494"/>
      <c r="R70" s="494"/>
    </row>
    <row r="71" spans="16:18">
      <c r="Q71" s="178"/>
      <c r="R71" s="178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00F88-9A04-4B9F-8A0B-99DD10C4251F}">
  <sheetPr>
    <tabColor rgb="FF7030A0"/>
  </sheetPr>
  <dimension ref="A2:XFD213"/>
  <sheetViews>
    <sheetView topLeftCell="D1" zoomScale="40" zoomScaleNormal="40" workbookViewId="0">
      <selection activeCell="N28" sqref="N28"/>
    </sheetView>
  </sheetViews>
  <sheetFormatPr defaultColWidth="8.7109375" defaultRowHeight="14.1"/>
  <cols>
    <col min="1" max="2" width="8.7109375" style="573"/>
    <col min="3" max="3" width="26.42578125" style="573" bestFit="1" customWidth="1"/>
    <col min="4" max="4" width="29" style="573" bestFit="1" customWidth="1"/>
    <col min="5" max="5" width="39.5703125" style="573" bestFit="1" customWidth="1"/>
    <col min="6" max="6" width="42.5703125" style="573" bestFit="1" customWidth="1"/>
    <col min="7" max="7" width="31" style="573" bestFit="1" customWidth="1"/>
    <col min="8" max="8" width="29" style="573" bestFit="1" customWidth="1"/>
    <col min="9" max="9" width="28.28515625" style="573" bestFit="1" customWidth="1"/>
    <col min="10" max="10" width="39.42578125" style="573" bestFit="1" customWidth="1"/>
    <col min="11" max="11" width="28.28515625" style="573" bestFit="1" customWidth="1"/>
    <col min="12" max="12" width="37.5703125" style="573" bestFit="1" customWidth="1"/>
    <col min="13" max="13" width="8.140625" style="573" bestFit="1" customWidth="1"/>
    <col min="14" max="15" width="8.7109375" style="573"/>
    <col min="16" max="16" width="15.85546875" style="573" bestFit="1" customWidth="1"/>
    <col min="17" max="16384" width="8.7109375" style="573"/>
  </cols>
  <sheetData>
    <row r="2" spans="1:2" s="579" customFormat="1">
      <c r="A2" s="573"/>
      <c r="B2" s="578" t="s">
        <v>40</v>
      </c>
    </row>
    <row r="4" spans="1:2">
      <c r="B4" s="1" t="s">
        <v>246</v>
      </c>
    </row>
    <row r="22" spans="2:2">
      <c r="B22" s="1"/>
    </row>
    <row r="45" spans="2:16384">
      <c r="B45" s="578" t="s">
        <v>264</v>
      </c>
      <c r="C45" s="579"/>
      <c r="D45" s="579"/>
      <c r="E45" s="579"/>
      <c r="F45" s="579"/>
      <c r="G45" s="579"/>
      <c r="H45" s="579"/>
      <c r="I45" s="579"/>
      <c r="J45" s="579"/>
      <c r="K45" s="579"/>
      <c r="L45" s="579"/>
      <c r="M45" s="579"/>
      <c r="N45" s="579"/>
      <c r="O45" s="579"/>
      <c r="P45" s="579"/>
      <c r="Q45" s="579"/>
      <c r="R45" s="579"/>
      <c r="S45" s="579"/>
      <c r="T45" s="579"/>
      <c r="U45" s="579"/>
      <c r="V45" s="579"/>
      <c r="W45" s="579"/>
      <c r="X45" s="579"/>
      <c r="Y45" s="579"/>
      <c r="Z45" s="579"/>
      <c r="AA45" s="579"/>
      <c r="AB45" s="579"/>
      <c r="AC45" s="579"/>
      <c r="AD45" s="579"/>
      <c r="AE45" s="579"/>
      <c r="AF45" s="579"/>
      <c r="AG45" s="579"/>
      <c r="AH45" s="579"/>
      <c r="AI45" s="579"/>
      <c r="AJ45" s="579"/>
      <c r="AK45" s="579"/>
      <c r="AL45" s="579"/>
      <c r="AM45" s="579"/>
      <c r="AN45" s="579"/>
      <c r="AO45" s="579"/>
      <c r="AP45" s="579"/>
      <c r="AQ45" s="579"/>
      <c r="AR45" s="579"/>
      <c r="AS45" s="579"/>
      <c r="AT45" s="579"/>
      <c r="AU45" s="579"/>
      <c r="AV45" s="579"/>
      <c r="AW45" s="579"/>
      <c r="AX45" s="579"/>
      <c r="AY45" s="579"/>
      <c r="AZ45" s="579"/>
      <c r="BA45" s="579"/>
      <c r="BB45" s="579"/>
      <c r="BC45" s="579"/>
      <c r="BD45" s="579"/>
      <c r="BE45" s="579"/>
      <c r="BF45" s="579"/>
      <c r="BG45" s="579"/>
      <c r="BH45" s="579"/>
      <c r="BI45" s="579"/>
      <c r="BJ45" s="579"/>
      <c r="BK45" s="579"/>
      <c r="BL45" s="579"/>
      <c r="BM45" s="579"/>
      <c r="BN45" s="579"/>
      <c r="BO45" s="579"/>
      <c r="BP45" s="579"/>
      <c r="BQ45" s="579"/>
      <c r="BR45" s="579"/>
      <c r="BS45" s="579"/>
      <c r="BT45" s="579"/>
      <c r="BU45" s="579"/>
      <c r="BV45" s="579"/>
      <c r="BW45" s="579"/>
      <c r="BX45" s="579"/>
      <c r="BY45" s="579"/>
      <c r="BZ45" s="579"/>
      <c r="CA45" s="579"/>
      <c r="CB45" s="579"/>
      <c r="CC45" s="579"/>
      <c r="CD45" s="579"/>
      <c r="CE45" s="579"/>
      <c r="CF45" s="579"/>
      <c r="CG45" s="579"/>
      <c r="CH45" s="579"/>
      <c r="CI45" s="579"/>
      <c r="CJ45" s="579"/>
      <c r="CK45" s="579"/>
      <c r="CL45" s="579"/>
      <c r="CM45" s="579"/>
      <c r="CN45" s="579"/>
      <c r="CO45" s="579"/>
      <c r="CP45" s="579"/>
      <c r="CQ45" s="579"/>
      <c r="CR45" s="579"/>
      <c r="CS45" s="579"/>
      <c r="CT45" s="579"/>
      <c r="CU45" s="579"/>
      <c r="CV45" s="579"/>
      <c r="CW45" s="579"/>
      <c r="CX45" s="579"/>
      <c r="CY45" s="579"/>
      <c r="CZ45" s="579"/>
      <c r="DA45" s="579"/>
      <c r="DB45" s="579"/>
      <c r="DC45" s="579"/>
      <c r="DD45" s="579"/>
      <c r="DE45" s="579"/>
      <c r="DF45" s="579"/>
      <c r="DG45" s="579"/>
      <c r="DH45" s="579"/>
      <c r="DI45" s="579"/>
      <c r="DJ45" s="579"/>
      <c r="DK45" s="579"/>
      <c r="DL45" s="579"/>
      <c r="DM45" s="579"/>
      <c r="DN45" s="579"/>
      <c r="DO45" s="579"/>
      <c r="DP45" s="579"/>
      <c r="DQ45" s="579"/>
      <c r="DR45" s="579"/>
      <c r="DS45" s="579"/>
      <c r="DT45" s="579"/>
      <c r="DU45" s="579"/>
      <c r="DV45" s="579"/>
      <c r="DW45" s="579"/>
      <c r="DX45" s="579"/>
      <c r="DY45" s="579"/>
      <c r="DZ45" s="579"/>
      <c r="EA45" s="579"/>
      <c r="EB45" s="579"/>
      <c r="EC45" s="579"/>
      <c r="ED45" s="579"/>
      <c r="EE45" s="579"/>
      <c r="EF45" s="579"/>
      <c r="EG45" s="579"/>
      <c r="EH45" s="579"/>
      <c r="EI45" s="579"/>
      <c r="EJ45" s="579"/>
      <c r="EK45" s="579"/>
      <c r="EL45" s="579"/>
      <c r="EM45" s="579"/>
      <c r="EN45" s="579"/>
      <c r="EO45" s="579"/>
      <c r="EP45" s="579"/>
      <c r="EQ45" s="579"/>
      <c r="ER45" s="579"/>
      <c r="ES45" s="579"/>
      <c r="ET45" s="579"/>
      <c r="EU45" s="579"/>
      <c r="EV45" s="579"/>
      <c r="EW45" s="579"/>
      <c r="EX45" s="579"/>
      <c r="EY45" s="579"/>
      <c r="EZ45" s="579"/>
      <c r="FA45" s="579"/>
      <c r="FB45" s="579"/>
      <c r="FC45" s="579"/>
      <c r="FD45" s="579"/>
      <c r="FE45" s="579"/>
      <c r="FF45" s="579"/>
      <c r="FG45" s="579"/>
      <c r="FH45" s="579"/>
      <c r="FI45" s="579"/>
      <c r="FJ45" s="579"/>
      <c r="FK45" s="579"/>
      <c r="FL45" s="579"/>
      <c r="FM45" s="579"/>
      <c r="FN45" s="579"/>
      <c r="FO45" s="579"/>
      <c r="FP45" s="579"/>
      <c r="FQ45" s="579"/>
      <c r="FR45" s="579"/>
      <c r="FS45" s="579"/>
      <c r="FT45" s="579"/>
      <c r="FU45" s="579"/>
      <c r="FV45" s="579"/>
      <c r="FW45" s="579"/>
      <c r="FX45" s="579"/>
      <c r="FY45" s="579"/>
      <c r="FZ45" s="579"/>
      <c r="GA45" s="579"/>
      <c r="GB45" s="579"/>
      <c r="GC45" s="579"/>
      <c r="GD45" s="579"/>
      <c r="GE45" s="579"/>
      <c r="GF45" s="579"/>
      <c r="GG45" s="579"/>
      <c r="GH45" s="579"/>
      <c r="GI45" s="579"/>
      <c r="GJ45" s="579"/>
      <c r="GK45" s="579"/>
      <c r="GL45" s="579"/>
      <c r="GM45" s="579"/>
      <c r="GN45" s="579"/>
      <c r="GO45" s="579"/>
      <c r="GP45" s="579"/>
      <c r="GQ45" s="579"/>
      <c r="GR45" s="579"/>
      <c r="GS45" s="579"/>
      <c r="GT45" s="579"/>
      <c r="GU45" s="579"/>
      <c r="GV45" s="579"/>
      <c r="GW45" s="579"/>
      <c r="GX45" s="579"/>
      <c r="GY45" s="579"/>
      <c r="GZ45" s="579"/>
      <c r="HA45" s="579"/>
      <c r="HB45" s="579"/>
      <c r="HC45" s="579"/>
      <c r="HD45" s="579"/>
      <c r="HE45" s="579"/>
      <c r="HF45" s="579"/>
      <c r="HG45" s="579"/>
      <c r="HH45" s="579"/>
      <c r="HI45" s="579"/>
      <c r="HJ45" s="579"/>
      <c r="HK45" s="579"/>
      <c r="HL45" s="579"/>
      <c r="HM45" s="579"/>
      <c r="HN45" s="579"/>
      <c r="HO45" s="579"/>
      <c r="HP45" s="579"/>
      <c r="HQ45" s="579"/>
      <c r="HR45" s="579"/>
      <c r="HS45" s="579"/>
      <c r="HT45" s="579"/>
      <c r="HU45" s="579"/>
      <c r="HV45" s="579"/>
      <c r="HW45" s="579"/>
      <c r="HX45" s="579"/>
      <c r="HY45" s="579"/>
      <c r="HZ45" s="579"/>
      <c r="IA45" s="579"/>
      <c r="IB45" s="579"/>
      <c r="IC45" s="579"/>
      <c r="ID45" s="579"/>
      <c r="IE45" s="579"/>
      <c r="IF45" s="579"/>
      <c r="IG45" s="579"/>
      <c r="IH45" s="579"/>
      <c r="II45" s="579"/>
      <c r="IJ45" s="579"/>
      <c r="IK45" s="579"/>
      <c r="IL45" s="579"/>
      <c r="IM45" s="579"/>
      <c r="IN45" s="579"/>
      <c r="IO45" s="579"/>
      <c r="IP45" s="579"/>
      <c r="IQ45" s="579"/>
      <c r="IR45" s="579"/>
      <c r="IS45" s="579"/>
      <c r="IT45" s="579"/>
      <c r="IU45" s="579"/>
      <c r="IV45" s="579"/>
      <c r="IW45" s="579"/>
      <c r="IX45" s="579"/>
      <c r="IY45" s="579"/>
      <c r="IZ45" s="579"/>
      <c r="JA45" s="579"/>
      <c r="JB45" s="579"/>
      <c r="JC45" s="579"/>
      <c r="JD45" s="579"/>
      <c r="JE45" s="579"/>
      <c r="JF45" s="579"/>
      <c r="JG45" s="579"/>
      <c r="JH45" s="579"/>
      <c r="JI45" s="579"/>
      <c r="JJ45" s="579"/>
      <c r="JK45" s="579"/>
      <c r="JL45" s="579"/>
      <c r="JM45" s="579"/>
      <c r="JN45" s="579"/>
      <c r="JO45" s="579"/>
      <c r="JP45" s="579"/>
      <c r="JQ45" s="579"/>
      <c r="JR45" s="579"/>
      <c r="JS45" s="579"/>
      <c r="JT45" s="579"/>
      <c r="JU45" s="579"/>
      <c r="JV45" s="579"/>
      <c r="JW45" s="579"/>
      <c r="JX45" s="579"/>
      <c r="JY45" s="579"/>
      <c r="JZ45" s="579"/>
      <c r="KA45" s="579"/>
      <c r="KB45" s="579"/>
      <c r="KC45" s="579"/>
      <c r="KD45" s="579"/>
      <c r="KE45" s="579"/>
      <c r="KF45" s="579"/>
      <c r="KG45" s="579"/>
      <c r="KH45" s="579"/>
      <c r="KI45" s="579"/>
      <c r="KJ45" s="579"/>
      <c r="KK45" s="579"/>
      <c r="KL45" s="579"/>
      <c r="KM45" s="579"/>
      <c r="KN45" s="579"/>
      <c r="KO45" s="579"/>
      <c r="KP45" s="579"/>
      <c r="KQ45" s="579"/>
      <c r="KR45" s="579"/>
      <c r="KS45" s="579"/>
      <c r="KT45" s="579"/>
      <c r="KU45" s="579"/>
      <c r="KV45" s="579"/>
      <c r="KW45" s="579"/>
      <c r="KX45" s="579"/>
      <c r="KY45" s="579"/>
      <c r="KZ45" s="579"/>
      <c r="LA45" s="579"/>
      <c r="LB45" s="579"/>
      <c r="LC45" s="579"/>
      <c r="LD45" s="579"/>
      <c r="LE45" s="579"/>
      <c r="LF45" s="579"/>
      <c r="LG45" s="579"/>
      <c r="LH45" s="579"/>
      <c r="LI45" s="579"/>
      <c r="LJ45" s="579"/>
      <c r="LK45" s="579"/>
      <c r="LL45" s="579"/>
      <c r="LM45" s="579"/>
      <c r="LN45" s="579"/>
      <c r="LO45" s="579"/>
      <c r="LP45" s="579"/>
      <c r="LQ45" s="579"/>
      <c r="LR45" s="579"/>
      <c r="LS45" s="579"/>
      <c r="LT45" s="579"/>
      <c r="LU45" s="579"/>
      <c r="LV45" s="579"/>
      <c r="LW45" s="579"/>
      <c r="LX45" s="579"/>
      <c r="LY45" s="579"/>
      <c r="LZ45" s="579"/>
      <c r="MA45" s="579"/>
      <c r="MB45" s="579"/>
      <c r="MC45" s="579"/>
      <c r="MD45" s="579"/>
      <c r="ME45" s="579"/>
      <c r="MF45" s="579"/>
      <c r="MG45" s="579"/>
      <c r="MH45" s="579"/>
      <c r="MI45" s="579"/>
      <c r="MJ45" s="579"/>
      <c r="MK45" s="579"/>
      <c r="ML45" s="579"/>
      <c r="MM45" s="579"/>
      <c r="MN45" s="579"/>
      <c r="MO45" s="579"/>
      <c r="MP45" s="579"/>
      <c r="MQ45" s="579"/>
      <c r="MR45" s="579"/>
      <c r="MS45" s="579"/>
      <c r="MT45" s="579"/>
      <c r="MU45" s="579"/>
      <c r="MV45" s="579"/>
      <c r="MW45" s="579"/>
      <c r="MX45" s="579"/>
      <c r="MY45" s="579"/>
      <c r="MZ45" s="579"/>
      <c r="NA45" s="579"/>
      <c r="NB45" s="579"/>
      <c r="NC45" s="579"/>
      <c r="ND45" s="579"/>
      <c r="NE45" s="579"/>
      <c r="NF45" s="579"/>
      <c r="NG45" s="579"/>
      <c r="NH45" s="579"/>
      <c r="NI45" s="579"/>
      <c r="NJ45" s="579"/>
      <c r="NK45" s="579"/>
      <c r="NL45" s="579"/>
      <c r="NM45" s="579"/>
      <c r="NN45" s="579"/>
      <c r="NO45" s="579"/>
      <c r="NP45" s="579"/>
      <c r="NQ45" s="579"/>
      <c r="NR45" s="579"/>
      <c r="NS45" s="579"/>
      <c r="NT45" s="579"/>
      <c r="NU45" s="579"/>
      <c r="NV45" s="579"/>
      <c r="NW45" s="579"/>
      <c r="NX45" s="579"/>
      <c r="NY45" s="579"/>
      <c r="NZ45" s="579"/>
      <c r="OA45" s="579"/>
      <c r="OB45" s="579"/>
      <c r="OC45" s="579"/>
      <c r="OD45" s="579"/>
      <c r="OE45" s="579"/>
      <c r="OF45" s="579"/>
      <c r="OG45" s="579"/>
      <c r="OH45" s="579"/>
      <c r="OI45" s="579"/>
      <c r="OJ45" s="579"/>
      <c r="OK45" s="579"/>
      <c r="OL45" s="579"/>
      <c r="OM45" s="579"/>
      <c r="ON45" s="579"/>
      <c r="OO45" s="579"/>
      <c r="OP45" s="579"/>
      <c r="OQ45" s="579"/>
      <c r="OR45" s="579"/>
      <c r="OS45" s="579"/>
      <c r="OT45" s="579"/>
      <c r="OU45" s="579"/>
      <c r="OV45" s="579"/>
      <c r="OW45" s="579"/>
      <c r="OX45" s="579"/>
      <c r="OY45" s="579"/>
      <c r="OZ45" s="579"/>
      <c r="PA45" s="579"/>
      <c r="PB45" s="579"/>
      <c r="PC45" s="579"/>
      <c r="PD45" s="579"/>
      <c r="PE45" s="579"/>
      <c r="PF45" s="579"/>
      <c r="PG45" s="579"/>
      <c r="PH45" s="579"/>
      <c r="PI45" s="579"/>
      <c r="PJ45" s="579"/>
      <c r="PK45" s="579"/>
      <c r="PL45" s="579"/>
      <c r="PM45" s="579"/>
      <c r="PN45" s="579"/>
      <c r="PO45" s="579"/>
      <c r="PP45" s="579"/>
      <c r="PQ45" s="579"/>
      <c r="PR45" s="579"/>
      <c r="PS45" s="579"/>
      <c r="PT45" s="579"/>
      <c r="PU45" s="579"/>
      <c r="PV45" s="579"/>
      <c r="PW45" s="579"/>
      <c r="PX45" s="579"/>
      <c r="PY45" s="579"/>
      <c r="PZ45" s="579"/>
      <c r="QA45" s="579"/>
      <c r="QB45" s="579"/>
      <c r="QC45" s="579"/>
      <c r="QD45" s="579"/>
      <c r="QE45" s="579"/>
      <c r="QF45" s="579"/>
      <c r="QG45" s="579"/>
      <c r="QH45" s="579"/>
      <c r="QI45" s="579"/>
      <c r="QJ45" s="579"/>
      <c r="QK45" s="579"/>
      <c r="QL45" s="579"/>
      <c r="QM45" s="579"/>
      <c r="QN45" s="579"/>
      <c r="QO45" s="579"/>
      <c r="QP45" s="579"/>
      <c r="QQ45" s="579"/>
      <c r="QR45" s="579"/>
      <c r="QS45" s="579"/>
      <c r="QT45" s="579"/>
      <c r="QU45" s="579"/>
      <c r="QV45" s="579"/>
      <c r="QW45" s="579"/>
      <c r="QX45" s="579"/>
      <c r="QY45" s="579"/>
      <c r="QZ45" s="579"/>
      <c r="RA45" s="579"/>
      <c r="RB45" s="579"/>
      <c r="RC45" s="579"/>
      <c r="RD45" s="579"/>
      <c r="RE45" s="579"/>
      <c r="RF45" s="579"/>
      <c r="RG45" s="579"/>
      <c r="RH45" s="579"/>
      <c r="RI45" s="579"/>
      <c r="RJ45" s="579"/>
      <c r="RK45" s="579"/>
      <c r="RL45" s="579"/>
      <c r="RM45" s="579"/>
      <c r="RN45" s="579"/>
      <c r="RO45" s="579"/>
      <c r="RP45" s="579"/>
      <c r="RQ45" s="579"/>
      <c r="RR45" s="579"/>
      <c r="RS45" s="579"/>
      <c r="RT45" s="579"/>
      <c r="RU45" s="579"/>
      <c r="RV45" s="579"/>
      <c r="RW45" s="579"/>
      <c r="RX45" s="579"/>
      <c r="RY45" s="579"/>
      <c r="RZ45" s="579"/>
      <c r="SA45" s="579"/>
      <c r="SB45" s="579"/>
      <c r="SC45" s="579"/>
      <c r="SD45" s="579"/>
      <c r="SE45" s="579"/>
      <c r="SF45" s="579"/>
      <c r="SG45" s="579"/>
      <c r="SH45" s="579"/>
      <c r="SI45" s="579"/>
      <c r="SJ45" s="579"/>
      <c r="SK45" s="579"/>
      <c r="SL45" s="579"/>
      <c r="SM45" s="579"/>
      <c r="SN45" s="579"/>
      <c r="SO45" s="579"/>
      <c r="SP45" s="579"/>
      <c r="SQ45" s="579"/>
      <c r="SR45" s="579"/>
      <c r="SS45" s="579"/>
      <c r="ST45" s="579"/>
      <c r="SU45" s="579"/>
      <c r="SV45" s="579"/>
      <c r="SW45" s="579"/>
      <c r="SX45" s="579"/>
      <c r="SY45" s="579"/>
      <c r="SZ45" s="579"/>
      <c r="TA45" s="579"/>
      <c r="TB45" s="579"/>
      <c r="TC45" s="579"/>
      <c r="TD45" s="579"/>
      <c r="TE45" s="579"/>
      <c r="TF45" s="579"/>
      <c r="TG45" s="579"/>
      <c r="TH45" s="579"/>
      <c r="TI45" s="579"/>
      <c r="TJ45" s="579"/>
      <c r="TK45" s="579"/>
      <c r="TL45" s="579"/>
      <c r="TM45" s="579"/>
      <c r="TN45" s="579"/>
      <c r="TO45" s="579"/>
      <c r="TP45" s="579"/>
      <c r="TQ45" s="579"/>
      <c r="TR45" s="579"/>
      <c r="TS45" s="579"/>
      <c r="TT45" s="579"/>
      <c r="TU45" s="579"/>
      <c r="TV45" s="579"/>
      <c r="TW45" s="579"/>
      <c r="TX45" s="579"/>
      <c r="TY45" s="579"/>
      <c r="TZ45" s="579"/>
      <c r="UA45" s="579"/>
      <c r="UB45" s="579"/>
      <c r="UC45" s="579"/>
      <c r="UD45" s="579"/>
      <c r="UE45" s="579"/>
      <c r="UF45" s="579"/>
      <c r="UG45" s="579"/>
      <c r="UH45" s="579"/>
      <c r="UI45" s="579"/>
      <c r="UJ45" s="579"/>
      <c r="UK45" s="579"/>
      <c r="UL45" s="579"/>
      <c r="UM45" s="579"/>
      <c r="UN45" s="579"/>
      <c r="UO45" s="579"/>
      <c r="UP45" s="579"/>
      <c r="UQ45" s="579"/>
      <c r="UR45" s="579"/>
      <c r="US45" s="579"/>
      <c r="UT45" s="579"/>
      <c r="UU45" s="579"/>
      <c r="UV45" s="579"/>
      <c r="UW45" s="579"/>
      <c r="UX45" s="579"/>
      <c r="UY45" s="579"/>
      <c r="UZ45" s="579"/>
      <c r="VA45" s="579"/>
      <c r="VB45" s="579"/>
      <c r="VC45" s="579"/>
      <c r="VD45" s="579"/>
      <c r="VE45" s="579"/>
      <c r="VF45" s="579"/>
      <c r="VG45" s="579"/>
      <c r="VH45" s="579"/>
      <c r="VI45" s="579"/>
      <c r="VJ45" s="579"/>
      <c r="VK45" s="579"/>
      <c r="VL45" s="579"/>
      <c r="VM45" s="579"/>
      <c r="VN45" s="579"/>
      <c r="VO45" s="579"/>
      <c r="VP45" s="579"/>
      <c r="VQ45" s="579"/>
      <c r="VR45" s="579"/>
      <c r="VS45" s="579"/>
      <c r="VT45" s="579"/>
      <c r="VU45" s="579"/>
      <c r="VV45" s="579"/>
      <c r="VW45" s="579"/>
      <c r="VX45" s="579"/>
      <c r="VY45" s="579"/>
      <c r="VZ45" s="579"/>
      <c r="WA45" s="579"/>
      <c r="WB45" s="579"/>
      <c r="WC45" s="579"/>
      <c r="WD45" s="579"/>
      <c r="WE45" s="579"/>
      <c r="WF45" s="579"/>
      <c r="WG45" s="579"/>
      <c r="WH45" s="579"/>
      <c r="WI45" s="579"/>
      <c r="WJ45" s="579"/>
      <c r="WK45" s="579"/>
      <c r="WL45" s="579"/>
      <c r="WM45" s="579"/>
      <c r="WN45" s="579"/>
      <c r="WO45" s="579"/>
      <c r="WP45" s="579"/>
      <c r="WQ45" s="579"/>
      <c r="WR45" s="579"/>
      <c r="WS45" s="579"/>
      <c r="WT45" s="579"/>
      <c r="WU45" s="579"/>
      <c r="WV45" s="579"/>
      <c r="WW45" s="579"/>
      <c r="WX45" s="579"/>
      <c r="WY45" s="579"/>
      <c r="WZ45" s="579"/>
      <c r="XA45" s="579"/>
      <c r="XB45" s="579"/>
      <c r="XC45" s="579"/>
      <c r="XD45" s="579"/>
      <c r="XE45" s="579"/>
      <c r="XF45" s="579"/>
      <c r="XG45" s="579"/>
      <c r="XH45" s="579"/>
      <c r="XI45" s="579"/>
      <c r="XJ45" s="579"/>
      <c r="XK45" s="579"/>
      <c r="XL45" s="579"/>
      <c r="XM45" s="579"/>
      <c r="XN45" s="579"/>
      <c r="XO45" s="579"/>
      <c r="XP45" s="579"/>
      <c r="XQ45" s="579"/>
      <c r="XR45" s="579"/>
      <c r="XS45" s="579"/>
      <c r="XT45" s="579"/>
      <c r="XU45" s="579"/>
      <c r="XV45" s="579"/>
      <c r="XW45" s="579"/>
      <c r="XX45" s="579"/>
      <c r="XY45" s="579"/>
      <c r="XZ45" s="579"/>
      <c r="YA45" s="579"/>
      <c r="YB45" s="579"/>
      <c r="YC45" s="579"/>
      <c r="YD45" s="579"/>
      <c r="YE45" s="579"/>
      <c r="YF45" s="579"/>
      <c r="YG45" s="579"/>
      <c r="YH45" s="579"/>
      <c r="YI45" s="579"/>
      <c r="YJ45" s="579"/>
      <c r="YK45" s="579"/>
      <c r="YL45" s="579"/>
      <c r="YM45" s="579"/>
      <c r="YN45" s="579"/>
      <c r="YO45" s="579"/>
      <c r="YP45" s="579"/>
      <c r="YQ45" s="579"/>
      <c r="YR45" s="579"/>
      <c r="YS45" s="579"/>
      <c r="YT45" s="579"/>
      <c r="YU45" s="579"/>
      <c r="YV45" s="579"/>
      <c r="YW45" s="579"/>
      <c r="YX45" s="579"/>
      <c r="YY45" s="579"/>
      <c r="YZ45" s="579"/>
      <c r="ZA45" s="579"/>
      <c r="ZB45" s="579"/>
      <c r="ZC45" s="579"/>
      <c r="ZD45" s="579"/>
      <c r="ZE45" s="579"/>
      <c r="ZF45" s="579"/>
      <c r="ZG45" s="579"/>
      <c r="ZH45" s="579"/>
      <c r="ZI45" s="579"/>
      <c r="ZJ45" s="579"/>
      <c r="ZK45" s="579"/>
      <c r="ZL45" s="579"/>
      <c r="ZM45" s="579"/>
      <c r="ZN45" s="579"/>
      <c r="ZO45" s="579"/>
      <c r="ZP45" s="579"/>
      <c r="ZQ45" s="579"/>
      <c r="ZR45" s="579"/>
      <c r="ZS45" s="579"/>
      <c r="ZT45" s="579"/>
      <c r="ZU45" s="579"/>
      <c r="ZV45" s="579"/>
      <c r="ZW45" s="579"/>
      <c r="ZX45" s="579"/>
      <c r="ZY45" s="579"/>
      <c r="ZZ45" s="579"/>
      <c r="AAA45" s="579"/>
      <c r="AAB45" s="579"/>
      <c r="AAC45" s="579"/>
      <c r="AAD45" s="579"/>
      <c r="AAE45" s="579"/>
      <c r="AAF45" s="579"/>
      <c r="AAG45" s="579"/>
      <c r="AAH45" s="579"/>
      <c r="AAI45" s="579"/>
      <c r="AAJ45" s="579"/>
      <c r="AAK45" s="579"/>
      <c r="AAL45" s="579"/>
      <c r="AAM45" s="579"/>
      <c r="AAN45" s="579"/>
      <c r="AAO45" s="579"/>
      <c r="AAP45" s="579"/>
      <c r="AAQ45" s="579"/>
      <c r="AAR45" s="579"/>
      <c r="AAS45" s="579"/>
      <c r="AAT45" s="579"/>
      <c r="AAU45" s="579"/>
      <c r="AAV45" s="579"/>
      <c r="AAW45" s="579"/>
      <c r="AAX45" s="579"/>
      <c r="AAY45" s="579"/>
      <c r="AAZ45" s="579"/>
      <c r="ABA45" s="579"/>
      <c r="ABB45" s="579"/>
      <c r="ABC45" s="579"/>
      <c r="ABD45" s="579"/>
      <c r="ABE45" s="579"/>
      <c r="ABF45" s="579"/>
      <c r="ABG45" s="579"/>
      <c r="ABH45" s="579"/>
      <c r="ABI45" s="579"/>
      <c r="ABJ45" s="579"/>
      <c r="ABK45" s="579"/>
      <c r="ABL45" s="579"/>
      <c r="ABM45" s="579"/>
      <c r="ABN45" s="579"/>
      <c r="ABO45" s="579"/>
      <c r="ABP45" s="579"/>
      <c r="ABQ45" s="579"/>
      <c r="ABR45" s="579"/>
      <c r="ABS45" s="579"/>
      <c r="ABT45" s="579"/>
      <c r="ABU45" s="579"/>
      <c r="ABV45" s="579"/>
      <c r="ABW45" s="579"/>
      <c r="ABX45" s="579"/>
      <c r="ABY45" s="579"/>
      <c r="ABZ45" s="579"/>
      <c r="ACA45" s="579"/>
      <c r="ACB45" s="579"/>
      <c r="ACC45" s="579"/>
      <c r="ACD45" s="579"/>
      <c r="ACE45" s="579"/>
      <c r="ACF45" s="579"/>
      <c r="ACG45" s="579"/>
      <c r="ACH45" s="579"/>
      <c r="ACI45" s="579"/>
      <c r="ACJ45" s="579"/>
      <c r="ACK45" s="579"/>
      <c r="ACL45" s="579"/>
      <c r="ACM45" s="579"/>
      <c r="ACN45" s="579"/>
      <c r="ACO45" s="579"/>
      <c r="ACP45" s="579"/>
      <c r="ACQ45" s="579"/>
      <c r="ACR45" s="579"/>
      <c r="ACS45" s="579"/>
      <c r="ACT45" s="579"/>
      <c r="ACU45" s="579"/>
      <c r="ACV45" s="579"/>
      <c r="ACW45" s="579"/>
      <c r="ACX45" s="579"/>
      <c r="ACY45" s="579"/>
      <c r="ACZ45" s="579"/>
      <c r="ADA45" s="579"/>
      <c r="ADB45" s="579"/>
      <c r="ADC45" s="579"/>
      <c r="ADD45" s="579"/>
      <c r="ADE45" s="579"/>
      <c r="ADF45" s="579"/>
      <c r="ADG45" s="579"/>
      <c r="ADH45" s="579"/>
      <c r="ADI45" s="579"/>
      <c r="ADJ45" s="579"/>
      <c r="ADK45" s="579"/>
      <c r="ADL45" s="579"/>
      <c r="ADM45" s="579"/>
      <c r="ADN45" s="579"/>
      <c r="ADO45" s="579"/>
      <c r="ADP45" s="579"/>
      <c r="ADQ45" s="579"/>
      <c r="ADR45" s="579"/>
      <c r="ADS45" s="579"/>
      <c r="ADT45" s="579"/>
      <c r="ADU45" s="579"/>
      <c r="ADV45" s="579"/>
      <c r="ADW45" s="579"/>
      <c r="ADX45" s="579"/>
      <c r="ADY45" s="579"/>
      <c r="ADZ45" s="579"/>
      <c r="AEA45" s="579"/>
      <c r="AEB45" s="579"/>
      <c r="AEC45" s="579"/>
      <c r="AED45" s="579"/>
      <c r="AEE45" s="579"/>
      <c r="AEF45" s="579"/>
      <c r="AEG45" s="579"/>
      <c r="AEH45" s="579"/>
      <c r="AEI45" s="579"/>
      <c r="AEJ45" s="579"/>
      <c r="AEK45" s="579"/>
      <c r="AEL45" s="579"/>
      <c r="AEM45" s="579"/>
      <c r="AEN45" s="579"/>
      <c r="AEO45" s="579"/>
      <c r="AEP45" s="579"/>
      <c r="AEQ45" s="579"/>
      <c r="AER45" s="579"/>
      <c r="AES45" s="579"/>
      <c r="AET45" s="579"/>
      <c r="AEU45" s="579"/>
      <c r="AEV45" s="579"/>
      <c r="AEW45" s="579"/>
      <c r="AEX45" s="579"/>
      <c r="AEY45" s="579"/>
      <c r="AEZ45" s="579"/>
      <c r="AFA45" s="579"/>
      <c r="AFB45" s="579"/>
      <c r="AFC45" s="579"/>
      <c r="AFD45" s="579"/>
      <c r="AFE45" s="579"/>
      <c r="AFF45" s="579"/>
      <c r="AFG45" s="579"/>
      <c r="AFH45" s="579"/>
      <c r="AFI45" s="579"/>
      <c r="AFJ45" s="579"/>
      <c r="AFK45" s="579"/>
      <c r="AFL45" s="579"/>
      <c r="AFM45" s="579"/>
      <c r="AFN45" s="579"/>
      <c r="AFO45" s="579"/>
      <c r="AFP45" s="579"/>
      <c r="AFQ45" s="579"/>
      <c r="AFR45" s="579"/>
      <c r="AFS45" s="579"/>
      <c r="AFT45" s="579"/>
      <c r="AFU45" s="579"/>
      <c r="AFV45" s="579"/>
      <c r="AFW45" s="579"/>
      <c r="AFX45" s="579"/>
      <c r="AFY45" s="579"/>
      <c r="AFZ45" s="579"/>
      <c r="AGA45" s="579"/>
      <c r="AGB45" s="579"/>
      <c r="AGC45" s="579"/>
      <c r="AGD45" s="579"/>
      <c r="AGE45" s="579"/>
      <c r="AGF45" s="579"/>
      <c r="AGG45" s="579"/>
      <c r="AGH45" s="579"/>
      <c r="AGI45" s="579"/>
      <c r="AGJ45" s="579"/>
      <c r="AGK45" s="579"/>
      <c r="AGL45" s="579"/>
      <c r="AGM45" s="579"/>
      <c r="AGN45" s="579"/>
      <c r="AGO45" s="579"/>
      <c r="AGP45" s="579"/>
      <c r="AGQ45" s="579"/>
      <c r="AGR45" s="579"/>
      <c r="AGS45" s="579"/>
      <c r="AGT45" s="579"/>
      <c r="AGU45" s="579"/>
      <c r="AGV45" s="579"/>
      <c r="AGW45" s="579"/>
      <c r="AGX45" s="579"/>
      <c r="AGY45" s="579"/>
      <c r="AGZ45" s="579"/>
      <c r="AHA45" s="579"/>
      <c r="AHB45" s="579"/>
      <c r="AHC45" s="579"/>
      <c r="AHD45" s="579"/>
      <c r="AHE45" s="579"/>
      <c r="AHF45" s="579"/>
      <c r="AHG45" s="579"/>
      <c r="AHH45" s="579"/>
      <c r="AHI45" s="579"/>
      <c r="AHJ45" s="579"/>
      <c r="AHK45" s="579"/>
      <c r="AHL45" s="579"/>
      <c r="AHM45" s="579"/>
      <c r="AHN45" s="579"/>
      <c r="AHO45" s="579"/>
      <c r="AHP45" s="579"/>
      <c r="AHQ45" s="579"/>
      <c r="AHR45" s="579"/>
      <c r="AHS45" s="579"/>
      <c r="AHT45" s="579"/>
      <c r="AHU45" s="579"/>
      <c r="AHV45" s="579"/>
      <c r="AHW45" s="579"/>
      <c r="AHX45" s="579"/>
      <c r="AHY45" s="579"/>
      <c r="AHZ45" s="579"/>
      <c r="AIA45" s="579"/>
      <c r="AIB45" s="579"/>
      <c r="AIC45" s="579"/>
      <c r="AID45" s="579"/>
      <c r="AIE45" s="579"/>
      <c r="AIF45" s="579"/>
      <c r="AIG45" s="579"/>
      <c r="AIH45" s="579"/>
      <c r="AII45" s="579"/>
      <c r="AIJ45" s="579"/>
      <c r="AIK45" s="579"/>
      <c r="AIL45" s="579"/>
      <c r="AIM45" s="579"/>
      <c r="AIN45" s="579"/>
      <c r="AIO45" s="579"/>
      <c r="AIP45" s="579"/>
      <c r="AIQ45" s="579"/>
      <c r="AIR45" s="579"/>
      <c r="AIS45" s="579"/>
      <c r="AIT45" s="579"/>
      <c r="AIU45" s="579"/>
      <c r="AIV45" s="579"/>
      <c r="AIW45" s="579"/>
      <c r="AIX45" s="579"/>
      <c r="AIY45" s="579"/>
      <c r="AIZ45" s="579"/>
      <c r="AJA45" s="579"/>
      <c r="AJB45" s="579"/>
      <c r="AJC45" s="579"/>
      <c r="AJD45" s="579"/>
      <c r="AJE45" s="579"/>
      <c r="AJF45" s="579"/>
      <c r="AJG45" s="579"/>
      <c r="AJH45" s="579"/>
      <c r="AJI45" s="579"/>
      <c r="AJJ45" s="579"/>
      <c r="AJK45" s="579"/>
      <c r="AJL45" s="579"/>
      <c r="AJM45" s="579"/>
      <c r="AJN45" s="579"/>
      <c r="AJO45" s="579"/>
      <c r="AJP45" s="579"/>
      <c r="AJQ45" s="579"/>
      <c r="AJR45" s="579"/>
      <c r="AJS45" s="579"/>
      <c r="AJT45" s="579"/>
      <c r="AJU45" s="579"/>
      <c r="AJV45" s="579"/>
      <c r="AJW45" s="579"/>
      <c r="AJX45" s="579"/>
      <c r="AJY45" s="579"/>
      <c r="AJZ45" s="579"/>
      <c r="AKA45" s="579"/>
      <c r="AKB45" s="579"/>
      <c r="AKC45" s="579"/>
      <c r="AKD45" s="579"/>
      <c r="AKE45" s="579"/>
      <c r="AKF45" s="579"/>
      <c r="AKG45" s="579"/>
      <c r="AKH45" s="579"/>
      <c r="AKI45" s="579"/>
      <c r="AKJ45" s="579"/>
      <c r="AKK45" s="579"/>
      <c r="AKL45" s="579"/>
      <c r="AKM45" s="579"/>
      <c r="AKN45" s="579"/>
      <c r="AKO45" s="579"/>
      <c r="AKP45" s="579"/>
      <c r="AKQ45" s="579"/>
      <c r="AKR45" s="579"/>
      <c r="AKS45" s="579"/>
      <c r="AKT45" s="579"/>
      <c r="AKU45" s="579"/>
      <c r="AKV45" s="579"/>
      <c r="AKW45" s="579"/>
      <c r="AKX45" s="579"/>
      <c r="AKY45" s="579"/>
      <c r="AKZ45" s="579"/>
      <c r="ALA45" s="579"/>
      <c r="ALB45" s="579"/>
      <c r="ALC45" s="579"/>
      <c r="ALD45" s="579"/>
      <c r="ALE45" s="579"/>
      <c r="ALF45" s="579"/>
      <c r="ALG45" s="579"/>
      <c r="ALH45" s="579"/>
      <c r="ALI45" s="579"/>
      <c r="ALJ45" s="579"/>
      <c r="ALK45" s="579"/>
      <c r="ALL45" s="579"/>
      <c r="ALM45" s="579"/>
      <c r="ALN45" s="579"/>
      <c r="ALO45" s="579"/>
      <c r="ALP45" s="579"/>
      <c r="ALQ45" s="579"/>
      <c r="ALR45" s="579"/>
      <c r="ALS45" s="579"/>
      <c r="ALT45" s="579"/>
      <c r="ALU45" s="579"/>
      <c r="ALV45" s="579"/>
      <c r="ALW45" s="579"/>
      <c r="ALX45" s="579"/>
      <c r="ALY45" s="579"/>
      <c r="ALZ45" s="579"/>
      <c r="AMA45" s="579"/>
      <c r="AMB45" s="579"/>
      <c r="AMC45" s="579"/>
      <c r="AMD45" s="579"/>
      <c r="AME45" s="579"/>
      <c r="AMF45" s="579"/>
      <c r="AMG45" s="579"/>
      <c r="AMH45" s="579"/>
      <c r="AMI45" s="579"/>
      <c r="AMJ45" s="579"/>
      <c r="AMK45" s="579"/>
      <c r="AML45" s="579"/>
      <c r="AMM45" s="579"/>
      <c r="AMN45" s="579"/>
      <c r="AMO45" s="579"/>
      <c r="AMP45" s="579"/>
      <c r="AMQ45" s="579"/>
      <c r="AMR45" s="579"/>
      <c r="AMS45" s="579"/>
      <c r="AMT45" s="579"/>
      <c r="AMU45" s="579"/>
      <c r="AMV45" s="579"/>
      <c r="AMW45" s="579"/>
      <c r="AMX45" s="579"/>
      <c r="AMY45" s="579"/>
      <c r="AMZ45" s="579"/>
      <c r="ANA45" s="579"/>
      <c r="ANB45" s="579"/>
      <c r="ANC45" s="579"/>
      <c r="AND45" s="579"/>
      <c r="ANE45" s="579"/>
      <c r="ANF45" s="579"/>
      <c r="ANG45" s="579"/>
      <c r="ANH45" s="579"/>
      <c r="ANI45" s="579"/>
      <c r="ANJ45" s="579"/>
      <c r="ANK45" s="579"/>
      <c r="ANL45" s="579"/>
      <c r="ANM45" s="579"/>
      <c r="ANN45" s="579"/>
      <c r="ANO45" s="579"/>
      <c r="ANP45" s="579"/>
      <c r="ANQ45" s="579"/>
      <c r="ANR45" s="579"/>
      <c r="ANS45" s="579"/>
      <c r="ANT45" s="579"/>
      <c r="ANU45" s="579"/>
      <c r="ANV45" s="579"/>
      <c r="ANW45" s="579"/>
      <c r="ANX45" s="579"/>
      <c r="ANY45" s="579"/>
      <c r="ANZ45" s="579"/>
      <c r="AOA45" s="579"/>
      <c r="AOB45" s="579"/>
      <c r="AOC45" s="579"/>
      <c r="AOD45" s="579"/>
      <c r="AOE45" s="579"/>
      <c r="AOF45" s="579"/>
      <c r="AOG45" s="579"/>
      <c r="AOH45" s="579"/>
      <c r="AOI45" s="579"/>
      <c r="AOJ45" s="579"/>
      <c r="AOK45" s="579"/>
      <c r="AOL45" s="579"/>
      <c r="AOM45" s="579"/>
      <c r="AON45" s="579"/>
      <c r="AOO45" s="579"/>
      <c r="AOP45" s="579"/>
      <c r="AOQ45" s="579"/>
      <c r="AOR45" s="579"/>
      <c r="AOS45" s="579"/>
      <c r="AOT45" s="579"/>
      <c r="AOU45" s="579"/>
      <c r="AOV45" s="579"/>
      <c r="AOW45" s="579"/>
      <c r="AOX45" s="579"/>
      <c r="AOY45" s="579"/>
      <c r="AOZ45" s="579"/>
      <c r="APA45" s="579"/>
      <c r="APB45" s="579"/>
      <c r="APC45" s="579"/>
      <c r="APD45" s="579"/>
      <c r="APE45" s="579"/>
      <c r="APF45" s="579"/>
      <c r="APG45" s="579"/>
      <c r="APH45" s="579"/>
      <c r="API45" s="579"/>
      <c r="APJ45" s="579"/>
      <c r="APK45" s="579"/>
      <c r="APL45" s="579"/>
      <c r="APM45" s="579"/>
      <c r="APN45" s="579"/>
      <c r="APO45" s="579"/>
      <c r="APP45" s="579"/>
      <c r="APQ45" s="579"/>
      <c r="APR45" s="579"/>
      <c r="APS45" s="579"/>
      <c r="APT45" s="579"/>
      <c r="APU45" s="579"/>
      <c r="APV45" s="579"/>
      <c r="APW45" s="579"/>
      <c r="APX45" s="579"/>
      <c r="APY45" s="579"/>
      <c r="APZ45" s="579"/>
      <c r="AQA45" s="579"/>
      <c r="AQB45" s="579"/>
      <c r="AQC45" s="579"/>
      <c r="AQD45" s="579"/>
      <c r="AQE45" s="579"/>
      <c r="AQF45" s="579"/>
      <c r="AQG45" s="579"/>
      <c r="AQH45" s="579"/>
      <c r="AQI45" s="579"/>
      <c r="AQJ45" s="579"/>
      <c r="AQK45" s="579"/>
      <c r="AQL45" s="579"/>
      <c r="AQM45" s="579"/>
      <c r="AQN45" s="579"/>
      <c r="AQO45" s="579"/>
      <c r="AQP45" s="579"/>
      <c r="AQQ45" s="579"/>
      <c r="AQR45" s="579"/>
      <c r="AQS45" s="579"/>
      <c r="AQT45" s="579"/>
      <c r="AQU45" s="579"/>
      <c r="AQV45" s="579"/>
      <c r="AQW45" s="579"/>
      <c r="AQX45" s="579"/>
      <c r="AQY45" s="579"/>
      <c r="AQZ45" s="579"/>
      <c r="ARA45" s="579"/>
      <c r="ARB45" s="579"/>
      <c r="ARC45" s="579"/>
      <c r="ARD45" s="579"/>
      <c r="ARE45" s="579"/>
      <c r="ARF45" s="579"/>
      <c r="ARG45" s="579"/>
      <c r="ARH45" s="579"/>
      <c r="ARI45" s="579"/>
      <c r="ARJ45" s="579"/>
      <c r="ARK45" s="579"/>
      <c r="ARL45" s="579"/>
      <c r="ARM45" s="579"/>
      <c r="ARN45" s="579"/>
      <c r="ARO45" s="579"/>
      <c r="ARP45" s="579"/>
      <c r="ARQ45" s="579"/>
      <c r="ARR45" s="579"/>
      <c r="ARS45" s="579"/>
      <c r="ART45" s="579"/>
      <c r="ARU45" s="579"/>
      <c r="ARV45" s="579"/>
      <c r="ARW45" s="579"/>
      <c r="ARX45" s="579"/>
      <c r="ARY45" s="579"/>
      <c r="ARZ45" s="579"/>
      <c r="ASA45" s="579"/>
      <c r="ASB45" s="579"/>
      <c r="ASC45" s="579"/>
      <c r="ASD45" s="579"/>
      <c r="ASE45" s="579"/>
      <c r="ASF45" s="579"/>
      <c r="ASG45" s="579"/>
      <c r="ASH45" s="579"/>
      <c r="ASI45" s="579"/>
      <c r="ASJ45" s="579"/>
      <c r="ASK45" s="579"/>
      <c r="ASL45" s="579"/>
      <c r="ASM45" s="579"/>
      <c r="ASN45" s="579"/>
      <c r="ASO45" s="579"/>
      <c r="ASP45" s="579"/>
      <c r="ASQ45" s="579"/>
      <c r="ASR45" s="579"/>
      <c r="ASS45" s="579"/>
      <c r="AST45" s="579"/>
      <c r="ASU45" s="579"/>
      <c r="ASV45" s="579"/>
      <c r="ASW45" s="579"/>
      <c r="ASX45" s="579"/>
      <c r="ASY45" s="579"/>
      <c r="ASZ45" s="579"/>
      <c r="ATA45" s="579"/>
      <c r="ATB45" s="579"/>
      <c r="ATC45" s="579"/>
      <c r="ATD45" s="579"/>
      <c r="ATE45" s="579"/>
      <c r="ATF45" s="579"/>
      <c r="ATG45" s="579"/>
      <c r="ATH45" s="579"/>
      <c r="ATI45" s="579"/>
      <c r="ATJ45" s="579"/>
      <c r="ATK45" s="579"/>
      <c r="ATL45" s="579"/>
      <c r="ATM45" s="579"/>
      <c r="ATN45" s="579"/>
      <c r="ATO45" s="579"/>
      <c r="ATP45" s="579"/>
      <c r="ATQ45" s="579"/>
      <c r="ATR45" s="579"/>
      <c r="ATS45" s="579"/>
      <c r="ATT45" s="579"/>
      <c r="ATU45" s="579"/>
      <c r="ATV45" s="579"/>
      <c r="ATW45" s="579"/>
      <c r="ATX45" s="579"/>
      <c r="ATY45" s="579"/>
      <c r="ATZ45" s="579"/>
      <c r="AUA45" s="579"/>
      <c r="AUB45" s="579"/>
      <c r="AUC45" s="579"/>
      <c r="AUD45" s="579"/>
      <c r="AUE45" s="579"/>
      <c r="AUF45" s="579"/>
      <c r="AUG45" s="579"/>
      <c r="AUH45" s="579"/>
      <c r="AUI45" s="579"/>
      <c r="AUJ45" s="579"/>
      <c r="AUK45" s="579"/>
      <c r="AUL45" s="579"/>
      <c r="AUM45" s="579"/>
      <c r="AUN45" s="579"/>
      <c r="AUO45" s="579"/>
      <c r="AUP45" s="579"/>
      <c r="AUQ45" s="579"/>
      <c r="AUR45" s="579"/>
      <c r="AUS45" s="579"/>
      <c r="AUT45" s="579"/>
      <c r="AUU45" s="579"/>
      <c r="AUV45" s="579"/>
      <c r="AUW45" s="579"/>
      <c r="AUX45" s="579"/>
      <c r="AUY45" s="579"/>
      <c r="AUZ45" s="579"/>
      <c r="AVA45" s="579"/>
      <c r="AVB45" s="579"/>
      <c r="AVC45" s="579"/>
      <c r="AVD45" s="579"/>
      <c r="AVE45" s="579"/>
      <c r="AVF45" s="579"/>
      <c r="AVG45" s="579"/>
      <c r="AVH45" s="579"/>
      <c r="AVI45" s="579"/>
      <c r="AVJ45" s="579"/>
      <c r="AVK45" s="579"/>
      <c r="AVL45" s="579"/>
      <c r="AVM45" s="579"/>
      <c r="AVN45" s="579"/>
      <c r="AVO45" s="579"/>
      <c r="AVP45" s="579"/>
      <c r="AVQ45" s="579"/>
      <c r="AVR45" s="579"/>
      <c r="AVS45" s="579"/>
      <c r="AVT45" s="579"/>
      <c r="AVU45" s="579"/>
      <c r="AVV45" s="579"/>
      <c r="AVW45" s="579"/>
      <c r="AVX45" s="579"/>
      <c r="AVY45" s="579"/>
      <c r="AVZ45" s="579"/>
      <c r="AWA45" s="579"/>
      <c r="AWB45" s="579"/>
      <c r="AWC45" s="579"/>
      <c r="AWD45" s="579"/>
      <c r="AWE45" s="579"/>
      <c r="AWF45" s="579"/>
      <c r="AWG45" s="579"/>
      <c r="AWH45" s="579"/>
      <c r="AWI45" s="579"/>
      <c r="AWJ45" s="579"/>
      <c r="AWK45" s="579"/>
      <c r="AWL45" s="579"/>
      <c r="AWM45" s="579"/>
      <c r="AWN45" s="579"/>
      <c r="AWO45" s="579"/>
      <c r="AWP45" s="579"/>
      <c r="AWQ45" s="579"/>
      <c r="AWR45" s="579"/>
      <c r="AWS45" s="579"/>
      <c r="AWT45" s="579"/>
      <c r="AWU45" s="579"/>
      <c r="AWV45" s="579"/>
      <c r="AWW45" s="579"/>
      <c r="AWX45" s="579"/>
      <c r="AWY45" s="579"/>
      <c r="AWZ45" s="579"/>
      <c r="AXA45" s="579"/>
      <c r="AXB45" s="579"/>
      <c r="AXC45" s="579"/>
      <c r="AXD45" s="579"/>
      <c r="AXE45" s="579"/>
      <c r="AXF45" s="579"/>
      <c r="AXG45" s="579"/>
      <c r="AXH45" s="579"/>
      <c r="AXI45" s="579"/>
      <c r="AXJ45" s="579"/>
      <c r="AXK45" s="579"/>
      <c r="AXL45" s="579"/>
      <c r="AXM45" s="579"/>
      <c r="AXN45" s="579"/>
      <c r="AXO45" s="579"/>
      <c r="AXP45" s="579"/>
      <c r="AXQ45" s="579"/>
      <c r="AXR45" s="579"/>
      <c r="AXS45" s="579"/>
      <c r="AXT45" s="579"/>
      <c r="AXU45" s="579"/>
      <c r="AXV45" s="579"/>
      <c r="AXW45" s="579"/>
      <c r="AXX45" s="579"/>
      <c r="AXY45" s="579"/>
      <c r="AXZ45" s="579"/>
      <c r="AYA45" s="579"/>
      <c r="AYB45" s="579"/>
      <c r="AYC45" s="579"/>
      <c r="AYD45" s="579"/>
      <c r="AYE45" s="579"/>
      <c r="AYF45" s="579"/>
      <c r="AYG45" s="579"/>
      <c r="AYH45" s="579"/>
      <c r="AYI45" s="579"/>
      <c r="AYJ45" s="579"/>
      <c r="AYK45" s="579"/>
      <c r="AYL45" s="579"/>
      <c r="AYM45" s="579"/>
      <c r="AYN45" s="579"/>
      <c r="AYO45" s="579"/>
      <c r="AYP45" s="579"/>
      <c r="AYQ45" s="579"/>
      <c r="AYR45" s="579"/>
      <c r="AYS45" s="579"/>
      <c r="AYT45" s="579"/>
      <c r="AYU45" s="579"/>
      <c r="AYV45" s="579"/>
      <c r="AYW45" s="579"/>
      <c r="AYX45" s="579"/>
      <c r="AYY45" s="579"/>
      <c r="AYZ45" s="579"/>
      <c r="AZA45" s="579"/>
      <c r="AZB45" s="579"/>
      <c r="AZC45" s="579"/>
      <c r="AZD45" s="579"/>
      <c r="AZE45" s="579"/>
      <c r="AZF45" s="579"/>
      <c r="AZG45" s="579"/>
      <c r="AZH45" s="579"/>
      <c r="AZI45" s="579"/>
      <c r="AZJ45" s="579"/>
      <c r="AZK45" s="579"/>
      <c r="AZL45" s="579"/>
      <c r="AZM45" s="579"/>
      <c r="AZN45" s="579"/>
      <c r="AZO45" s="579"/>
      <c r="AZP45" s="579"/>
      <c r="AZQ45" s="579"/>
      <c r="AZR45" s="579"/>
      <c r="AZS45" s="579"/>
      <c r="AZT45" s="579"/>
      <c r="AZU45" s="579"/>
      <c r="AZV45" s="579"/>
      <c r="AZW45" s="579"/>
      <c r="AZX45" s="579"/>
      <c r="AZY45" s="579"/>
      <c r="AZZ45" s="579"/>
      <c r="BAA45" s="579"/>
      <c r="BAB45" s="579"/>
      <c r="BAC45" s="579"/>
      <c r="BAD45" s="579"/>
      <c r="BAE45" s="579"/>
      <c r="BAF45" s="579"/>
      <c r="BAG45" s="579"/>
      <c r="BAH45" s="579"/>
      <c r="BAI45" s="579"/>
      <c r="BAJ45" s="579"/>
      <c r="BAK45" s="579"/>
      <c r="BAL45" s="579"/>
      <c r="BAM45" s="579"/>
      <c r="BAN45" s="579"/>
      <c r="BAO45" s="579"/>
      <c r="BAP45" s="579"/>
      <c r="BAQ45" s="579"/>
      <c r="BAR45" s="579"/>
      <c r="BAS45" s="579"/>
      <c r="BAT45" s="579"/>
      <c r="BAU45" s="579"/>
      <c r="BAV45" s="579"/>
      <c r="BAW45" s="579"/>
      <c r="BAX45" s="579"/>
      <c r="BAY45" s="579"/>
      <c r="BAZ45" s="579"/>
      <c r="BBA45" s="579"/>
      <c r="BBB45" s="579"/>
      <c r="BBC45" s="579"/>
      <c r="BBD45" s="579"/>
      <c r="BBE45" s="579"/>
      <c r="BBF45" s="579"/>
      <c r="BBG45" s="579"/>
      <c r="BBH45" s="579"/>
      <c r="BBI45" s="579"/>
      <c r="BBJ45" s="579"/>
      <c r="BBK45" s="579"/>
      <c r="BBL45" s="579"/>
      <c r="BBM45" s="579"/>
      <c r="BBN45" s="579"/>
      <c r="BBO45" s="579"/>
      <c r="BBP45" s="579"/>
      <c r="BBQ45" s="579"/>
      <c r="BBR45" s="579"/>
      <c r="BBS45" s="579"/>
      <c r="BBT45" s="579"/>
      <c r="BBU45" s="579"/>
      <c r="BBV45" s="579"/>
      <c r="BBW45" s="579"/>
      <c r="BBX45" s="579"/>
      <c r="BBY45" s="579"/>
      <c r="BBZ45" s="579"/>
      <c r="BCA45" s="579"/>
      <c r="BCB45" s="579"/>
      <c r="BCC45" s="579"/>
      <c r="BCD45" s="579"/>
      <c r="BCE45" s="579"/>
      <c r="BCF45" s="579"/>
      <c r="BCG45" s="579"/>
      <c r="BCH45" s="579"/>
      <c r="BCI45" s="579"/>
      <c r="BCJ45" s="579"/>
      <c r="BCK45" s="579"/>
      <c r="BCL45" s="579"/>
      <c r="BCM45" s="579"/>
      <c r="BCN45" s="579"/>
      <c r="BCO45" s="579"/>
      <c r="BCP45" s="579"/>
      <c r="BCQ45" s="579"/>
      <c r="BCR45" s="579"/>
      <c r="BCS45" s="579"/>
      <c r="BCT45" s="579"/>
      <c r="BCU45" s="579"/>
      <c r="BCV45" s="579"/>
      <c r="BCW45" s="579"/>
      <c r="BCX45" s="579"/>
      <c r="BCY45" s="579"/>
      <c r="BCZ45" s="579"/>
      <c r="BDA45" s="579"/>
      <c r="BDB45" s="579"/>
      <c r="BDC45" s="579"/>
      <c r="BDD45" s="579"/>
      <c r="BDE45" s="579"/>
      <c r="BDF45" s="579"/>
      <c r="BDG45" s="579"/>
      <c r="BDH45" s="579"/>
      <c r="BDI45" s="579"/>
      <c r="BDJ45" s="579"/>
      <c r="BDK45" s="579"/>
      <c r="BDL45" s="579"/>
      <c r="BDM45" s="579"/>
      <c r="BDN45" s="579"/>
      <c r="BDO45" s="579"/>
      <c r="BDP45" s="579"/>
      <c r="BDQ45" s="579"/>
      <c r="BDR45" s="579"/>
      <c r="BDS45" s="579"/>
      <c r="BDT45" s="579"/>
      <c r="BDU45" s="579"/>
      <c r="BDV45" s="579"/>
      <c r="BDW45" s="579"/>
      <c r="BDX45" s="579"/>
      <c r="BDY45" s="579"/>
      <c r="BDZ45" s="579"/>
      <c r="BEA45" s="579"/>
      <c r="BEB45" s="579"/>
      <c r="BEC45" s="579"/>
      <c r="BED45" s="579"/>
      <c r="BEE45" s="579"/>
      <c r="BEF45" s="579"/>
      <c r="BEG45" s="579"/>
      <c r="BEH45" s="579"/>
      <c r="BEI45" s="579"/>
      <c r="BEJ45" s="579"/>
      <c r="BEK45" s="579"/>
      <c r="BEL45" s="579"/>
      <c r="BEM45" s="579"/>
      <c r="BEN45" s="579"/>
      <c r="BEO45" s="579"/>
      <c r="BEP45" s="579"/>
      <c r="BEQ45" s="579"/>
      <c r="BER45" s="579"/>
      <c r="BES45" s="579"/>
      <c r="BET45" s="579"/>
      <c r="BEU45" s="579"/>
      <c r="BEV45" s="579"/>
      <c r="BEW45" s="579"/>
      <c r="BEX45" s="579"/>
      <c r="BEY45" s="579"/>
      <c r="BEZ45" s="579"/>
      <c r="BFA45" s="579"/>
      <c r="BFB45" s="579"/>
      <c r="BFC45" s="579"/>
      <c r="BFD45" s="579"/>
      <c r="BFE45" s="579"/>
      <c r="BFF45" s="579"/>
      <c r="BFG45" s="579"/>
      <c r="BFH45" s="579"/>
      <c r="BFI45" s="579"/>
      <c r="BFJ45" s="579"/>
      <c r="BFK45" s="579"/>
      <c r="BFL45" s="579"/>
      <c r="BFM45" s="579"/>
      <c r="BFN45" s="579"/>
      <c r="BFO45" s="579"/>
      <c r="BFP45" s="579"/>
      <c r="BFQ45" s="579"/>
      <c r="BFR45" s="579"/>
      <c r="BFS45" s="579"/>
      <c r="BFT45" s="579"/>
      <c r="BFU45" s="579"/>
      <c r="BFV45" s="579"/>
      <c r="BFW45" s="579"/>
      <c r="BFX45" s="579"/>
      <c r="BFY45" s="579"/>
      <c r="BFZ45" s="579"/>
      <c r="BGA45" s="579"/>
      <c r="BGB45" s="579"/>
      <c r="BGC45" s="579"/>
      <c r="BGD45" s="579"/>
      <c r="BGE45" s="579"/>
      <c r="BGF45" s="579"/>
      <c r="BGG45" s="579"/>
      <c r="BGH45" s="579"/>
      <c r="BGI45" s="579"/>
      <c r="BGJ45" s="579"/>
      <c r="BGK45" s="579"/>
      <c r="BGL45" s="579"/>
      <c r="BGM45" s="579"/>
      <c r="BGN45" s="579"/>
      <c r="BGO45" s="579"/>
      <c r="BGP45" s="579"/>
      <c r="BGQ45" s="579"/>
      <c r="BGR45" s="579"/>
      <c r="BGS45" s="579"/>
      <c r="BGT45" s="579"/>
      <c r="BGU45" s="579"/>
      <c r="BGV45" s="579"/>
      <c r="BGW45" s="579"/>
      <c r="BGX45" s="579"/>
      <c r="BGY45" s="579"/>
      <c r="BGZ45" s="579"/>
      <c r="BHA45" s="579"/>
      <c r="BHB45" s="579"/>
      <c r="BHC45" s="579"/>
      <c r="BHD45" s="579"/>
      <c r="BHE45" s="579"/>
      <c r="BHF45" s="579"/>
      <c r="BHG45" s="579"/>
      <c r="BHH45" s="579"/>
      <c r="BHI45" s="579"/>
      <c r="BHJ45" s="579"/>
      <c r="BHK45" s="579"/>
      <c r="BHL45" s="579"/>
      <c r="BHM45" s="579"/>
      <c r="BHN45" s="579"/>
      <c r="BHO45" s="579"/>
      <c r="BHP45" s="579"/>
      <c r="BHQ45" s="579"/>
      <c r="BHR45" s="579"/>
      <c r="BHS45" s="579"/>
      <c r="BHT45" s="579"/>
      <c r="BHU45" s="579"/>
      <c r="BHV45" s="579"/>
      <c r="BHW45" s="579"/>
      <c r="BHX45" s="579"/>
      <c r="BHY45" s="579"/>
      <c r="BHZ45" s="579"/>
      <c r="BIA45" s="579"/>
      <c r="BIB45" s="579"/>
      <c r="BIC45" s="579"/>
      <c r="BID45" s="579"/>
      <c r="BIE45" s="579"/>
      <c r="BIF45" s="579"/>
      <c r="BIG45" s="579"/>
      <c r="BIH45" s="579"/>
      <c r="BII45" s="579"/>
      <c r="BIJ45" s="579"/>
      <c r="BIK45" s="579"/>
      <c r="BIL45" s="579"/>
      <c r="BIM45" s="579"/>
      <c r="BIN45" s="579"/>
      <c r="BIO45" s="579"/>
      <c r="BIP45" s="579"/>
      <c r="BIQ45" s="579"/>
      <c r="BIR45" s="579"/>
      <c r="BIS45" s="579"/>
      <c r="BIT45" s="579"/>
      <c r="BIU45" s="579"/>
      <c r="BIV45" s="579"/>
      <c r="BIW45" s="579"/>
      <c r="BIX45" s="579"/>
      <c r="BIY45" s="579"/>
      <c r="BIZ45" s="579"/>
      <c r="BJA45" s="579"/>
      <c r="BJB45" s="579"/>
      <c r="BJC45" s="579"/>
      <c r="BJD45" s="579"/>
      <c r="BJE45" s="579"/>
      <c r="BJF45" s="579"/>
      <c r="BJG45" s="579"/>
      <c r="BJH45" s="579"/>
      <c r="BJI45" s="579"/>
      <c r="BJJ45" s="579"/>
      <c r="BJK45" s="579"/>
      <c r="BJL45" s="579"/>
      <c r="BJM45" s="579"/>
      <c r="BJN45" s="579"/>
      <c r="BJO45" s="579"/>
      <c r="BJP45" s="579"/>
      <c r="BJQ45" s="579"/>
      <c r="BJR45" s="579"/>
      <c r="BJS45" s="579"/>
      <c r="BJT45" s="579"/>
      <c r="BJU45" s="579"/>
      <c r="BJV45" s="579"/>
      <c r="BJW45" s="579"/>
      <c r="BJX45" s="579"/>
      <c r="BJY45" s="579"/>
      <c r="BJZ45" s="579"/>
      <c r="BKA45" s="579"/>
      <c r="BKB45" s="579"/>
      <c r="BKC45" s="579"/>
      <c r="BKD45" s="579"/>
      <c r="BKE45" s="579"/>
      <c r="BKF45" s="579"/>
      <c r="BKG45" s="579"/>
      <c r="BKH45" s="579"/>
      <c r="BKI45" s="579"/>
      <c r="BKJ45" s="579"/>
      <c r="BKK45" s="579"/>
      <c r="BKL45" s="579"/>
      <c r="BKM45" s="579"/>
      <c r="BKN45" s="579"/>
      <c r="BKO45" s="579"/>
      <c r="BKP45" s="579"/>
      <c r="BKQ45" s="579"/>
      <c r="BKR45" s="579"/>
      <c r="BKS45" s="579"/>
      <c r="BKT45" s="579"/>
      <c r="BKU45" s="579"/>
      <c r="BKV45" s="579"/>
      <c r="BKW45" s="579"/>
      <c r="BKX45" s="579"/>
      <c r="BKY45" s="579"/>
      <c r="BKZ45" s="579"/>
      <c r="BLA45" s="579"/>
      <c r="BLB45" s="579"/>
      <c r="BLC45" s="579"/>
      <c r="BLD45" s="579"/>
      <c r="BLE45" s="579"/>
      <c r="BLF45" s="579"/>
      <c r="BLG45" s="579"/>
      <c r="BLH45" s="579"/>
      <c r="BLI45" s="579"/>
      <c r="BLJ45" s="579"/>
      <c r="BLK45" s="579"/>
      <c r="BLL45" s="579"/>
      <c r="BLM45" s="579"/>
      <c r="BLN45" s="579"/>
      <c r="BLO45" s="579"/>
      <c r="BLP45" s="579"/>
      <c r="BLQ45" s="579"/>
      <c r="BLR45" s="579"/>
      <c r="BLS45" s="579"/>
      <c r="BLT45" s="579"/>
      <c r="BLU45" s="579"/>
      <c r="BLV45" s="579"/>
      <c r="BLW45" s="579"/>
      <c r="BLX45" s="579"/>
      <c r="BLY45" s="579"/>
      <c r="BLZ45" s="579"/>
      <c r="BMA45" s="579"/>
      <c r="BMB45" s="579"/>
      <c r="BMC45" s="579"/>
      <c r="BMD45" s="579"/>
      <c r="BME45" s="579"/>
      <c r="BMF45" s="579"/>
      <c r="BMG45" s="579"/>
      <c r="BMH45" s="579"/>
      <c r="BMI45" s="579"/>
      <c r="BMJ45" s="579"/>
      <c r="BMK45" s="579"/>
      <c r="BML45" s="579"/>
      <c r="BMM45" s="579"/>
      <c r="BMN45" s="579"/>
      <c r="BMO45" s="579"/>
      <c r="BMP45" s="579"/>
      <c r="BMQ45" s="579"/>
      <c r="BMR45" s="579"/>
      <c r="BMS45" s="579"/>
      <c r="BMT45" s="579"/>
      <c r="BMU45" s="579"/>
      <c r="BMV45" s="579"/>
      <c r="BMW45" s="579"/>
      <c r="BMX45" s="579"/>
      <c r="BMY45" s="579"/>
      <c r="BMZ45" s="579"/>
      <c r="BNA45" s="579"/>
      <c r="BNB45" s="579"/>
      <c r="BNC45" s="579"/>
      <c r="BND45" s="579"/>
      <c r="BNE45" s="579"/>
      <c r="BNF45" s="579"/>
      <c r="BNG45" s="579"/>
      <c r="BNH45" s="579"/>
      <c r="BNI45" s="579"/>
      <c r="BNJ45" s="579"/>
      <c r="BNK45" s="579"/>
      <c r="BNL45" s="579"/>
      <c r="BNM45" s="579"/>
      <c r="BNN45" s="579"/>
      <c r="BNO45" s="579"/>
      <c r="BNP45" s="579"/>
      <c r="BNQ45" s="579"/>
      <c r="BNR45" s="579"/>
      <c r="BNS45" s="579"/>
      <c r="BNT45" s="579"/>
      <c r="BNU45" s="579"/>
      <c r="BNV45" s="579"/>
      <c r="BNW45" s="579"/>
      <c r="BNX45" s="579"/>
      <c r="BNY45" s="579"/>
      <c r="BNZ45" s="579"/>
      <c r="BOA45" s="579"/>
      <c r="BOB45" s="579"/>
      <c r="BOC45" s="579"/>
      <c r="BOD45" s="579"/>
      <c r="BOE45" s="579"/>
      <c r="BOF45" s="579"/>
      <c r="BOG45" s="579"/>
      <c r="BOH45" s="579"/>
      <c r="BOI45" s="579"/>
      <c r="BOJ45" s="579"/>
      <c r="BOK45" s="579"/>
      <c r="BOL45" s="579"/>
      <c r="BOM45" s="579"/>
      <c r="BON45" s="579"/>
      <c r="BOO45" s="579"/>
      <c r="BOP45" s="579"/>
      <c r="BOQ45" s="579"/>
      <c r="BOR45" s="579"/>
      <c r="BOS45" s="579"/>
      <c r="BOT45" s="579"/>
      <c r="BOU45" s="579"/>
      <c r="BOV45" s="579"/>
      <c r="BOW45" s="579"/>
      <c r="BOX45" s="579"/>
      <c r="BOY45" s="579"/>
      <c r="BOZ45" s="579"/>
      <c r="BPA45" s="579"/>
      <c r="BPB45" s="579"/>
      <c r="BPC45" s="579"/>
      <c r="BPD45" s="579"/>
      <c r="BPE45" s="579"/>
      <c r="BPF45" s="579"/>
      <c r="BPG45" s="579"/>
      <c r="BPH45" s="579"/>
      <c r="BPI45" s="579"/>
      <c r="BPJ45" s="579"/>
      <c r="BPK45" s="579"/>
      <c r="BPL45" s="579"/>
      <c r="BPM45" s="579"/>
      <c r="BPN45" s="579"/>
      <c r="BPO45" s="579"/>
      <c r="BPP45" s="579"/>
      <c r="BPQ45" s="579"/>
      <c r="BPR45" s="579"/>
      <c r="BPS45" s="579"/>
      <c r="BPT45" s="579"/>
      <c r="BPU45" s="579"/>
      <c r="BPV45" s="579"/>
      <c r="BPW45" s="579"/>
      <c r="BPX45" s="579"/>
      <c r="BPY45" s="579"/>
      <c r="BPZ45" s="579"/>
      <c r="BQA45" s="579"/>
      <c r="BQB45" s="579"/>
      <c r="BQC45" s="579"/>
      <c r="BQD45" s="579"/>
      <c r="BQE45" s="579"/>
      <c r="BQF45" s="579"/>
      <c r="BQG45" s="579"/>
      <c r="BQH45" s="579"/>
      <c r="BQI45" s="579"/>
      <c r="BQJ45" s="579"/>
      <c r="BQK45" s="579"/>
      <c r="BQL45" s="579"/>
      <c r="BQM45" s="579"/>
      <c r="BQN45" s="579"/>
      <c r="BQO45" s="579"/>
      <c r="BQP45" s="579"/>
      <c r="BQQ45" s="579"/>
      <c r="BQR45" s="579"/>
      <c r="BQS45" s="579"/>
      <c r="BQT45" s="579"/>
      <c r="BQU45" s="579"/>
      <c r="BQV45" s="579"/>
      <c r="BQW45" s="579"/>
      <c r="BQX45" s="579"/>
      <c r="BQY45" s="579"/>
      <c r="BQZ45" s="579"/>
      <c r="BRA45" s="579"/>
      <c r="BRB45" s="579"/>
      <c r="BRC45" s="579"/>
      <c r="BRD45" s="579"/>
      <c r="BRE45" s="579"/>
      <c r="BRF45" s="579"/>
      <c r="BRG45" s="579"/>
      <c r="BRH45" s="579"/>
      <c r="BRI45" s="579"/>
      <c r="BRJ45" s="579"/>
      <c r="BRK45" s="579"/>
      <c r="BRL45" s="579"/>
      <c r="BRM45" s="579"/>
      <c r="BRN45" s="579"/>
      <c r="BRO45" s="579"/>
      <c r="BRP45" s="579"/>
      <c r="BRQ45" s="579"/>
      <c r="BRR45" s="579"/>
      <c r="BRS45" s="579"/>
      <c r="BRT45" s="579"/>
      <c r="BRU45" s="579"/>
      <c r="BRV45" s="579"/>
      <c r="BRW45" s="579"/>
      <c r="BRX45" s="579"/>
      <c r="BRY45" s="579"/>
      <c r="BRZ45" s="579"/>
      <c r="BSA45" s="579"/>
      <c r="BSB45" s="579"/>
      <c r="BSC45" s="579"/>
      <c r="BSD45" s="579"/>
      <c r="BSE45" s="579"/>
      <c r="BSF45" s="579"/>
      <c r="BSG45" s="579"/>
      <c r="BSH45" s="579"/>
      <c r="BSI45" s="579"/>
      <c r="BSJ45" s="579"/>
      <c r="BSK45" s="579"/>
      <c r="BSL45" s="579"/>
      <c r="BSM45" s="579"/>
      <c r="BSN45" s="579"/>
      <c r="BSO45" s="579"/>
      <c r="BSP45" s="579"/>
      <c r="BSQ45" s="579"/>
      <c r="BSR45" s="579"/>
      <c r="BSS45" s="579"/>
      <c r="BST45" s="579"/>
      <c r="BSU45" s="579"/>
      <c r="BSV45" s="579"/>
      <c r="BSW45" s="579"/>
      <c r="BSX45" s="579"/>
      <c r="BSY45" s="579"/>
      <c r="BSZ45" s="579"/>
      <c r="BTA45" s="579"/>
      <c r="BTB45" s="579"/>
      <c r="BTC45" s="579"/>
      <c r="BTD45" s="579"/>
      <c r="BTE45" s="579"/>
      <c r="BTF45" s="579"/>
      <c r="BTG45" s="579"/>
      <c r="BTH45" s="579"/>
      <c r="BTI45" s="579"/>
      <c r="BTJ45" s="579"/>
      <c r="BTK45" s="579"/>
      <c r="BTL45" s="579"/>
      <c r="BTM45" s="579"/>
      <c r="BTN45" s="579"/>
      <c r="BTO45" s="579"/>
      <c r="BTP45" s="579"/>
      <c r="BTQ45" s="579"/>
      <c r="BTR45" s="579"/>
      <c r="BTS45" s="579"/>
      <c r="BTT45" s="579"/>
      <c r="BTU45" s="579"/>
      <c r="BTV45" s="579"/>
      <c r="BTW45" s="579"/>
      <c r="BTX45" s="579"/>
      <c r="BTY45" s="579"/>
      <c r="BTZ45" s="579"/>
      <c r="BUA45" s="579"/>
      <c r="BUB45" s="579"/>
      <c r="BUC45" s="579"/>
      <c r="BUD45" s="579"/>
      <c r="BUE45" s="579"/>
      <c r="BUF45" s="579"/>
      <c r="BUG45" s="579"/>
      <c r="BUH45" s="579"/>
      <c r="BUI45" s="579"/>
      <c r="BUJ45" s="579"/>
      <c r="BUK45" s="579"/>
      <c r="BUL45" s="579"/>
      <c r="BUM45" s="579"/>
      <c r="BUN45" s="579"/>
      <c r="BUO45" s="579"/>
      <c r="BUP45" s="579"/>
      <c r="BUQ45" s="579"/>
      <c r="BUR45" s="579"/>
      <c r="BUS45" s="579"/>
      <c r="BUT45" s="579"/>
      <c r="BUU45" s="579"/>
      <c r="BUV45" s="579"/>
      <c r="BUW45" s="579"/>
      <c r="BUX45" s="579"/>
      <c r="BUY45" s="579"/>
      <c r="BUZ45" s="579"/>
      <c r="BVA45" s="579"/>
      <c r="BVB45" s="579"/>
      <c r="BVC45" s="579"/>
      <c r="BVD45" s="579"/>
      <c r="BVE45" s="579"/>
      <c r="BVF45" s="579"/>
      <c r="BVG45" s="579"/>
      <c r="BVH45" s="579"/>
      <c r="BVI45" s="579"/>
      <c r="BVJ45" s="579"/>
      <c r="BVK45" s="579"/>
      <c r="BVL45" s="579"/>
      <c r="BVM45" s="579"/>
      <c r="BVN45" s="579"/>
      <c r="BVO45" s="579"/>
      <c r="BVP45" s="579"/>
      <c r="BVQ45" s="579"/>
      <c r="BVR45" s="579"/>
      <c r="BVS45" s="579"/>
      <c r="BVT45" s="579"/>
      <c r="BVU45" s="579"/>
      <c r="BVV45" s="579"/>
      <c r="BVW45" s="579"/>
      <c r="BVX45" s="579"/>
      <c r="BVY45" s="579"/>
      <c r="BVZ45" s="579"/>
      <c r="BWA45" s="579"/>
      <c r="BWB45" s="579"/>
      <c r="BWC45" s="579"/>
      <c r="BWD45" s="579"/>
      <c r="BWE45" s="579"/>
      <c r="BWF45" s="579"/>
      <c r="BWG45" s="579"/>
      <c r="BWH45" s="579"/>
      <c r="BWI45" s="579"/>
      <c r="BWJ45" s="579"/>
      <c r="BWK45" s="579"/>
      <c r="BWL45" s="579"/>
      <c r="BWM45" s="579"/>
      <c r="BWN45" s="579"/>
      <c r="BWO45" s="579"/>
      <c r="BWP45" s="579"/>
      <c r="BWQ45" s="579"/>
      <c r="BWR45" s="579"/>
      <c r="BWS45" s="579"/>
      <c r="BWT45" s="579"/>
      <c r="BWU45" s="579"/>
      <c r="BWV45" s="579"/>
      <c r="BWW45" s="579"/>
      <c r="BWX45" s="579"/>
      <c r="BWY45" s="579"/>
      <c r="BWZ45" s="579"/>
      <c r="BXA45" s="579"/>
      <c r="BXB45" s="579"/>
      <c r="BXC45" s="579"/>
      <c r="BXD45" s="579"/>
      <c r="BXE45" s="579"/>
      <c r="BXF45" s="579"/>
      <c r="BXG45" s="579"/>
      <c r="BXH45" s="579"/>
      <c r="BXI45" s="579"/>
      <c r="BXJ45" s="579"/>
      <c r="BXK45" s="579"/>
      <c r="BXL45" s="579"/>
      <c r="BXM45" s="579"/>
      <c r="BXN45" s="579"/>
      <c r="BXO45" s="579"/>
      <c r="BXP45" s="579"/>
      <c r="BXQ45" s="579"/>
      <c r="BXR45" s="579"/>
      <c r="BXS45" s="579"/>
      <c r="BXT45" s="579"/>
      <c r="BXU45" s="579"/>
      <c r="BXV45" s="579"/>
      <c r="BXW45" s="579"/>
      <c r="BXX45" s="579"/>
      <c r="BXY45" s="579"/>
      <c r="BXZ45" s="579"/>
      <c r="BYA45" s="579"/>
      <c r="BYB45" s="579"/>
      <c r="BYC45" s="579"/>
      <c r="BYD45" s="579"/>
      <c r="BYE45" s="579"/>
      <c r="BYF45" s="579"/>
      <c r="BYG45" s="579"/>
      <c r="BYH45" s="579"/>
      <c r="BYI45" s="579"/>
      <c r="BYJ45" s="579"/>
      <c r="BYK45" s="579"/>
      <c r="BYL45" s="579"/>
      <c r="BYM45" s="579"/>
      <c r="BYN45" s="579"/>
      <c r="BYO45" s="579"/>
      <c r="BYP45" s="579"/>
      <c r="BYQ45" s="579"/>
      <c r="BYR45" s="579"/>
      <c r="BYS45" s="579"/>
      <c r="BYT45" s="579"/>
      <c r="BYU45" s="579"/>
      <c r="BYV45" s="579"/>
      <c r="BYW45" s="579"/>
      <c r="BYX45" s="579"/>
      <c r="BYY45" s="579"/>
      <c r="BYZ45" s="579"/>
      <c r="BZA45" s="579"/>
      <c r="BZB45" s="579"/>
      <c r="BZC45" s="579"/>
      <c r="BZD45" s="579"/>
      <c r="BZE45" s="579"/>
      <c r="BZF45" s="579"/>
      <c r="BZG45" s="579"/>
      <c r="BZH45" s="579"/>
      <c r="BZI45" s="579"/>
      <c r="BZJ45" s="579"/>
      <c r="BZK45" s="579"/>
      <c r="BZL45" s="579"/>
      <c r="BZM45" s="579"/>
      <c r="BZN45" s="579"/>
      <c r="BZO45" s="579"/>
      <c r="BZP45" s="579"/>
      <c r="BZQ45" s="579"/>
      <c r="BZR45" s="579"/>
      <c r="BZS45" s="579"/>
      <c r="BZT45" s="579"/>
      <c r="BZU45" s="579"/>
      <c r="BZV45" s="579"/>
      <c r="BZW45" s="579"/>
      <c r="BZX45" s="579"/>
      <c r="BZY45" s="579"/>
      <c r="BZZ45" s="579"/>
      <c r="CAA45" s="579"/>
      <c r="CAB45" s="579"/>
      <c r="CAC45" s="579"/>
      <c r="CAD45" s="579"/>
      <c r="CAE45" s="579"/>
      <c r="CAF45" s="579"/>
      <c r="CAG45" s="579"/>
      <c r="CAH45" s="579"/>
      <c r="CAI45" s="579"/>
      <c r="CAJ45" s="579"/>
      <c r="CAK45" s="579"/>
      <c r="CAL45" s="579"/>
      <c r="CAM45" s="579"/>
      <c r="CAN45" s="579"/>
      <c r="CAO45" s="579"/>
      <c r="CAP45" s="579"/>
      <c r="CAQ45" s="579"/>
      <c r="CAR45" s="579"/>
      <c r="CAS45" s="579"/>
      <c r="CAT45" s="579"/>
      <c r="CAU45" s="579"/>
      <c r="CAV45" s="579"/>
      <c r="CAW45" s="579"/>
      <c r="CAX45" s="579"/>
      <c r="CAY45" s="579"/>
      <c r="CAZ45" s="579"/>
      <c r="CBA45" s="579"/>
      <c r="CBB45" s="579"/>
      <c r="CBC45" s="579"/>
      <c r="CBD45" s="579"/>
      <c r="CBE45" s="579"/>
      <c r="CBF45" s="579"/>
      <c r="CBG45" s="579"/>
      <c r="CBH45" s="579"/>
      <c r="CBI45" s="579"/>
      <c r="CBJ45" s="579"/>
      <c r="CBK45" s="579"/>
      <c r="CBL45" s="579"/>
      <c r="CBM45" s="579"/>
      <c r="CBN45" s="579"/>
      <c r="CBO45" s="579"/>
      <c r="CBP45" s="579"/>
      <c r="CBQ45" s="579"/>
      <c r="CBR45" s="579"/>
      <c r="CBS45" s="579"/>
      <c r="CBT45" s="579"/>
      <c r="CBU45" s="579"/>
      <c r="CBV45" s="579"/>
      <c r="CBW45" s="579"/>
      <c r="CBX45" s="579"/>
      <c r="CBY45" s="579"/>
      <c r="CBZ45" s="579"/>
      <c r="CCA45" s="579"/>
      <c r="CCB45" s="579"/>
      <c r="CCC45" s="579"/>
      <c r="CCD45" s="579"/>
      <c r="CCE45" s="579"/>
      <c r="CCF45" s="579"/>
      <c r="CCG45" s="579"/>
      <c r="CCH45" s="579"/>
      <c r="CCI45" s="579"/>
      <c r="CCJ45" s="579"/>
      <c r="CCK45" s="579"/>
      <c r="CCL45" s="579"/>
      <c r="CCM45" s="579"/>
      <c r="CCN45" s="579"/>
      <c r="CCO45" s="579"/>
      <c r="CCP45" s="579"/>
      <c r="CCQ45" s="579"/>
      <c r="CCR45" s="579"/>
      <c r="CCS45" s="579"/>
      <c r="CCT45" s="579"/>
      <c r="CCU45" s="579"/>
      <c r="CCV45" s="579"/>
      <c r="CCW45" s="579"/>
      <c r="CCX45" s="579"/>
      <c r="CCY45" s="579"/>
      <c r="CCZ45" s="579"/>
      <c r="CDA45" s="579"/>
      <c r="CDB45" s="579"/>
      <c r="CDC45" s="579"/>
      <c r="CDD45" s="579"/>
      <c r="CDE45" s="579"/>
      <c r="CDF45" s="579"/>
      <c r="CDG45" s="579"/>
      <c r="CDH45" s="579"/>
      <c r="CDI45" s="579"/>
      <c r="CDJ45" s="579"/>
      <c r="CDK45" s="579"/>
      <c r="CDL45" s="579"/>
      <c r="CDM45" s="579"/>
      <c r="CDN45" s="579"/>
      <c r="CDO45" s="579"/>
      <c r="CDP45" s="579"/>
      <c r="CDQ45" s="579"/>
      <c r="CDR45" s="579"/>
      <c r="CDS45" s="579"/>
      <c r="CDT45" s="579"/>
      <c r="CDU45" s="579"/>
      <c r="CDV45" s="579"/>
      <c r="CDW45" s="579"/>
      <c r="CDX45" s="579"/>
      <c r="CDY45" s="579"/>
      <c r="CDZ45" s="579"/>
      <c r="CEA45" s="579"/>
      <c r="CEB45" s="579"/>
      <c r="CEC45" s="579"/>
      <c r="CED45" s="579"/>
      <c r="CEE45" s="579"/>
      <c r="CEF45" s="579"/>
      <c r="CEG45" s="579"/>
      <c r="CEH45" s="579"/>
      <c r="CEI45" s="579"/>
      <c r="CEJ45" s="579"/>
      <c r="CEK45" s="579"/>
      <c r="CEL45" s="579"/>
      <c r="CEM45" s="579"/>
      <c r="CEN45" s="579"/>
      <c r="CEO45" s="579"/>
      <c r="CEP45" s="579"/>
      <c r="CEQ45" s="579"/>
      <c r="CER45" s="579"/>
      <c r="CES45" s="579"/>
      <c r="CET45" s="579"/>
      <c r="CEU45" s="579"/>
      <c r="CEV45" s="579"/>
      <c r="CEW45" s="579"/>
      <c r="CEX45" s="579"/>
      <c r="CEY45" s="579"/>
      <c r="CEZ45" s="579"/>
      <c r="CFA45" s="579"/>
      <c r="CFB45" s="579"/>
      <c r="CFC45" s="579"/>
      <c r="CFD45" s="579"/>
      <c r="CFE45" s="579"/>
      <c r="CFF45" s="579"/>
      <c r="CFG45" s="579"/>
      <c r="CFH45" s="579"/>
      <c r="CFI45" s="579"/>
      <c r="CFJ45" s="579"/>
      <c r="CFK45" s="579"/>
      <c r="CFL45" s="579"/>
      <c r="CFM45" s="579"/>
      <c r="CFN45" s="579"/>
      <c r="CFO45" s="579"/>
      <c r="CFP45" s="579"/>
      <c r="CFQ45" s="579"/>
      <c r="CFR45" s="579"/>
      <c r="CFS45" s="579"/>
      <c r="CFT45" s="579"/>
      <c r="CFU45" s="579"/>
      <c r="CFV45" s="579"/>
      <c r="CFW45" s="579"/>
      <c r="CFX45" s="579"/>
      <c r="CFY45" s="579"/>
      <c r="CFZ45" s="579"/>
      <c r="CGA45" s="579"/>
      <c r="CGB45" s="579"/>
      <c r="CGC45" s="579"/>
      <c r="CGD45" s="579"/>
      <c r="CGE45" s="579"/>
      <c r="CGF45" s="579"/>
      <c r="CGG45" s="579"/>
      <c r="CGH45" s="579"/>
      <c r="CGI45" s="579"/>
      <c r="CGJ45" s="579"/>
      <c r="CGK45" s="579"/>
      <c r="CGL45" s="579"/>
      <c r="CGM45" s="579"/>
      <c r="CGN45" s="579"/>
      <c r="CGO45" s="579"/>
      <c r="CGP45" s="579"/>
      <c r="CGQ45" s="579"/>
      <c r="CGR45" s="579"/>
      <c r="CGS45" s="579"/>
      <c r="CGT45" s="579"/>
      <c r="CGU45" s="579"/>
      <c r="CGV45" s="579"/>
      <c r="CGW45" s="579"/>
      <c r="CGX45" s="579"/>
      <c r="CGY45" s="579"/>
      <c r="CGZ45" s="579"/>
      <c r="CHA45" s="579"/>
      <c r="CHB45" s="579"/>
      <c r="CHC45" s="579"/>
      <c r="CHD45" s="579"/>
      <c r="CHE45" s="579"/>
      <c r="CHF45" s="579"/>
      <c r="CHG45" s="579"/>
      <c r="CHH45" s="579"/>
      <c r="CHI45" s="579"/>
      <c r="CHJ45" s="579"/>
      <c r="CHK45" s="579"/>
      <c r="CHL45" s="579"/>
      <c r="CHM45" s="579"/>
      <c r="CHN45" s="579"/>
      <c r="CHO45" s="579"/>
      <c r="CHP45" s="579"/>
      <c r="CHQ45" s="579"/>
      <c r="CHR45" s="579"/>
      <c r="CHS45" s="579"/>
      <c r="CHT45" s="579"/>
      <c r="CHU45" s="579"/>
      <c r="CHV45" s="579"/>
      <c r="CHW45" s="579"/>
      <c r="CHX45" s="579"/>
      <c r="CHY45" s="579"/>
      <c r="CHZ45" s="579"/>
      <c r="CIA45" s="579"/>
      <c r="CIB45" s="579"/>
      <c r="CIC45" s="579"/>
      <c r="CID45" s="579"/>
      <c r="CIE45" s="579"/>
      <c r="CIF45" s="579"/>
      <c r="CIG45" s="579"/>
      <c r="CIH45" s="579"/>
      <c r="CII45" s="579"/>
      <c r="CIJ45" s="579"/>
      <c r="CIK45" s="579"/>
      <c r="CIL45" s="579"/>
      <c r="CIM45" s="579"/>
      <c r="CIN45" s="579"/>
      <c r="CIO45" s="579"/>
      <c r="CIP45" s="579"/>
      <c r="CIQ45" s="579"/>
      <c r="CIR45" s="579"/>
      <c r="CIS45" s="579"/>
      <c r="CIT45" s="579"/>
      <c r="CIU45" s="579"/>
      <c r="CIV45" s="579"/>
      <c r="CIW45" s="579"/>
      <c r="CIX45" s="579"/>
      <c r="CIY45" s="579"/>
      <c r="CIZ45" s="579"/>
      <c r="CJA45" s="579"/>
      <c r="CJB45" s="579"/>
      <c r="CJC45" s="579"/>
      <c r="CJD45" s="579"/>
      <c r="CJE45" s="579"/>
      <c r="CJF45" s="579"/>
      <c r="CJG45" s="579"/>
      <c r="CJH45" s="579"/>
      <c r="CJI45" s="579"/>
      <c r="CJJ45" s="579"/>
      <c r="CJK45" s="579"/>
      <c r="CJL45" s="579"/>
      <c r="CJM45" s="579"/>
      <c r="CJN45" s="579"/>
      <c r="CJO45" s="579"/>
      <c r="CJP45" s="579"/>
      <c r="CJQ45" s="579"/>
      <c r="CJR45" s="579"/>
      <c r="CJS45" s="579"/>
      <c r="CJT45" s="579"/>
      <c r="CJU45" s="579"/>
      <c r="CJV45" s="579"/>
      <c r="CJW45" s="579"/>
      <c r="CJX45" s="579"/>
      <c r="CJY45" s="579"/>
      <c r="CJZ45" s="579"/>
      <c r="CKA45" s="579"/>
      <c r="CKB45" s="579"/>
      <c r="CKC45" s="579"/>
      <c r="CKD45" s="579"/>
      <c r="CKE45" s="579"/>
      <c r="CKF45" s="579"/>
      <c r="CKG45" s="579"/>
      <c r="CKH45" s="579"/>
      <c r="CKI45" s="579"/>
      <c r="CKJ45" s="579"/>
      <c r="CKK45" s="579"/>
      <c r="CKL45" s="579"/>
      <c r="CKM45" s="579"/>
      <c r="CKN45" s="579"/>
      <c r="CKO45" s="579"/>
      <c r="CKP45" s="579"/>
      <c r="CKQ45" s="579"/>
      <c r="CKR45" s="579"/>
      <c r="CKS45" s="579"/>
      <c r="CKT45" s="579"/>
      <c r="CKU45" s="579"/>
      <c r="CKV45" s="579"/>
      <c r="CKW45" s="579"/>
      <c r="CKX45" s="579"/>
      <c r="CKY45" s="579"/>
      <c r="CKZ45" s="579"/>
      <c r="CLA45" s="579"/>
      <c r="CLB45" s="579"/>
      <c r="CLC45" s="579"/>
      <c r="CLD45" s="579"/>
      <c r="CLE45" s="579"/>
      <c r="CLF45" s="579"/>
      <c r="CLG45" s="579"/>
      <c r="CLH45" s="579"/>
      <c r="CLI45" s="579"/>
      <c r="CLJ45" s="579"/>
      <c r="CLK45" s="579"/>
      <c r="CLL45" s="579"/>
      <c r="CLM45" s="579"/>
      <c r="CLN45" s="579"/>
      <c r="CLO45" s="579"/>
      <c r="CLP45" s="579"/>
      <c r="CLQ45" s="579"/>
      <c r="CLR45" s="579"/>
      <c r="CLS45" s="579"/>
      <c r="CLT45" s="579"/>
      <c r="CLU45" s="579"/>
      <c r="CLV45" s="579"/>
      <c r="CLW45" s="579"/>
      <c r="CLX45" s="579"/>
      <c r="CLY45" s="579"/>
      <c r="CLZ45" s="579"/>
      <c r="CMA45" s="579"/>
      <c r="CMB45" s="579"/>
      <c r="CMC45" s="579"/>
      <c r="CMD45" s="579"/>
      <c r="CME45" s="579"/>
      <c r="CMF45" s="579"/>
      <c r="CMG45" s="579"/>
      <c r="CMH45" s="579"/>
      <c r="CMI45" s="579"/>
      <c r="CMJ45" s="579"/>
      <c r="CMK45" s="579"/>
      <c r="CML45" s="579"/>
      <c r="CMM45" s="579"/>
      <c r="CMN45" s="579"/>
      <c r="CMO45" s="579"/>
      <c r="CMP45" s="579"/>
      <c r="CMQ45" s="579"/>
      <c r="CMR45" s="579"/>
      <c r="CMS45" s="579"/>
      <c r="CMT45" s="579"/>
      <c r="CMU45" s="579"/>
      <c r="CMV45" s="579"/>
      <c r="CMW45" s="579"/>
      <c r="CMX45" s="579"/>
      <c r="CMY45" s="579"/>
      <c r="CMZ45" s="579"/>
      <c r="CNA45" s="579"/>
      <c r="CNB45" s="579"/>
      <c r="CNC45" s="579"/>
      <c r="CND45" s="579"/>
      <c r="CNE45" s="579"/>
      <c r="CNF45" s="579"/>
      <c r="CNG45" s="579"/>
      <c r="CNH45" s="579"/>
      <c r="CNI45" s="579"/>
      <c r="CNJ45" s="579"/>
      <c r="CNK45" s="579"/>
      <c r="CNL45" s="579"/>
      <c r="CNM45" s="579"/>
      <c r="CNN45" s="579"/>
      <c r="CNO45" s="579"/>
      <c r="CNP45" s="579"/>
      <c r="CNQ45" s="579"/>
      <c r="CNR45" s="579"/>
      <c r="CNS45" s="579"/>
      <c r="CNT45" s="579"/>
      <c r="CNU45" s="579"/>
      <c r="CNV45" s="579"/>
      <c r="CNW45" s="579"/>
      <c r="CNX45" s="579"/>
      <c r="CNY45" s="579"/>
      <c r="CNZ45" s="579"/>
      <c r="COA45" s="579"/>
      <c r="COB45" s="579"/>
      <c r="COC45" s="579"/>
      <c r="COD45" s="579"/>
      <c r="COE45" s="579"/>
      <c r="COF45" s="579"/>
      <c r="COG45" s="579"/>
      <c r="COH45" s="579"/>
      <c r="COI45" s="579"/>
      <c r="COJ45" s="579"/>
      <c r="COK45" s="579"/>
      <c r="COL45" s="579"/>
      <c r="COM45" s="579"/>
      <c r="CON45" s="579"/>
      <c r="COO45" s="579"/>
      <c r="COP45" s="579"/>
      <c r="COQ45" s="579"/>
      <c r="COR45" s="579"/>
      <c r="COS45" s="579"/>
      <c r="COT45" s="579"/>
      <c r="COU45" s="579"/>
      <c r="COV45" s="579"/>
      <c r="COW45" s="579"/>
      <c r="COX45" s="579"/>
      <c r="COY45" s="579"/>
      <c r="COZ45" s="579"/>
      <c r="CPA45" s="579"/>
      <c r="CPB45" s="579"/>
      <c r="CPC45" s="579"/>
      <c r="CPD45" s="579"/>
      <c r="CPE45" s="579"/>
      <c r="CPF45" s="579"/>
      <c r="CPG45" s="579"/>
      <c r="CPH45" s="579"/>
      <c r="CPI45" s="579"/>
      <c r="CPJ45" s="579"/>
      <c r="CPK45" s="579"/>
      <c r="CPL45" s="579"/>
      <c r="CPM45" s="579"/>
      <c r="CPN45" s="579"/>
      <c r="CPO45" s="579"/>
      <c r="CPP45" s="579"/>
      <c r="CPQ45" s="579"/>
      <c r="CPR45" s="579"/>
      <c r="CPS45" s="579"/>
      <c r="CPT45" s="579"/>
      <c r="CPU45" s="579"/>
      <c r="CPV45" s="579"/>
      <c r="CPW45" s="579"/>
      <c r="CPX45" s="579"/>
      <c r="CPY45" s="579"/>
      <c r="CPZ45" s="579"/>
      <c r="CQA45" s="579"/>
      <c r="CQB45" s="579"/>
      <c r="CQC45" s="579"/>
      <c r="CQD45" s="579"/>
      <c r="CQE45" s="579"/>
      <c r="CQF45" s="579"/>
      <c r="CQG45" s="579"/>
      <c r="CQH45" s="579"/>
      <c r="CQI45" s="579"/>
      <c r="CQJ45" s="579"/>
      <c r="CQK45" s="579"/>
      <c r="CQL45" s="579"/>
      <c r="CQM45" s="579"/>
      <c r="CQN45" s="579"/>
      <c r="CQO45" s="579"/>
      <c r="CQP45" s="579"/>
      <c r="CQQ45" s="579"/>
      <c r="CQR45" s="579"/>
      <c r="CQS45" s="579"/>
      <c r="CQT45" s="579"/>
      <c r="CQU45" s="579"/>
      <c r="CQV45" s="579"/>
      <c r="CQW45" s="579"/>
      <c r="CQX45" s="579"/>
      <c r="CQY45" s="579"/>
      <c r="CQZ45" s="579"/>
      <c r="CRA45" s="579"/>
      <c r="CRB45" s="579"/>
      <c r="CRC45" s="579"/>
      <c r="CRD45" s="579"/>
      <c r="CRE45" s="579"/>
      <c r="CRF45" s="579"/>
      <c r="CRG45" s="579"/>
      <c r="CRH45" s="579"/>
      <c r="CRI45" s="579"/>
      <c r="CRJ45" s="579"/>
      <c r="CRK45" s="579"/>
      <c r="CRL45" s="579"/>
      <c r="CRM45" s="579"/>
      <c r="CRN45" s="579"/>
      <c r="CRO45" s="579"/>
      <c r="CRP45" s="579"/>
      <c r="CRQ45" s="579"/>
      <c r="CRR45" s="579"/>
      <c r="CRS45" s="579"/>
      <c r="CRT45" s="579"/>
      <c r="CRU45" s="579"/>
      <c r="CRV45" s="579"/>
      <c r="CRW45" s="579"/>
      <c r="CRX45" s="579"/>
      <c r="CRY45" s="579"/>
      <c r="CRZ45" s="579"/>
      <c r="CSA45" s="579"/>
      <c r="CSB45" s="579"/>
      <c r="CSC45" s="579"/>
      <c r="CSD45" s="579"/>
      <c r="CSE45" s="579"/>
      <c r="CSF45" s="579"/>
      <c r="CSG45" s="579"/>
      <c r="CSH45" s="579"/>
      <c r="CSI45" s="579"/>
      <c r="CSJ45" s="579"/>
      <c r="CSK45" s="579"/>
      <c r="CSL45" s="579"/>
      <c r="CSM45" s="579"/>
      <c r="CSN45" s="579"/>
      <c r="CSO45" s="579"/>
      <c r="CSP45" s="579"/>
      <c r="CSQ45" s="579"/>
      <c r="CSR45" s="579"/>
      <c r="CSS45" s="579"/>
      <c r="CST45" s="579"/>
      <c r="CSU45" s="579"/>
      <c r="CSV45" s="579"/>
      <c r="CSW45" s="579"/>
      <c r="CSX45" s="579"/>
      <c r="CSY45" s="579"/>
      <c r="CSZ45" s="579"/>
      <c r="CTA45" s="579"/>
      <c r="CTB45" s="579"/>
      <c r="CTC45" s="579"/>
      <c r="CTD45" s="579"/>
      <c r="CTE45" s="579"/>
      <c r="CTF45" s="579"/>
      <c r="CTG45" s="579"/>
      <c r="CTH45" s="579"/>
      <c r="CTI45" s="579"/>
      <c r="CTJ45" s="579"/>
      <c r="CTK45" s="579"/>
      <c r="CTL45" s="579"/>
      <c r="CTM45" s="579"/>
      <c r="CTN45" s="579"/>
      <c r="CTO45" s="579"/>
      <c r="CTP45" s="579"/>
      <c r="CTQ45" s="579"/>
      <c r="CTR45" s="579"/>
      <c r="CTS45" s="579"/>
      <c r="CTT45" s="579"/>
      <c r="CTU45" s="579"/>
      <c r="CTV45" s="579"/>
      <c r="CTW45" s="579"/>
      <c r="CTX45" s="579"/>
      <c r="CTY45" s="579"/>
      <c r="CTZ45" s="579"/>
      <c r="CUA45" s="579"/>
      <c r="CUB45" s="579"/>
      <c r="CUC45" s="579"/>
      <c r="CUD45" s="579"/>
      <c r="CUE45" s="579"/>
      <c r="CUF45" s="579"/>
      <c r="CUG45" s="579"/>
      <c r="CUH45" s="579"/>
      <c r="CUI45" s="579"/>
      <c r="CUJ45" s="579"/>
      <c r="CUK45" s="579"/>
      <c r="CUL45" s="579"/>
      <c r="CUM45" s="579"/>
      <c r="CUN45" s="579"/>
      <c r="CUO45" s="579"/>
      <c r="CUP45" s="579"/>
      <c r="CUQ45" s="579"/>
      <c r="CUR45" s="579"/>
      <c r="CUS45" s="579"/>
      <c r="CUT45" s="579"/>
      <c r="CUU45" s="579"/>
      <c r="CUV45" s="579"/>
      <c r="CUW45" s="579"/>
      <c r="CUX45" s="579"/>
      <c r="CUY45" s="579"/>
      <c r="CUZ45" s="579"/>
      <c r="CVA45" s="579"/>
      <c r="CVB45" s="579"/>
      <c r="CVC45" s="579"/>
      <c r="CVD45" s="579"/>
      <c r="CVE45" s="579"/>
      <c r="CVF45" s="579"/>
      <c r="CVG45" s="579"/>
      <c r="CVH45" s="579"/>
      <c r="CVI45" s="579"/>
      <c r="CVJ45" s="579"/>
      <c r="CVK45" s="579"/>
      <c r="CVL45" s="579"/>
      <c r="CVM45" s="579"/>
      <c r="CVN45" s="579"/>
      <c r="CVO45" s="579"/>
      <c r="CVP45" s="579"/>
      <c r="CVQ45" s="579"/>
      <c r="CVR45" s="579"/>
      <c r="CVS45" s="579"/>
      <c r="CVT45" s="579"/>
      <c r="CVU45" s="579"/>
      <c r="CVV45" s="579"/>
      <c r="CVW45" s="579"/>
      <c r="CVX45" s="579"/>
      <c r="CVY45" s="579"/>
      <c r="CVZ45" s="579"/>
      <c r="CWA45" s="579"/>
      <c r="CWB45" s="579"/>
      <c r="CWC45" s="579"/>
      <c r="CWD45" s="579"/>
      <c r="CWE45" s="579"/>
      <c r="CWF45" s="579"/>
      <c r="CWG45" s="579"/>
      <c r="CWH45" s="579"/>
      <c r="CWI45" s="579"/>
      <c r="CWJ45" s="579"/>
      <c r="CWK45" s="579"/>
      <c r="CWL45" s="579"/>
      <c r="CWM45" s="579"/>
      <c r="CWN45" s="579"/>
      <c r="CWO45" s="579"/>
      <c r="CWP45" s="579"/>
      <c r="CWQ45" s="579"/>
      <c r="CWR45" s="579"/>
      <c r="CWS45" s="579"/>
      <c r="CWT45" s="579"/>
      <c r="CWU45" s="579"/>
      <c r="CWV45" s="579"/>
      <c r="CWW45" s="579"/>
      <c r="CWX45" s="579"/>
      <c r="CWY45" s="579"/>
      <c r="CWZ45" s="579"/>
      <c r="CXA45" s="579"/>
      <c r="CXB45" s="579"/>
      <c r="CXC45" s="579"/>
      <c r="CXD45" s="579"/>
      <c r="CXE45" s="579"/>
      <c r="CXF45" s="579"/>
      <c r="CXG45" s="579"/>
      <c r="CXH45" s="579"/>
      <c r="CXI45" s="579"/>
      <c r="CXJ45" s="579"/>
      <c r="CXK45" s="579"/>
      <c r="CXL45" s="579"/>
      <c r="CXM45" s="579"/>
      <c r="CXN45" s="579"/>
      <c r="CXO45" s="579"/>
      <c r="CXP45" s="579"/>
      <c r="CXQ45" s="579"/>
      <c r="CXR45" s="579"/>
      <c r="CXS45" s="579"/>
      <c r="CXT45" s="579"/>
      <c r="CXU45" s="579"/>
      <c r="CXV45" s="579"/>
      <c r="CXW45" s="579"/>
      <c r="CXX45" s="579"/>
      <c r="CXY45" s="579"/>
      <c r="CXZ45" s="579"/>
      <c r="CYA45" s="579"/>
      <c r="CYB45" s="579"/>
      <c r="CYC45" s="579"/>
      <c r="CYD45" s="579"/>
      <c r="CYE45" s="579"/>
      <c r="CYF45" s="579"/>
      <c r="CYG45" s="579"/>
      <c r="CYH45" s="579"/>
      <c r="CYI45" s="579"/>
      <c r="CYJ45" s="579"/>
      <c r="CYK45" s="579"/>
      <c r="CYL45" s="579"/>
      <c r="CYM45" s="579"/>
      <c r="CYN45" s="579"/>
      <c r="CYO45" s="579"/>
      <c r="CYP45" s="579"/>
      <c r="CYQ45" s="579"/>
      <c r="CYR45" s="579"/>
      <c r="CYS45" s="579"/>
      <c r="CYT45" s="579"/>
      <c r="CYU45" s="579"/>
      <c r="CYV45" s="579"/>
      <c r="CYW45" s="579"/>
      <c r="CYX45" s="579"/>
      <c r="CYY45" s="579"/>
      <c r="CYZ45" s="579"/>
      <c r="CZA45" s="579"/>
      <c r="CZB45" s="579"/>
      <c r="CZC45" s="579"/>
      <c r="CZD45" s="579"/>
      <c r="CZE45" s="579"/>
      <c r="CZF45" s="579"/>
      <c r="CZG45" s="579"/>
      <c r="CZH45" s="579"/>
      <c r="CZI45" s="579"/>
      <c r="CZJ45" s="579"/>
      <c r="CZK45" s="579"/>
      <c r="CZL45" s="579"/>
      <c r="CZM45" s="579"/>
      <c r="CZN45" s="579"/>
      <c r="CZO45" s="579"/>
      <c r="CZP45" s="579"/>
      <c r="CZQ45" s="579"/>
      <c r="CZR45" s="579"/>
      <c r="CZS45" s="579"/>
      <c r="CZT45" s="579"/>
      <c r="CZU45" s="579"/>
      <c r="CZV45" s="579"/>
      <c r="CZW45" s="579"/>
      <c r="CZX45" s="579"/>
      <c r="CZY45" s="579"/>
      <c r="CZZ45" s="579"/>
      <c r="DAA45" s="579"/>
      <c r="DAB45" s="579"/>
      <c r="DAC45" s="579"/>
      <c r="DAD45" s="579"/>
      <c r="DAE45" s="579"/>
      <c r="DAF45" s="579"/>
      <c r="DAG45" s="579"/>
      <c r="DAH45" s="579"/>
      <c r="DAI45" s="579"/>
      <c r="DAJ45" s="579"/>
      <c r="DAK45" s="579"/>
      <c r="DAL45" s="579"/>
      <c r="DAM45" s="579"/>
      <c r="DAN45" s="579"/>
      <c r="DAO45" s="579"/>
      <c r="DAP45" s="579"/>
      <c r="DAQ45" s="579"/>
      <c r="DAR45" s="579"/>
      <c r="DAS45" s="579"/>
      <c r="DAT45" s="579"/>
      <c r="DAU45" s="579"/>
      <c r="DAV45" s="579"/>
      <c r="DAW45" s="579"/>
      <c r="DAX45" s="579"/>
      <c r="DAY45" s="579"/>
      <c r="DAZ45" s="579"/>
      <c r="DBA45" s="579"/>
      <c r="DBB45" s="579"/>
      <c r="DBC45" s="579"/>
      <c r="DBD45" s="579"/>
      <c r="DBE45" s="579"/>
      <c r="DBF45" s="579"/>
      <c r="DBG45" s="579"/>
      <c r="DBH45" s="579"/>
      <c r="DBI45" s="579"/>
      <c r="DBJ45" s="579"/>
      <c r="DBK45" s="579"/>
      <c r="DBL45" s="579"/>
      <c r="DBM45" s="579"/>
      <c r="DBN45" s="579"/>
      <c r="DBO45" s="579"/>
      <c r="DBP45" s="579"/>
      <c r="DBQ45" s="579"/>
      <c r="DBR45" s="579"/>
      <c r="DBS45" s="579"/>
      <c r="DBT45" s="579"/>
      <c r="DBU45" s="579"/>
      <c r="DBV45" s="579"/>
      <c r="DBW45" s="579"/>
      <c r="DBX45" s="579"/>
      <c r="DBY45" s="579"/>
      <c r="DBZ45" s="579"/>
      <c r="DCA45" s="579"/>
      <c r="DCB45" s="579"/>
      <c r="DCC45" s="579"/>
      <c r="DCD45" s="579"/>
      <c r="DCE45" s="579"/>
      <c r="DCF45" s="579"/>
      <c r="DCG45" s="579"/>
      <c r="DCH45" s="579"/>
      <c r="DCI45" s="579"/>
      <c r="DCJ45" s="579"/>
      <c r="DCK45" s="579"/>
      <c r="DCL45" s="579"/>
      <c r="DCM45" s="579"/>
      <c r="DCN45" s="579"/>
      <c r="DCO45" s="579"/>
      <c r="DCP45" s="579"/>
      <c r="DCQ45" s="579"/>
      <c r="DCR45" s="579"/>
      <c r="DCS45" s="579"/>
      <c r="DCT45" s="579"/>
      <c r="DCU45" s="579"/>
      <c r="DCV45" s="579"/>
      <c r="DCW45" s="579"/>
      <c r="DCX45" s="579"/>
      <c r="DCY45" s="579"/>
      <c r="DCZ45" s="579"/>
      <c r="DDA45" s="579"/>
      <c r="DDB45" s="579"/>
      <c r="DDC45" s="579"/>
      <c r="DDD45" s="579"/>
      <c r="DDE45" s="579"/>
      <c r="DDF45" s="579"/>
      <c r="DDG45" s="579"/>
      <c r="DDH45" s="579"/>
      <c r="DDI45" s="579"/>
      <c r="DDJ45" s="579"/>
      <c r="DDK45" s="579"/>
      <c r="DDL45" s="579"/>
      <c r="DDM45" s="579"/>
      <c r="DDN45" s="579"/>
      <c r="DDO45" s="579"/>
      <c r="DDP45" s="579"/>
      <c r="DDQ45" s="579"/>
      <c r="DDR45" s="579"/>
      <c r="DDS45" s="579"/>
      <c r="DDT45" s="579"/>
      <c r="DDU45" s="579"/>
      <c r="DDV45" s="579"/>
      <c r="DDW45" s="579"/>
      <c r="DDX45" s="579"/>
      <c r="DDY45" s="579"/>
      <c r="DDZ45" s="579"/>
      <c r="DEA45" s="579"/>
      <c r="DEB45" s="579"/>
      <c r="DEC45" s="579"/>
      <c r="DED45" s="579"/>
      <c r="DEE45" s="579"/>
      <c r="DEF45" s="579"/>
      <c r="DEG45" s="579"/>
      <c r="DEH45" s="579"/>
      <c r="DEI45" s="579"/>
      <c r="DEJ45" s="579"/>
      <c r="DEK45" s="579"/>
      <c r="DEL45" s="579"/>
      <c r="DEM45" s="579"/>
      <c r="DEN45" s="579"/>
      <c r="DEO45" s="579"/>
      <c r="DEP45" s="579"/>
      <c r="DEQ45" s="579"/>
      <c r="DER45" s="579"/>
      <c r="DES45" s="579"/>
      <c r="DET45" s="579"/>
      <c r="DEU45" s="579"/>
      <c r="DEV45" s="579"/>
      <c r="DEW45" s="579"/>
      <c r="DEX45" s="579"/>
      <c r="DEY45" s="579"/>
      <c r="DEZ45" s="579"/>
      <c r="DFA45" s="579"/>
      <c r="DFB45" s="579"/>
      <c r="DFC45" s="579"/>
      <c r="DFD45" s="579"/>
      <c r="DFE45" s="579"/>
      <c r="DFF45" s="579"/>
      <c r="DFG45" s="579"/>
      <c r="DFH45" s="579"/>
      <c r="DFI45" s="579"/>
      <c r="DFJ45" s="579"/>
      <c r="DFK45" s="579"/>
      <c r="DFL45" s="579"/>
      <c r="DFM45" s="579"/>
      <c r="DFN45" s="579"/>
      <c r="DFO45" s="579"/>
      <c r="DFP45" s="579"/>
      <c r="DFQ45" s="579"/>
      <c r="DFR45" s="579"/>
      <c r="DFS45" s="579"/>
      <c r="DFT45" s="579"/>
      <c r="DFU45" s="579"/>
      <c r="DFV45" s="579"/>
      <c r="DFW45" s="579"/>
      <c r="DFX45" s="579"/>
      <c r="DFY45" s="579"/>
      <c r="DFZ45" s="579"/>
      <c r="DGA45" s="579"/>
      <c r="DGB45" s="579"/>
      <c r="DGC45" s="579"/>
      <c r="DGD45" s="579"/>
      <c r="DGE45" s="579"/>
      <c r="DGF45" s="579"/>
      <c r="DGG45" s="579"/>
      <c r="DGH45" s="579"/>
      <c r="DGI45" s="579"/>
      <c r="DGJ45" s="579"/>
      <c r="DGK45" s="579"/>
      <c r="DGL45" s="579"/>
      <c r="DGM45" s="579"/>
      <c r="DGN45" s="579"/>
      <c r="DGO45" s="579"/>
      <c r="DGP45" s="579"/>
      <c r="DGQ45" s="579"/>
      <c r="DGR45" s="579"/>
      <c r="DGS45" s="579"/>
      <c r="DGT45" s="579"/>
      <c r="DGU45" s="579"/>
      <c r="DGV45" s="579"/>
      <c r="DGW45" s="579"/>
      <c r="DGX45" s="579"/>
      <c r="DGY45" s="579"/>
      <c r="DGZ45" s="579"/>
      <c r="DHA45" s="579"/>
      <c r="DHB45" s="579"/>
      <c r="DHC45" s="579"/>
      <c r="DHD45" s="579"/>
      <c r="DHE45" s="579"/>
      <c r="DHF45" s="579"/>
      <c r="DHG45" s="579"/>
      <c r="DHH45" s="579"/>
      <c r="DHI45" s="579"/>
      <c r="DHJ45" s="579"/>
      <c r="DHK45" s="579"/>
      <c r="DHL45" s="579"/>
      <c r="DHM45" s="579"/>
      <c r="DHN45" s="579"/>
      <c r="DHO45" s="579"/>
      <c r="DHP45" s="579"/>
      <c r="DHQ45" s="579"/>
      <c r="DHR45" s="579"/>
      <c r="DHS45" s="579"/>
      <c r="DHT45" s="579"/>
      <c r="DHU45" s="579"/>
      <c r="DHV45" s="579"/>
      <c r="DHW45" s="579"/>
      <c r="DHX45" s="579"/>
      <c r="DHY45" s="579"/>
      <c r="DHZ45" s="579"/>
      <c r="DIA45" s="579"/>
      <c r="DIB45" s="579"/>
      <c r="DIC45" s="579"/>
      <c r="DID45" s="579"/>
      <c r="DIE45" s="579"/>
      <c r="DIF45" s="579"/>
      <c r="DIG45" s="579"/>
      <c r="DIH45" s="579"/>
      <c r="DII45" s="579"/>
      <c r="DIJ45" s="579"/>
      <c r="DIK45" s="579"/>
      <c r="DIL45" s="579"/>
      <c r="DIM45" s="579"/>
      <c r="DIN45" s="579"/>
      <c r="DIO45" s="579"/>
      <c r="DIP45" s="579"/>
      <c r="DIQ45" s="579"/>
      <c r="DIR45" s="579"/>
      <c r="DIS45" s="579"/>
      <c r="DIT45" s="579"/>
      <c r="DIU45" s="579"/>
      <c r="DIV45" s="579"/>
      <c r="DIW45" s="579"/>
      <c r="DIX45" s="579"/>
      <c r="DIY45" s="579"/>
      <c r="DIZ45" s="579"/>
      <c r="DJA45" s="579"/>
      <c r="DJB45" s="579"/>
      <c r="DJC45" s="579"/>
      <c r="DJD45" s="579"/>
      <c r="DJE45" s="579"/>
      <c r="DJF45" s="579"/>
      <c r="DJG45" s="579"/>
      <c r="DJH45" s="579"/>
      <c r="DJI45" s="579"/>
      <c r="DJJ45" s="579"/>
      <c r="DJK45" s="579"/>
      <c r="DJL45" s="579"/>
      <c r="DJM45" s="579"/>
      <c r="DJN45" s="579"/>
      <c r="DJO45" s="579"/>
      <c r="DJP45" s="579"/>
      <c r="DJQ45" s="579"/>
      <c r="DJR45" s="579"/>
      <c r="DJS45" s="579"/>
      <c r="DJT45" s="579"/>
      <c r="DJU45" s="579"/>
      <c r="DJV45" s="579"/>
      <c r="DJW45" s="579"/>
      <c r="DJX45" s="579"/>
      <c r="DJY45" s="579"/>
      <c r="DJZ45" s="579"/>
      <c r="DKA45" s="579"/>
      <c r="DKB45" s="579"/>
      <c r="DKC45" s="579"/>
      <c r="DKD45" s="579"/>
      <c r="DKE45" s="579"/>
      <c r="DKF45" s="579"/>
      <c r="DKG45" s="579"/>
      <c r="DKH45" s="579"/>
      <c r="DKI45" s="579"/>
      <c r="DKJ45" s="579"/>
      <c r="DKK45" s="579"/>
      <c r="DKL45" s="579"/>
      <c r="DKM45" s="579"/>
      <c r="DKN45" s="579"/>
      <c r="DKO45" s="579"/>
      <c r="DKP45" s="579"/>
      <c r="DKQ45" s="579"/>
      <c r="DKR45" s="579"/>
      <c r="DKS45" s="579"/>
      <c r="DKT45" s="579"/>
      <c r="DKU45" s="579"/>
      <c r="DKV45" s="579"/>
      <c r="DKW45" s="579"/>
      <c r="DKX45" s="579"/>
      <c r="DKY45" s="579"/>
      <c r="DKZ45" s="579"/>
      <c r="DLA45" s="579"/>
      <c r="DLB45" s="579"/>
      <c r="DLC45" s="579"/>
      <c r="DLD45" s="579"/>
      <c r="DLE45" s="579"/>
      <c r="DLF45" s="579"/>
      <c r="DLG45" s="579"/>
      <c r="DLH45" s="579"/>
      <c r="DLI45" s="579"/>
      <c r="DLJ45" s="579"/>
      <c r="DLK45" s="579"/>
      <c r="DLL45" s="579"/>
      <c r="DLM45" s="579"/>
      <c r="DLN45" s="579"/>
      <c r="DLO45" s="579"/>
      <c r="DLP45" s="579"/>
      <c r="DLQ45" s="579"/>
      <c r="DLR45" s="579"/>
      <c r="DLS45" s="579"/>
      <c r="DLT45" s="579"/>
      <c r="DLU45" s="579"/>
      <c r="DLV45" s="579"/>
      <c r="DLW45" s="579"/>
      <c r="DLX45" s="579"/>
      <c r="DLY45" s="579"/>
      <c r="DLZ45" s="579"/>
      <c r="DMA45" s="579"/>
      <c r="DMB45" s="579"/>
      <c r="DMC45" s="579"/>
      <c r="DMD45" s="579"/>
      <c r="DME45" s="579"/>
      <c r="DMF45" s="579"/>
      <c r="DMG45" s="579"/>
      <c r="DMH45" s="579"/>
      <c r="DMI45" s="579"/>
      <c r="DMJ45" s="579"/>
      <c r="DMK45" s="579"/>
      <c r="DML45" s="579"/>
      <c r="DMM45" s="579"/>
      <c r="DMN45" s="579"/>
      <c r="DMO45" s="579"/>
      <c r="DMP45" s="579"/>
      <c r="DMQ45" s="579"/>
      <c r="DMR45" s="579"/>
      <c r="DMS45" s="579"/>
      <c r="DMT45" s="579"/>
      <c r="DMU45" s="579"/>
      <c r="DMV45" s="579"/>
      <c r="DMW45" s="579"/>
      <c r="DMX45" s="579"/>
      <c r="DMY45" s="579"/>
      <c r="DMZ45" s="579"/>
      <c r="DNA45" s="579"/>
      <c r="DNB45" s="579"/>
      <c r="DNC45" s="579"/>
      <c r="DND45" s="579"/>
      <c r="DNE45" s="579"/>
      <c r="DNF45" s="579"/>
      <c r="DNG45" s="579"/>
      <c r="DNH45" s="579"/>
      <c r="DNI45" s="579"/>
      <c r="DNJ45" s="579"/>
      <c r="DNK45" s="579"/>
      <c r="DNL45" s="579"/>
      <c r="DNM45" s="579"/>
      <c r="DNN45" s="579"/>
      <c r="DNO45" s="579"/>
      <c r="DNP45" s="579"/>
      <c r="DNQ45" s="579"/>
      <c r="DNR45" s="579"/>
      <c r="DNS45" s="579"/>
      <c r="DNT45" s="579"/>
      <c r="DNU45" s="579"/>
      <c r="DNV45" s="579"/>
      <c r="DNW45" s="579"/>
      <c r="DNX45" s="579"/>
      <c r="DNY45" s="579"/>
      <c r="DNZ45" s="579"/>
      <c r="DOA45" s="579"/>
      <c r="DOB45" s="579"/>
      <c r="DOC45" s="579"/>
      <c r="DOD45" s="579"/>
      <c r="DOE45" s="579"/>
      <c r="DOF45" s="579"/>
      <c r="DOG45" s="579"/>
      <c r="DOH45" s="579"/>
      <c r="DOI45" s="579"/>
      <c r="DOJ45" s="579"/>
      <c r="DOK45" s="579"/>
      <c r="DOL45" s="579"/>
      <c r="DOM45" s="579"/>
      <c r="DON45" s="579"/>
      <c r="DOO45" s="579"/>
      <c r="DOP45" s="579"/>
      <c r="DOQ45" s="579"/>
      <c r="DOR45" s="579"/>
      <c r="DOS45" s="579"/>
      <c r="DOT45" s="579"/>
      <c r="DOU45" s="579"/>
      <c r="DOV45" s="579"/>
      <c r="DOW45" s="579"/>
      <c r="DOX45" s="579"/>
      <c r="DOY45" s="579"/>
      <c r="DOZ45" s="579"/>
      <c r="DPA45" s="579"/>
      <c r="DPB45" s="579"/>
      <c r="DPC45" s="579"/>
      <c r="DPD45" s="579"/>
      <c r="DPE45" s="579"/>
      <c r="DPF45" s="579"/>
      <c r="DPG45" s="579"/>
      <c r="DPH45" s="579"/>
      <c r="DPI45" s="579"/>
      <c r="DPJ45" s="579"/>
      <c r="DPK45" s="579"/>
      <c r="DPL45" s="579"/>
      <c r="DPM45" s="579"/>
      <c r="DPN45" s="579"/>
      <c r="DPO45" s="579"/>
      <c r="DPP45" s="579"/>
      <c r="DPQ45" s="579"/>
      <c r="DPR45" s="579"/>
      <c r="DPS45" s="579"/>
      <c r="DPT45" s="579"/>
      <c r="DPU45" s="579"/>
      <c r="DPV45" s="579"/>
      <c r="DPW45" s="579"/>
      <c r="DPX45" s="579"/>
      <c r="DPY45" s="579"/>
      <c r="DPZ45" s="579"/>
      <c r="DQA45" s="579"/>
      <c r="DQB45" s="579"/>
      <c r="DQC45" s="579"/>
      <c r="DQD45" s="579"/>
      <c r="DQE45" s="579"/>
      <c r="DQF45" s="579"/>
      <c r="DQG45" s="579"/>
      <c r="DQH45" s="579"/>
      <c r="DQI45" s="579"/>
      <c r="DQJ45" s="579"/>
      <c r="DQK45" s="579"/>
      <c r="DQL45" s="579"/>
      <c r="DQM45" s="579"/>
      <c r="DQN45" s="579"/>
      <c r="DQO45" s="579"/>
      <c r="DQP45" s="579"/>
      <c r="DQQ45" s="579"/>
      <c r="DQR45" s="579"/>
      <c r="DQS45" s="579"/>
      <c r="DQT45" s="579"/>
      <c r="DQU45" s="579"/>
      <c r="DQV45" s="579"/>
      <c r="DQW45" s="579"/>
      <c r="DQX45" s="579"/>
      <c r="DQY45" s="579"/>
      <c r="DQZ45" s="579"/>
      <c r="DRA45" s="579"/>
      <c r="DRB45" s="579"/>
      <c r="DRC45" s="579"/>
      <c r="DRD45" s="579"/>
      <c r="DRE45" s="579"/>
      <c r="DRF45" s="579"/>
      <c r="DRG45" s="579"/>
      <c r="DRH45" s="579"/>
      <c r="DRI45" s="579"/>
      <c r="DRJ45" s="579"/>
      <c r="DRK45" s="579"/>
      <c r="DRL45" s="579"/>
      <c r="DRM45" s="579"/>
      <c r="DRN45" s="579"/>
      <c r="DRO45" s="579"/>
      <c r="DRP45" s="579"/>
      <c r="DRQ45" s="579"/>
      <c r="DRR45" s="579"/>
      <c r="DRS45" s="579"/>
      <c r="DRT45" s="579"/>
      <c r="DRU45" s="579"/>
      <c r="DRV45" s="579"/>
      <c r="DRW45" s="579"/>
      <c r="DRX45" s="579"/>
      <c r="DRY45" s="579"/>
      <c r="DRZ45" s="579"/>
      <c r="DSA45" s="579"/>
      <c r="DSB45" s="579"/>
      <c r="DSC45" s="579"/>
      <c r="DSD45" s="579"/>
      <c r="DSE45" s="579"/>
      <c r="DSF45" s="579"/>
      <c r="DSG45" s="579"/>
      <c r="DSH45" s="579"/>
      <c r="DSI45" s="579"/>
      <c r="DSJ45" s="579"/>
      <c r="DSK45" s="579"/>
      <c r="DSL45" s="579"/>
      <c r="DSM45" s="579"/>
      <c r="DSN45" s="579"/>
      <c r="DSO45" s="579"/>
      <c r="DSP45" s="579"/>
      <c r="DSQ45" s="579"/>
      <c r="DSR45" s="579"/>
      <c r="DSS45" s="579"/>
      <c r="DST45" s="579"/>
      <c r="DSU45" s="579"/>
      <c r="DSV45" s="579"/>
      <c r="DSW45" s="579"/>
      <c r="DSX45" s="579"/>
      <c r="DSY45" s="579"/>
      <c r="DSZ45" s="579"/>
      <c r="DTA45" s="579"/>
      <c r="DTB45" s="579"/>
      <c r="DTC45" s="579"/>
      <c r="DTD45" s="579"/>
      <c r="DTE45" s="579"/>
      <c r="DTF45" s="579"/>
      <c r="DTG45" s="579"/>
      <c r="DTH45" s="579"/>
      <c r="DTI45" s="579"/>
      <c r="DTJ45" s="579"/>
      <c r="DTK45" s="579"/>
      <c r="DTL45" s="579"/>
      <c r="DTM45" s="579"/>
      <c r="DTN45" s="579"/>
      <c r="DTO45" s="579"/>
      <c r="DTP45" s="579"/>
      <c r="DTQ45" s="579"/>
      <c r="DTR45" s="579"/>
      <c r="DTS45" s="579"/>
      <c r="DTT45" s="579"/>
      <c r="DTU45" s="579"/>
      <c r="DTV45" s="579"/>
      <c r="DTW45" s="579"/>
      <c r="DTX45" s="579"/>
      <c r="DTY45" s="579"/>
      <c r="DTZ45" s="579"/>
      <c r="DUA45" s="579"/>
      <c r="DUB45" s="579"/>
      <c r="DUC45" s="579"/>
      <c r="DUD45" s="579"/>
      <c r="DUE45" s="579"/>
      <c r="DUF45" s="579"/>
      <c r="DUG45" s="579"/>
      <c r="DUH45" s="579"/>
      <c r="DUI45" s="579"/>
      <c r="DUJ45" s="579"/>
      <c r="DUK45" s="579"/>
      <c r="DUL45" s="579"/>
      <c r="DUM45" s="579"/>
      <c r="DUN45" s="579"/>
      <c r="DUO45" s="579"/>
      <c r="DUP45" s="579"/>
      <c r="DUQ45" s="579"/>
      <c r="DUR45" s="579"/>
      <c r="DUS45" s="579"/>
      <c r="DUT45" s="579"/>
      <c r="DUU45" s="579"/>
      <c r="DUV45" s="579"/>
      <c r="DUW45" s="579"/>
      <c r="DUX45" s="579"/>
      <c r="DUY45" s="579"/>
      <c r="DUZ45" s="579"/>
      <c r="DVA45" s="579"/>
      <c r="DVB45" s="579"/>
      <c r="DVC45" s="579"/>
      <c r="DVD45" s="579"/>
      <c r="DVE45" s="579"/>
      <c r="DVF45" s="579"/>
      <c r="DVG45" s="579"/>
      <c r="DVH45" s="579"/>
      <c r="DVI45" s="579"/>
      <c r="DVJ45" s="579"/>
      <c r="DVK45" s="579"/>
      <c r="DVL45" s="579"/>
      <c r="DVM45" s="579"/>
      <c r="DVN45" s="579"/>
      <c r="DVO45" s="579"/>
      <c r="DVP45" s="579"/>
      <c r="DVQ45" s="579"/>
      <c r="DVR45" s="579"/>
      <c r="DVS45" s="579"/>
      <c r="DVT45" s="579"/>
      <c r="DVU45" s="579"/>
      <c r="DVV45" s="579"/>
      <c r="DVW45" s="579"/>
      <c r="DVX45" s="579"/>
      <c r="DVY45" s="579"/>
      <c r="DVZ45" s="579"/>
      <c r="DWA45" s="579"/>
      <c r="DWB45" s="579"/>
      <c r="DWC45" s="579"/>
      <c r="DWD45" s="579"/>
      <c r="DWE45" s="579"/>
      <c r="DWF45" s="579"/>
      <c r="DWG45" s="579"/>
      <c r="DWH45" s="579"/>
      <c r="DWI45" s="579"/>
      <c r="DWJ45" s="579"/>
      <c r="DWK45" s="579"/>
      <c r="DWL45" s="579"/>
      <c r="DWM45" s="579"/>
      <c r="DWN45" s="579"/>
      <c r="DWO45" s="579"/>
      <c r="DWP45" s="579"/>
      <c r="DWQ45" s="579"/>
      <c r="DWR45" s="579"/>
      <c r="DWS45" s="579"/>
      <c r="DWT45" s="579"/>
      <c r="DWU45" s="579"/>
      <c r="DWV45" s="579"/>
      <c r="DWW45" s="579"/>
      <c r="DWX45" s="579"/>
      <c r="DWY45" s="579"/>
      <c r="DWZ45" s="579"/>
      <c r="DXA45" s="579"/>
      <c r="DXB45" s="579"/>
      <c r="DXC45" s="579"/>
      <c r="DXD45" s="579"/>
      <c r="DXE45" s="579"/>
      <c r="DXF45" s="579"/>
      <c r="DXG45" s="579"/>
      <c r="DXH45" s="579"/>
      <c r="DXI45" s="579"/>
      <c r="DXJ45" s="579"/>
      <c r="DXK45" s="579"/>
      <c r="DXL45" s="579"/>
      <c r="DXM45" s="579"/>
      <c r="DXN45" s="579"/>
      <c r="DXO45" s="579"/>
      <c r="DXP45" s="579"/>
      <c r="DXQ45" s="579"/>
      <c r="DXR45" s="579"/>
      <c r="DXS45" s="579"/>
      <c r="DXT45" s="579"/>
      <c r="DXU45" s="579"/>
      <c r="DXV45" s="579"/>
      <c r="DXW45" s="579"/>
      <c r="DXX45" s="579"/>
      <c r="DXY45" s="579"/>
      <c r="DXZ45" s="579"/>
      <c r="DYA45" s="579"/>
      <c r="DYB45" s="579"/>
      <c r="DYC45" s="579"/>
      <c r="DYD45" s="579"/>
      <c r="DYE45" s="579"/>
      <c r="DYF45" s="579"/>
      <c r="DYG45" s="579"/>
      <c r="DYH45" s="579"/>
      <c r="DYI45" s="579"/>
      <c r="DYJ45" s="579"/>
      <c r="DYK45" s="579"/>
      <c r="DYL45" s="579"/>
      <c r="DYM45" s="579"/>
      <c r="DYN45" s="579"/>
      <c r="DYO45" s="579"/>
      <c r="DYP45" s="579"/>
      <c r="DYQ45" s="579"/>
      <c r="DYR45" s="579"/>
      <c r="DYS45" s="579"/>
      <c r="DYT45" s="579"/>
      <c r="DYU45" s="579"/>
      <c r="DYV45" s="579"/>
      <c r="DYW45" s="579"/>
      <c r="DYX45" s="579"/>
      <c r="DYY45" s="579"/>
      <c r="DYZ45" s="579"/>
      <c r="DZA45" s="579"/>
      <c r="DZB45" s="579"/>
      <c r="DZC45" s="579"/>
      <c r="DZD45" s="579"/>
      <c r="DZE45" s="579"/>
      <c r="DZF45" s="579"/>
      <c r="DZG45" s="579"/>
      <c r="DZH45" s="579"/>
      <c r="DZI45" s="579"/>
      <c r="DZJ45" s="579"/>
      <c r="DZK45" s="579"/>
      <c r="DZL45" s="579"/>
      <c r="DZM45" s="579"/>
      <c r="DZN45" s="579"/>
      <c r="DZO45" s="579"/>
      <c r="DZP45" s="579"/>
      <c r="DZQ45" s="579"/>
      <c r="DZR45" s="579"/>
      <c r="DZS45" s="579"/>
      <c r="DZT45" s="579"/>
      <c r="DZU45" s="579"/>
      <c r="DZV45" s="579"/>
      <c r="DZW45" s="579"/>
      <c r="DZX45" s="579"/>
      <c r="DZY45" s="579"/>
      <c r="DZZ45" s="579"/>
      <c r="EAA45" s="579"/>
      <c r="EAB45" s="579"/>
      <c r="EAC45" s="579"/>
      <c r="EAD45" s="579"/>
      <c r="EAE45" s="579"/>
      <c r="EAF45" s="579"/>
      <c r="EAG45" s="579"/>
      <c r="EAH45" s="579"/>
      <c r="EAI45" s="579"/>
      <c r="EAJ45" s="579"/>
      <c r="EAK45" s="579"/>
      <c r="EAL45" s="579"/>
      <c r="EAM45" s="579"/>
      <c r="EAN45" s="579"/>
      <c r="EAO45" s="579"/>
      <c r="EAP45" s="579"/>
      <c r="EAQ45" s="579"/>
      <c r="EAR45" s="579"/>
      <c r="EAS45" s="579"/>
      <c r="EAT45" s="579"/>
      <c r="EAU45" s="579"/>
      <c r="EAV45" s="579"/>
      <c r="EAW45" s="579"/>
      <c r="EAX45" s="579"/>
      <c r="EAY45" s="579"/>
      <c r="EAZ45" s="579"/>
      <c r="EBA45" s="579"/>
      <c r="EBB45" s="579"/>
      <c r="EBC45" s="579"/>
      <c r="EBD45" s="579"/>
      <c r="EBE45" s="579"/>
      <c r="EBF45" s="579"/>
      <c r="EBG45" s="579"/>
      <c r="EBH45" s="579"/>
      <c r="EBI45" s="579"/>
      <c r="EBJ45" s="579"/>
      <c r="EBK45" s="579"/>
      <c r="EBL45" s="579"/>
      <c r="EBM45" s="579"/>
      <c r="EBN45" s="579"/>
      <c r="EBO45" s="579"/>
      <c r="EBP45" s="579"/>
      <c r="EBQ45" s="579"/>
      <c r="EBR45" s="579"/>
      <c r="EBS45" s="579"/>
      <c r="EBT45" s="579"/>
      <c r="EBU45" s="579"/>
      <c r="EBV45" s="579"/>
      <c r="EBW45" s="579"/>
      <c r="EBX45" s="579"/>
      <c r="EBY45" s="579"/>
      <c r="EBZ45" s="579"/>
      <c r="ECA45" s="579"/>
      <c r="ECB45" s="579"/>
      <c r="ECC45" s="579"/>
      <c r="ECD45" s="579"/>
      <c r="ECE45" s="579"/>
      <c r="ECF45" s="579"/>
      <c r="ECG45" s="579"/>
      <c r="ECH45" s="579"/>
      <c r="ECI45" s="579"/>
      <c r="ECJ45" s="579"/>
      <c r="ECK45" s="579"/>
      <c r="ECL45" s="579"/>
      <c r="ECM45" s="579"/>
      <c r="ECN45" s="579"/>
      <c r="ECO45" s="579"/>
      <c r="ECP45" s="579"/>
      <c r="ECQ45" s="579"/>
      <c r="ECR45" s="579"/>
      <c r="ECS45" s="579"/>
      <c r="ECT45" s="579"/>
      <c r="ECU45" s="579"/>
      <c r="ECV45" s="579"/>
      <c r="ECW45" s="579"/>
      <c r="ECX45" s="579"/>
      <c r="ECY45" s="579"/>
      <c r="ECZ45" s="579"/>
      <c r="EDA45" s="579"/>
      <c r="EDB45" s="579"/>
      <c r="EDC45" s="579"/>
      <c r="EDD45" s="579"/>
      <c r="EDE45" s="579"/>
      <c r="EDF45" s="579"/>
      <c r="EDG45" s="579"/>
      <c r="EDH45" s="579"/>
      <c r="EDI45" s="579"/>
      <c r="EDJ45" s="579"/>
      <c r="EDK45" s="579"/>
      <c r="EDL45" s="579"/>
      <c r="EDM45" s="579"/>
      <c r="EDN45" s="579"/>
      <c r="EDO45" s="579"/>
      <c r="EDP45" s="579"/>
      <c r="EDQ45" s="579"/>
      <c r="EDR45" s="579"/>
      <c r="EDS45" s="579"/>
      <c r="EDT45" s="579"/>
      <c r="EDU45" s="579"/>
      <c r="EDV45" s="579"/>
      <c r="EDW45" s="579"/>
      <c r="EDX45" s="579"/>
      <c r="EDY45" s="579"/>
      <c r="EDZ45" s="579"/>
      <c r="EEA45" s="579"/>
      <c r="EEB45" s="579"/>
      <c r="EEC45" s="579"/>
      <c r="EED45" s="579"/>
      <c r="EEE45" s="579"/>
      <c r="EEF45" s="579"/>
      <c r="EEG45" s="579"/>
      <c r="EEH45" s="579"/>
      <c r="EEI45" s="579"/>
      <c r="EEJ45" s="579"/>
      <c r="EEK45" s="579"/>
      <c r="EEL45" s="579"/>
      <c r="EEM45" s="579"/>
      <c r="EEN45" s="579"/>
      <c r="EEO45" s="579"/>
      <c r="EEP45" s="579"/>
      <c r="EEQ45" s="579"/>
      <c r="EER45" s="579"/>
      <c r="EES45" s="579"/>
      <c r="EET45" s="579"/>
      <c r="EEU45" s="579"/>
      <c r="EEV45" s="579"/>
      <c r="EEW45" s="579"/>
      <c r="EEX45" s="579"/>
      <c r="EEY45" s="579"/>
      <c r="EEZ45" s="579"/>
      <c r="EFA45" s="579"/>
      <c r="EFB45" s="579"/>
      <c r="EFC45" s="579"/>
      <c r="EFD45" s="579"/>
      <c r="EFE45" s="579"/>
      <c r="EFF45" s="579"/>
      <c r="EFG45" s="579"/>
      <c r="EFH45" s="579"/>
      <c r="EFI45" s="579"/>
      <c r="EFJ45" s="579"/>
      <c r="EFK45" s="579"/>
      <c r="EFL45" s="579"/>
      <c r="EFM45" s="579"/>
      <c r="EFN45" s="579"/>
      <c r="EFO45" s="579"/>
      <c r="EFP45" s="579"/>
      <c r="EFQ45" s="579"/>
      <c r="EFR45" s="579"/>
      <c r="EFS45" s="579"/>
      <c r="EFT45" s="579"/>
      <c r="EFU45" s="579"/>
      <c r="EFV45" s="579"/>
      <c r="EFW45" s="579"/>
      <c r="EFX45" s="579"/>
      <c r="EFY45" s="579"/>
      <c r="EFZ45" s="579"/>
      <c r="EGA45" s="579"/>
      <c r="EGB45" s="579"/>
      <c r="EGC45" s="579"/>
      <c r="EGD45" s="579"/>
      <c r="EGE45" s="579"/>
      <c r="EGF45" s="579"/>
      <c r="EGG45" s="579"/>
      <c r="EGH45" s="579"/>
      <c r="EGI45" s="579"/>
      <c r="EGJ45" s="579"/>
      <c r="EGK45" s="579"/>
      <c r="EGL45" s="579"/>
      <c r="EGM45" s="579"/>
      <c r="EGN45" s="579"/>
      <c r="EGO45" s="579"/>
      <c r="EGP45" s="579"/>
      <c r="EGQ45" s="579"/>
      <c r="EGR45" s="579"/>
      <c r="EGS45" s="579"/>
      <c r="EGT45" s="579"/>
      <c r="EGU45" s="579"/>
      <c r="EGV45" s="579"/>
      <c r="EGW45" s="579"/>
      <c r="EGX45" s="579"/>
      <c r="EGY45" s="579"/>
      <c r="EGZ45" s="579"/>
      <c r="EHA45" s="579"/>
      <c r="EHB45" s="579"/>
      <c r="EHC45" s="579"/>
      <c r="EHD45" s="579"/>
      <c r="EHE45" s="579"/>
      <c r="EHF45" s="579"/>
      <c r="EHG45" s="579"/>
      <c r="EHH45" s="579"/>
      <c r="EHI45" s="579"/>
      <c r="EHJ45" s="579"/>
      <c r="EHK45" s="579"/>
      <c r="EHL45" s="579"/>
      <c r="EHM45" s="579"/>
      <c r="EHN45" s="579"/>
      <c r="EHO45" s="579"/>
      <c r="EHP45" s="579"/>
      <c r="EHQ45" s="579"/>
      <c r="EHR45" s="579"/>
      <c r="EHS45" s="579"/>
      <c r="EHT45" s="579"/>
      <c r="EHU45" s="579"/>
      <c r="EHV45" s="579"/>
      <c r="EHW45" s="579"/>
      <c r="EHX45" s="579"/>
      <c r="EHY45" s="579"/>
      <c r="EHZ45" s="579"/>
      <c r="EIA45" s="579"/>
      <c r="EIB45" s="579"/>
      <c r="EIC45" s="579"/>
      <c r="EID45" s="579"/>
      <c r="EIE45" s="579"/>
      <c r="EIF45" s="579"/>
      <c r="EIG45" s="579"/>
      <c r="EIH45" s="579"/>
      <c r="EII45" s="579"/>
      <c r="EIJ45" s="579"/>
      <c r="EIK45" s="579"/>
      <c r="EIL45" s="579"/>
      <c r="EIM45" s="579"/>
      <c r="EIN45" s="579"/>
      <c r="EIO45" s="579"/>
      <c r="EIP45" s="579"/>
      <c r="EIQ45" s="579"/>
      <c r="EIR45" s="579"/>
      <c r="EIS45" s="579"/>
      <c r="EIT45" s="579"/>
      <c r="EIU45" s="579"/>
      <c r="EIV45" s="579"/>
      <c r="EIW45" s="579"/>
      <c r="EIX45" s="579"/>
      <c r="EIY45" s="579"/>
      <c r="EIZ45" s="579"/>
      <c r="EJA45" s="579"/>
      <c r="EJB45" s="579"/>
      <c r="EJC45" s="579"/>
      <c r="EJD45" s="579"/>
      <c r="EJE45" s="579"/>
      <c r="EJF45" s="579"/>
      <c r="EJG45" s="579"/>
      <c r="EJH45" s="579"/>
      <c r="EJI45" s="579"/>
      <c r="EJJ45" s="579"/>
      <c r="EJK45" s="579"/>
      <c r="EJL45" s="579"/>
      <c r="EJM45" s="579"/>
      <c r="EJN45" s="579"/>
      <c r="EJO45" s="579"/>
      <c r="EJP45" s="579"/>
      <c r="EJQ45" s="579"/>
      <c r="EJR45" s="579"/>
      <c r="EJS45" s="579"/>
      <c r="EJT45" s="579"/>
      <c r="EJU45" s="579"/>
      <c r="EJV45" s="579"/>
      <c r="EJW45" s="579"/>
      <c r="EJX45" s="579"/>
      <c r="EJY45" s="579"/>
      <c r="EJZ45" s="579"/>
      <c r="EKA45" s="579"/>
      <c r="EKB45" s="579"/>
      <c r="EKC45" s="579"/>
      <c r="EKD45" s="579"/>
      <c r="EKE45" s="579"/>
      <c r="EKF45" s="579"/>
      <c r="EKG45" s="579"/>
      <c r="EKH45" s="579"/>
      <c r="EKI45" s="579"/>
      <c r="EKJ45" s="579"/>
      <c r="EKK45" s="579"/>
      <c r="EKL45" s="579"/>
      <c r="EKM45" s="579"/>
      <c r="EKN45" s="579"/>
      <c r="EKO45" s="579"/>
      <c r="EKP45" s="579"/>
      <c r="EKQ45" s="579"/>
      <c r="EKR45" s="579"/>
      <c r="EKS45" s="579"/>
      <c r="EKT45" s="579"/>
      <c r="EKU45" s="579"/>
      <c r="EKV45" s="579"/>
      <c r="EKW45" s="579"/>
      <c r="EKX45" s="579"/>
      <c r="EKY45" s="579"/>
      <c r="EKZ45" s="579"/>
      <c r="ELA45" s="579"/>
      <c r="ELB45" s="579"/>
      <c r="ELC45" s="579"/>
      <c r="ELD45" s="579"/>
      <c r="ELE45" s="579"/>
      <c r="ELF45" s="579"/>
      <c r="ELG45" s="579"/>
      <c r="ELH45" s="579"/>
      <c r="ELI45" s="579"/>
      <c r="ELJ45" s="579"/>
      <c r="ELK45" s="579"/>
      <c r="ELL45" s="579"/>
      <c r="ELM45" s="579"/>
      <c r="ELN45" s="579"/>
      <c r="ELO45" s="579"/>
      <c r="ELP45" s="579"/>
      <c r="ELQ45" s="579"/>
      <c r="ELR45" s="579"/>
      <c r="ELS45" s="579"/>
      <c r="ELT45" s="579"/>
      <c r="ELU45" s="579"/>
      <c r="ELV45" s="579"/>
      <c r="ELW45" s="579"/>
      <c r="ELX45" s="579"/>
      <c r="ELY45" s="579"/>
      <c r="ELZ45" s="579"/>
      <c r="EMA45" s="579"/>
      <c r="EMB45" s="579"/>
      <c r="EMC45" s="579"/>
      <c r="EMD45" s="579"/>
      <c r="EME45" s="579"/>
      <c r="EMF45" s="579"/>
      <c r="EMG45" s="579"/>
      <c r="EMH45" s="579"/>
      <c r="EMI45" s="579"/>
      <c r="EMJ45" s="579"/>
      <c r="EMK45" s="579"/>
      <c r="EML45" s="579"/>
      <c r="EMM45" s="579"/>
      <c r="EMN45" s="579"/>
      <c r="EMO45" s="579"/>
      <c r="EMP45" s="579"/>
      <c r="EMQ45" s="579"/>
      <c r="EMR45" s="579"/>
      <c r="EMS45" s="579"/>
      <c r="EMT45" s="579"/>
      <c r="EMU45" s="579"/>
      <c r="EMV45" s="579"/>
      <c r="EMW45" s="579"/>
      <c r="EMX45" s="579"/>
      <c r="EMY45" s="579"/>
      <c r="EMZ45" s="579"/>
      <c r="ENA45" s="579"/>
      <c r="ENB45" s="579"/>
      <c r="ENC45" s="579"/>
      <c r="END45" s="579"/>
      <c r="ENE45" s="579"/>
      <c r="ENF45" s="579"/>
      <c r="ENG45" s="579"/>
      <c r="ENH45" s="579"/>
      <c r="ENI45" s="579"/>
      <c r="ENJ45" s="579"/>
      <c r="ENK45" s="579"/>
      <c r="ENL45" s="579"/>
      <c r="ENM45" s="579"/>
      <c r="ENN45" s="579"/>
      <c r="ENO45" s="579"/>
      <c r="ENP45" s="579"/>
      <c r="ENQ45" s="579"/>
      <c r="ENR45" s="579"/>
      <c r="ENS45" s="579"/>
      <c r="ENT45" s="579"/>
      <c r="ENU45" s="579"/>
      <c r="ENV45" s="579"/>
      <c r="ENW45" s="579"/>
      <c r="ENX45" s="579"/>
      <c r="ENY45" s="579"/>
      <c r="ENZ45" s="579"/>
      <c r="EOA45" s="579"/>
      <c r="EOB45" s="579"/>
      <c r="EOC45" s="579"/>
      <c r="EOD45" s="579"/>
      <c r="EOE45" s="579"/>
      <c r="EOF45" s="579"/>
      <c r="EOG45" s="579"/>
      <c r="EOH45" s="579"/>
      <c r="EOI45" s="579"/>
      <c r="EOJ45" s="579"/>
      <c r="EOK45" s="579"/>
      <c r="EOL45" s="579"/>
      <c r="EOM45" s="579"/>
      <c r="EON45" s="579"/>
      <c r="EOO45" s="579"/>
      <c r="EOP45" s="579"/>
      <c r="EOQ45" s="579"/>
      <c r="EOR45" s="579"/>
      <c r="EOS45" s="579"/>
      <c r="EOT45" s="579"/>
      <c r="EOU45" s="579"/>
      <c r="EOV45" s="579"/>
      <c r="EOW45" s="579"/>
      <c r="EOX45" s="579"/>
      <c r="EOY45" s="579"/>
      <c r="EOZ45" s="579"/>
      <c r="EPA45" s="579"/>
      <c r="EPB45" s="579"/>
      <c r="EPC45" s="579"/>
      <c r="EPD45" s="579"/>
      <c r="EPE45" s="579"/>
      <c r="EPF45" s="579"/>
      <c r="EPG45" s="579"/>
      <c r="EPH45" s="579"/>
      <c r="EPI45" s="579"/>
      <c r="EPJ45" s="579"/>
      <c r="EPK45" s="579"/>
      <c r="EPL45" s="579"/>
      <c r="EPM45" s="579"/>
      <c r="EPN45" s="579"/>
      <c r="EPO45" s="579"/>
      <c r="EPP45" s="579"/>
      <c r="EPQ45" s="579"/>
      <c r="EPR45" s="579"/>
      <c r="EPS45" s="579"/>
      <c r="EPT45" s="579"/>
      <c r="EPU45" s="579"/>
      <c r="EPV45" s="579"/>
      <c r="EPW45" s="579"/>
      <c r="EPX45" s="579"/>
      <c r="EPY45" s="579"/>
      <c r="EPZ45" s="579"/>
      <c r="EQA45" s="579"/>
      <c r="EQB45" s="579"/>
      <c r="EQC45" s="579"/>
      <c r="EQD45" s="579"/>
      <c r="EQE45" s="579"/>
      <c r="EQF45" s="579"/>
      <c r="EQG45" s="579"/>
      <c r="EQH45" s="579"/>
      <c r="EQI45" s="579"/>
      <c r="EQJ45" s="579"/>
      <c r="EQK45" s="579"/>
      <c r="EQL45" s="579"/>
      <c r="EQM45" s="579"/>
      <c r="EQN45" s="579"/>
      <c r="EQO45" s="579"/>
      <c r="EQP45" s="579"/>
      <c r="EQQ45" s="579"/>
      <c r="EQR45" s="579"/>
      <c r="EQS45" s="579"/>
      <c r="EQT45" s="579"/>
      <c r="EQU45" s="579"/>
      <c r="EQV45" s="579"/>
      <c r="EQW45" s="579"/>
      <c r="EQX45" s="579"/>
      <c r="EQY45" s="579"/>
      <c r="EQZ45" s="579"/>
      <c r="ERA45" s="579"/>
      <c r="ERB45" s="579"/>
      <c r="ERC45" s="579"/>
      <c r="ERD45" s="579"/>
      <c r="ERE45" s="579"/>
      <c r="ERF45" s="579"/>
      <c r="ERG45" s="579"/>
      <c r="ERH45" s="579"/>
      <c r="ERI45" s="579"/>
      <c r="ERJ45" s="579"/>
      <c r="ERK45" s="579"/>
      <c r="ERL45" s="579"/>
      <c r="ERM45" s="579"/>
      <c r="ERN45" s="579"/>
      <c r="ERO45" s="579"/>
      <c r="ERP45" s="579"/>
      <c r="ERQ45" s="579"/>
      <c r="ERR45" s="579"/>
      <c r="ERS45" s="579"/>
      <c r="ERT45" s="579"/>
      <c r="ERU45" s="579"/>
      <c r="ERV45" s="579"/>
      <c r="ERW45" s="579"/>
      <c r="ERX45" s="579"/>
      <c r="ERY45" s="579"/>
      <c r="ERZ45" s="579"/>
      <c r="ESA45" s="579"/>
      <c r="ESB45" s="579"/>
      <c r="ESC45" s="579"/>
      <c r="ESD45" s="579"/>
      <c r="ESE45" s="579"/>
      <c r="ESF45" s="579"/>
      <c r="ESG45" s="579"/>
      <c r="ESH45" s="579"/>
      <c r="ESI45" s="579"/>
      <c r="ESJ45" s="579"/>
      <c r="ESK45" s="579"/>
      <c r="ESL45" s="579"/>
      <c r="ESM45" s="579"/>
      <c r="ESN45" s="579"/>
      <c r="ESO45" s="579"/>
      <c r="ESP45" s="579"/>
      <c r="ESQ45" s="579"/>
      <c r="ESR45" s="579"/>
      <c r="ESS45" s="579"/>
      <c r="EST45" s="579"/>
      <c r="ESU45" s="579"/>
      <c r="ESV45" s="579"/>
      <c r="ESW45" s="579"/>
      <c r="ESX45" s="579"/>
      <c r="ESY45" s="579"/>
      <c r="ESZ45" s="579"/>
      <c r="ETA45" s="579"/>
      <c r="ETB45" s="579"/>
      <c r="ETC45" s="579"/>
      <c r="ETD45" s="579"/>
      <c r="ETE45" s="579"/>
      <c r="ETF45" s="579"/>
      <c r="ETG45" s="579"/>
      <c r="ETH45" s="579"/>
      <c r="ETI45" s="579"/>
      <c r="ETJ45" s="579"/>
      <c r="ETK45" s="579"/>
      <c r="ETL45" s="579"/>
      <c r="ETM45" s="579"/>
      <c r="ETN45" s="579"/>
      <c r="ETO45" s="579"/>
      <c r="ETP45" s="579"/>
      <c r="ETQ45" s="579"/>
      <c r="ETR45" s="579"/>
      <c r="ETS45" s="579"/>
      <c r="ETT45" s="579"/>
      <c r="ETU45" s="579"/>
      <c r="ETV45" s="579"/>
      <c r="ETW45" s="579"/>
      <c r="ETX45" s="579"/>
      <c r="ETY45" s="579"/>
      <c r="ETZ45" s="579"/>
      <c r="EUA45" s="579"/>
      <c r="EUB45" s="579"/>
      <c r="EUC45" s="579"/>
      <c r="EUD45" s="579"/>
      <c r="EUE45" s="579"/>
      <c r="EUF45" s="579"/>
      <c r="EUG45" s="579"/>
      <c r="EUH45" s="579"/>
      <c r="EUI45" s="579"/>
      <c r="EUJ45" s="579"/>
      <c r="EUK45" s="579"/>
      <c r="EUL45" s="579"/>
      <c r="EUM45" s="579"/>
      <c r="EUN45" s="579"/>
      <c r="EUO45" s="579"/>
      <c r="EUP45" s="579"/>
      <c r="EUQ45" s="579"/>
      <c r="EUR45" s="579"/>
      <c r="EUS45" s="579"/>
      <c r="EUT45" s="579"/>
      <c r="EUU45" s="579"/>
      <c r="EUV45" s="579"/>
      <c r="EUW45" s="579"/>
      <c r="EUX45" s="579"/>
      <c r="EUY45" s="579"/>
      <c r="EUZ45" s="579"/>
      <c r="EVA45" s="579"/>
      <c r="EVB45" s="579"/>
      <c r="EVC45" s="579"/>
      <c r="EVD45" s="579"/>
      <c r="EVE45" s="579"/>
      <c r="EVF45" s="579"/>
      <c r="EVG45" s="579"/>
      <c r="EVH45" s="579"/>
      <c r="EVI45" s="579"/>
      <c r="EVJ45" s="579"/>
      <c r="EVK45" s="579"/>
      <c r="EVL45" s="579"/>
      <c r="EVM45" s="579"/>
      <c r="EVN45" s="579"/>
      <c r="EVO45" s="579"/>
      <c r="EVP45" s="579"/>
      <c r="EVQ45" s="579"/>
      <c r="EVR45" s="579"/>
      <c r="EVS45" s="579"/>
      <c r="EVT45" s="579"/>
      <c r="EVU45" s="579"/>
      <c r="EVV45" s="579"/>
      <c r="EVW45" s="579"/>
      <c r="EVX45" s="579"/>
      <c r="EVY45" s="579"/>
      <c r="EVZ45" s="579"/>
      <c r="EWA45" s="579"/>
      <c r="EWB45" s="579"/>
      <c r="EWC45" s="579"/>
      <c r="EWD45" s="579"/>
      <c r="EWE45" s="579"/>
      <c r="EWF45" s="579"/>
      <c r="EWG45" s="579"/>
      <c r="EWH45" s="579"/>
      <c r="EWI45" s="579"/>
      <c r="EWJ45" s="579"/>
      <c r="EWK45" s="579"/>
      <c r="EWL45" s="579"/>
      <c r="EWM45" s="579"/>
      <c r="EWN45" s="579"/>
      <c r="EWO45" s="579"/>
      <c r="EWP45" s="579"/>
      <c r="EWQ45" s="579"/>
      <c r="EWR45" s="579"/>
      <c r="EWS45" s="579"/>
      <c r="EWT45" s="579"/>
      <c r="EWU45" s="579"/>
      <c r="EWV45" s="579"/>
      <c r="EWW45" s="579"/>
      <c r="EWX45" s="579"/>
      <c r="EWY45" s="579"/>
      <c r="EWZ45" s="579"/>
      <c r="EXA45" s="579"/>
      <c r="EXB45" s="579"/>
      <c r="EXC45" s="579"/>
      <c r="EXD45" s="579"/>
      <c r="EXE45" s="579"/>
      <c r="EXF45" s="579"/>
      <c r="EXG45" s="579"/>
      <c r="EXH45" s="579"/>
      <c r="EXI45" s="579"/>
      <c r="EXJ45" s="579"/>
      <c r="EXK45" s="579"/>
      <c r="EXL45" s="579"/>
      <c r="EXM45" s="579"/>
      <c r="EXN45" s="579"/>
      <c r="EXO45" s="579"/>
      <c r="EXP45" s="579"/>
      <c r="EXQ45" s="579"/>
      <c r="EXR45" s="579"/>
      <c r="EXS45" s="579"/>
      <c r="EXT45" s="579"/>
      <c r="EXU45" s="579"/>
      <c r="EXV45" s="579"/>
      <c r="EXW45" s="579"/>
      <c r="EXX45" s="579"/>
      <c r="EXY45" s="579"/>
      <c r="EXZ45" s="579"/>
      <c r="EYA45" s="579"/>
      <c r="EYB45" s="579"/>
      <c r="EYC45" s="579"/>
      <c r="EYD45" s="579"/>
      <c r="EYE45" s="579"/>
      <c r="EYF45" s="579"/>
      <c r="EYG45" s="579"/>
      <c r="EYH45" s="579"/>
      <c r="EYI45" s="579"/>
      <c r="EYJ45" s="579"/>
      <c r="EYK45" s="579"/>
      <c r="EYL45" s="579"/>
      <c r="EYM45" s="579"/>
      <c r="EYN45" s="579"/>
      <c r="EYO45" s="579"/>
      <c r="EYP45" s="579"/>
      <c r="EYQ45" s="579"/>
      <c r="EYR45" s="579"/>
      <c r="EYS45" s="579"/>
      <c r="EYT45" s="579"/>
      <c r="EYU45" s="579"/>
      <c r="EYV45" s="579"/>
      <c r="EYW45" s="579"/>
      <c r="EYX45" s="579"/>
      <c r="EYY45" s="579"/>
      <c r="EYZ45" s="579"/>
      <c r="EZA45" s="579"/>
      <c r="EZB45" s="579"/>
      <c r="EZC45" s="579"/>
      <c r="EZD45" s="579"/>
      <c r="EZE45" s="579"/>
      <c r="EZF45" s="579"/>
      <c r="EZG45" s="579"/>
      <c r="EZH45" s="579"/>
      <c r="EZI45" s="579"/>
      <c r="EZJ45" s="579"/>
      <c r="EZK45" s="579"/>
      <c r="EZL45" s="579"/>
      <c r="EZM45" s="579"/>
      <c r="EZN45" s="579"/>
      <c r="EZO45" s="579"/>
      <c r="EZP45" s="579"/>
      <c r="EZQ45" s="579"/>
      <c r="EZR45" s="579"/>
      <c r="EZS45" s="579"/>
      <c r="EZT45" s="579"/>
      <c r="EZU45" s="579"/>
      <c r="EZV45" s="579"/>
      <c r="EZW45" s="579"/>
      <c r="EZX45" s="579"/>
      <c r="EZY45" s="579"/>
      <c r="EZZ45" s="579"/>
      <c r="FAA45" s="579"/>
      <c r="FAB45" s="579"/>
      <c r="FAC45" s="579"/>
      <c r="FAD45" s="579"/>
      <c r="FAE45" s="579"/>
      <c r="FAF45" s="579"/>
      <c r="FAG45" s="579"/>
      <c r="FAH45" s="579"/>
      <c r="FAI45" s="579"/>
      <c r="FAJ45" s="579"/>
      <c r="FAK45" s="579"/>
      <c r="FAL45" s="579"/>
      <c r="FAM45" s="579"/>
      <c r="FAN45" s="579"/>
      <c r="FAO45" s="579"/>
      <c r="FAP45" s="579"/>
      <c r="FAQ45" s="579"/>
      <c r="FAR45" s="579"/>
      <c r="FAS45" s="579"/>
      <c r="FAT45" s="579"/>
      <c r="FAU45" s="579"/>
      <c r="FAV45" s="579"/>
      <c r="FAW45" s="579"/>
      <c r="FAX45" s="579"/>
      <c r="FAY45" s="579"/>
      <c r="FAZ45" s="579"/>
      <c r="FBA45" s="579"/>
      <c r="FBB45" s="579"/>
      <c r="FBC45" s="579"/>
      <c r="FBD45" s="579"/>
      <c r="FBE45" s="579"/>
      <c r="FBF45" s="579"/>
      <c r="FBG45" s="579"/>
      <c r="FBH45" s="579"/>
      <c r="FBI45" s="579"/>
      <c r="FBJ45" s="579"/>
      <c r="FBK45" s="579"/>
      <c r="FBL45" s="579"/>
      <c r="FBM45" s="579"/>
      <c r="FBN45" s="579"/>
      <c r="FBO45" s="579"/>
      <c r="FBP45" s="579"/>
      <c r="FBQ45" s="579"/>
      <c r="FBR45" s="579"/>
      <c r="FBS45" s="579"/>
      <c r="FBT45" s="579"/>
      <c r="FBU45" s="579"/>
      <c r="FBV45" s="579"/>
      <c r="FBW45" s="579"/>
      <c r="FBX45" s="579"/>
      <c r="FBY45" s="579"/>
      <c r="FBZ45" s="579"/>
      <c r="FCA45" s="579"/>
      <c r="FCB45" s="579"/>
      <c r="FCC45" s="579"/>
      <c r="FCD45" s="579"/>
      <c r="FCE45" s="579"/>
      <c r="FCF45" s="579"/>
      <c r="FCG45" s="579"/>
      <c r="FCH45" s="579"/>
      <c r="FCI45" s="579"/>
      <c r="FCJ45" s="579"/>
      <c r="FCK45" s="579"/>
      <c r="FCL45" s="579"/>
      <c r="FCM45" s="579"/>
      <c r="FCN45" s="579"/>
      <c r="FCO45" s="579"/>
      <c r="FCP45" s="579"/>
      <c r="FCQ45" s="579"/>
      <c r="FCR45" s="579"/>
      <c r="FCS45" s="579"/>
      <c r="FCT45" s="579"/>
      <c r="FCU45" s="579"/>
      <c r="FCV45" s="579"/>
      <c r="FCW45" s="579"/>
      <c r="FCX45" s="579"/>
      <c r="FCY45" s="579"/>
      <c r="FCZ45" s="579"/>
      <c r="FDA45" s="579"/>
      <c r="FDB45" s="579"/>
      <c r="FDC45" s="579"/>
      <c r="FDD45" s="579"/>
      <c r="FDE45" s="579"/>
      <c r="FDF45" s="579"/>
      <c r="FDG45" s="579"/>
      <c r="FDH45" s="579"/>
      <c r="FDI45" s="579"/>
      <c r="FDJ45" s="579"/>
      <c r="FDK45" s="579"/>
      <c r="FDL45" s="579"/>
      <c r="FDM45" s="579"/>
      <c r="FDN45" s="579"/>
      <c r="FDO45" s="579"/>
      <c r="FDP45" s="579"/>
      <c r="FDQ45" s="579"/>
      <c r="FDR45" s="579"/>
      <c r="FDS45" s="579"/>
      <c r="FDT45" s="579"/>
      <c r="FDU45" s="579"/>
      <c r="FDV45" s="579"/>
      <c r="FDW45" s="579"/>
      <c r="FDX45" s="579"/>
      <c r="FDY45" s="579"/>
      <c r="FDZ45" s="579"/>
      <c r="FEA45" s="579"/>
      <c r="FEB45" s="579"/>
      <c r="FEC45" s="579"/>
      <c r="FED45" s="579"/>
      <c r="FEE45" s="579"/>
      <c r="FEF45" s="579"/>
      <c r="FEG45" s="579"/>
      <c r="FEH45" s="579"/>
      <c r="FEI45" s="579"/>
      <c r="FEJ45" s="579"/>
      <c r="FEK45" s="579"/>
      <c r="FEL45" s="579"/>
      <c r="FEM45" s="579"/>
      <c r="FEN45" s="579"/>
      <c r="FEO45" s="579"/>
      <c r="FEP45" s="579"/>
      <c r="FEQ45" s="579"/>
      <c r="FER45" s="579"/>
      <c r="FES45" s="579"/>
      <c r="FET45" s="579"/>
      <c r="FEU45" s="579"/>
      <c r="FEV45" s="579"/>
      <c r="FEW45" s="579"/>
      <c r="FEX45" s="579"/>
      <c r="FEY45" s="579"/>
      <c r="FEZ45" s="579"/>
      <c r="FFA45" s="579"/>
      <c r="FFB45" s="579"/>
      <c r="FFC45" s="579"/>
      <c r="FFD45" s="579"/>
      <c r="FFE45" s="579"/>
      <c r="FFF45" s="579"/>
      <c r="FFG45" s="579"/>
      <c r="FFH45" s="579"/>
      <c r="FFI45" s="579"/>
      <c r="FFJ45" s="579"/>
      <c r="FFK45" s="579"/>
      <c r="FFL45" s="579"/>
      <c r="FFM45" s="579"/>
      <c r="FFN45" s="579"/>
      <c r="FFO45" s="579"/>
      <c r="FFP45" s="579"/>
      <c r="FFQ45" s="579"/>
      <c r="FFR45" s="579"/>
      <c r="FFS45" s="579"/>
      <c r="FFT45" s="579"/>
      <c r="FFU45" s="579"/>
      <c r="FFV45" s="579"/>
      <c r="FFW45" s="579"/>
      <c r="FFX45" s="579"/>
      <c r="FFY45" s="579"/>
      <c r="FFZ45" s="579"/>
      <c r="FGA45" s="579"/>
      <c r="FGB45" s="579"/>
      <c r="FGC45" s="579"/>
      <c r="FGD45" s="579"/>
      <c r="FGE45" s="579"/>
      <c r="FGF45" s="579"/>
      <c r="FGG45" s="579"/>
      <c r="FGH45" s="579"/>
      <c r="FGI45" s="579"/>
      <c r="FGJ45" s="579"/>
      <c r="FGK45" s="579"/>
      <c r="FGL45" s="579"/>
      <c r="FGM45" s="579"/>
      <c r="FGN45" s="579"/>
      <c r="FGO45" s="579"/>
      <c r="FGP45" s="579"/>
      <c r="FGQ45" s="579"/>
      <c r="FGR45" s="579"/>
      <c r="FGS45" s="579"/>
      <c r="FGT45" s="579"/>
      <c r="FGU45" s="579"/>
      <c r="FGV45" s="579"/>
      <c r="FGW45" s="579"/>
      <c r="FGX45" s="579"/>
      <c r="FGY45" s="579"/>
      <c r="FGZ45" s="579"/>
      <c r="FHA45" s="579"/>
      <c r="FHB45" s="579"/>
      <c r="FHC45" s="579"/>
      <c r="FHD45" s="579"/>
      <c r="FHE45" s="579"/>
      <c r="FHF45" s="579"/>
      <c r="FHG45" s="579"/>
      <c r="FHH45" s="579"/>
      <c r="FHI45" s="579"/>
      <c r="FHJ45" s="579"/>
      <c r="FHK45" s="579"/>
      <c r="FHL45" s="579"/>
      <c r="FHM45" s="579"/>
      <c r="FHN45" s="579"/>
      <c r="FHO45" s="579"/>
      <c r="FHP45" s="579"/>
      <c r="FHQ45" s="579"/>
      <c r="FHR45" s="579"/>
      <c r="FHS45" s="579"/>
      <c r="FHT45" s="579"/>
      <c r="FHU45" s="579"/>
      <c r="FHV45" s="579"/>
      <c r="FHW45" s="579"/>
      <c r="FHX45" s="579"/>
      <c r="FHY45" s="579"/>
      <c r="FHZ45" s="579"/>
      <c r="FIA45" s="579"/>
      <c r="FIB45" s="579"/>
      <c r="FIC45" s="579"/>
      <c r="FID45" s="579"/>
      <c r="FIE45" s="579"/>
      <c r="FIF45" s="579"/>
      <c r="FIG45" s="579"/>
      <c r="FIH45" s="579"/>
      <c r="FII45" s="579"/>
      <c r="FIJ45" s="579"/>
      <c r="FIK45" s="579"/>
      <c r="FIL45" s="579"/>
      <c r="FIM45" s="579"/>
      <c r="FIN45" s="579"/>
      <c r="FIO45" s="579"/>
      <c r="FIP45" s="579"/>
      <c r="FIQ45" s="579"/>
      <c r="FIR45" s="579"/>
      <c r="FIS45" s="579"/>
      <c r="FIT45" s="579"/>
      <c r="FIU45" s="579"/>
      <c r="FIV45" s="579"/>
      <c r="FIW45" s="579"/>
      <c r="FIX45" s="579"/>
      <c r="FIY45" s="579"/>
      <c r="FIZ45" s="579"/>
      <c r="FJA45" s="579"/>
      <c r="FJB45" s="579"/>
      <c r="FJC45" s="579"/>
      <c r="FJD45" s="579"/>
      <c r="FJE45" s="579"/>
      <c r="FJF45" s="579"/>
      <c r="FJG45" s="579"/>
      <c r="FJH45" s="579"/>
      <c r="FJI45" s="579"/>
      <c r="FJJ45" s="579"/>
      <c r="FJK45" s="579"/>
      <c r="FJL45" s="579"/>
      <c r="FJM45" s="579"/>
      <c r="FJN45" s="579"/>
      <c r="FJO45" s="579"/>
      <c r="FJP45" s="579"/>
      <c r="FJQ45" s="579"/>
      <c r="FJR45" s="579"/>
      <c r="FJS45" s="579"/>
      <c r="FJT45" s="579"/>
      <c r="FJU45" s="579"/>
      <c r="FJV45" s="579"/>
      <c r="FJW45" s="579"/>
      <c r="FJX45" s="579"/>
      <c r="FJY45" s="579"/>
      <c r="FJZ45" s="579"/>
      <c r="FKA45" s="579"/>
      <c r="FKB45" s="579"/>
      <c r="FKC45" s="579"/>
      <c r="FKD45" s="579"/>
      <c r="FKE45" s="579"/>
      <c r="FKF45" s="579"/>
      <c r="FKG45" s="579"/>
      <c r="FKH45" s="579"/>
      <c r="FKI45" s="579"/>
      <c r="FKJ45" s="579"/>
      <c r="FKK45" s="579"/>
      <c r="FKL45" s="579"/>
      <c r="FKM45" s="579"/>
      <c r="FKN45" s="579"/>
      <c r="FKO45" s="579"/>
      <c r="FKP45" s="579"/>
      <c r="FKQ45" s="579"/>
      <c r="FKR45" s="579"/>
      <c r="FKS45" s="579"/>
      <c r="FKT45" s="579"/>
      <c r="FKU45" s="579"/>
      <c r="FKV45" s="579"/>
      <c r="FKW45" s="579"/>
      <c r="FKX45" s="579"/>
      <c r="FKY45" s="579"/>
      <c r="FKZ45" s="579"/>
      <c r="FLA45" s="579"/>
      <c r="FLB45" s="579"/>
      <c r="FLC45" s="579"/>
      <c r="FLD45" s="579"/>
      <c r="FLE45" s="579"/>
      <c r="FLF45" s="579"/>
      <c r="FLG45" s="579"/>
      <c r="FLH45" s="579"/>
      <c r="FLI45" s="579"/>
      <c r="FLJ45" s="579"/>
      <c r="FLK45" s="579"/>
      <c r="FLL45" s="579"/>
      <c r="FLM45" s="579"/>
      <c r="FLN45" s="579"/>
      <c r="FLO45" s="579"/>
      <c r="FLP45" s="579"/>
      <c r="FLQ45" s="579"/>
      <c r="FLR45" s="579"/>
      <c r="FLS45" s="579"/>
      <c r="FLT45" s="579"/>
      <c r="FLU45" s="579"/>
      <c r="FLV45" s="579"/>
      <c r="FLW45" s="579"/>
      <c r="FLX45" s="579"/>
      <c r="FLY45" s="579"/>
      <c r="FLZ45" s="579"/>
      <c r="FMA45" s="579"/>
      <c r="FMB45" s="579"/>
      <c r="FMC45" s="579"/>
      <c r="FMD45" s="579"/>
      <c r="FME45" s="579"/>
      <c r="FMF45" s="579"/>
      <c r="FMG45" s="579"/>
      <c r="FMH45" s="579"/>
      <c r="FMI45" s="579"/>
      <c r="FMJ45" s="579"/>
      <c r="FMK45" s="579"/>
      <c r="FML45" s="579"/>
      <c r="FMM45" s="579"/>
      <c r="FMN45" s="579"/>
      <c r="FMO45" s="579"/>
      <c r="FMP45" s="579"/>
      <c r="FMQ45" s="579"/>
      <c r="FMR45" s="579"/>
      <c r="FMS45" s="579"/>
      <c r="FMT45" s="579"/>
      <c r="FMU45" s="579"/>
      <c r="FMV45" s="579"/>
      <c r="FMW45" s="579"/>
      <c r="FMX45" s="579"/>
      <c r="FMY45" s="579"/>
      <c r="FMZ45" s="579"/>
      <c r="FNA45" s="579"/>
      <c r="FNB45" s="579"/>
      <c r="FNC45" s="579"/>
      <c r="FND45" s="579"/>
      <c r="FNE45" s="579"/>
      <c r="FNF45" s="579"/>
      <c r="FNG45" s="579"/>
      <c r="FNH45" s="579"/>
      <c r="FNI45" s="579"/>
      <c r="FNJ45" s="579"/>
      <c r="FNK45" s="579"/>
      <c r="FNL45" s="579"/>
      <c r="FNM45" s="579"/>
      <c r="FNN45" s="579"/>
      <c r="FNO45" s="579"/>
      <c r="FNP45" s="579"/>
      <c r="FNQ45" s="579"/>
      <c r="FNR45" s="579"/>
      <c r="FNS45" s="579"/>
      <c r="FNT45" s="579"/>
      <c r="FNU45" s="579"/>
      <c r="FNV45" s="579"/>
      <c r="FNW45" s="579"/>
      <c r="FNX45" s="579"/>
      <c r="FNY45" s="579"/>
      <c r="FNZ45" s="579"/>
      <c r="FOA45" s="579"/>
      <c r="FOB45" s="579"/>
      <c r="FOC45" s="579"/>
      <c r="FOD45" s="579"/>
      <c r="FOE45" s="579"/>
      <c r="FOF45" s="579"/>
      <c r="FOG45" s="579"/>
      <c r="FOH45" s="579"/>
      <c r="FOI45" s="579"/>
      <c r="FOJ45" s="579"/>
      <c r="FOK45" s="579"/>
      <c r="FOL45" s="579"/>
      <c r="FOM45" s="579"/>
      <c r="FON45" s="579"/>
      <c r="FOO45" s="579"/>
      <c r="FOP45" s="579"/>
      <c r="FOQ45" s="579"/>
      <c r="FOR45" s="579"/>
      <c r="FOS45" s="579"/>
      <c r="FOT45" s="579"/>
      <c r="FOU45" s="579"/>
      <c r="FOV45" s="579"/>
      <c r="FOW45" s="579"/>
      <c r="FOX45" s="579"/>
      <c r="FOY45" s="579"/>
      <c r="FOZ45" s="579"/>
      <c r="FPA45" s="579"/>
      <c r="FPB45" s="579"/>
      <c r="FPC45" s="579"/>
      <c r="FPD45" s="579"/>
      <c r="FPE45" s="579"/>
      <c r="FPF45" s="579"/>
      <c r="FPG45" s="579"/>
      <c r="FPH45" s="579"/>
      <c r="FPI45" s="579"/>
      <c r="FPJ45" s="579"/>
      <c r="FPK45" s="579"/>
      <c r="FPL45" s="579"/>
      <c r="FPM45" s="579"/>
      <c r="FPN45" s="579"/>
      <c r="FPO45" s="579"/>
      <c r="FPP45" s="579"/>
      <c r="FPQ45" s="579"/>
      <c r="FPR45" s="579"/>
      <c r="FPS45" s="579"/>
      <c r="FPT45" s="579"/>
      <c r="FPU45" s="579"/>
      <c r="FPV45" s="579"/>
      <c r="FPW45" s="579"/>
      <c r="FPX45" s="579"/>
      <c r="FPY45" s="579"/>
      <c r="FPZ45" s="579"/>
      <c r="FQA45" s="579"/>
      <c r="FQB45" s="579"/>
      <c r="FQC45" s="579"/>
      <c r="FQD45" s="579"/>
      <c r="FQE45" s="579"/>
      <c r="FQF45" s="579"/>
      <c r="FQG45" s="579"/>
      <c r="FQH45" s="579"/>
      <c r="FQI45" s="579"/>
      <c r="FQJ45" s="579"/>
      <c r="FQK45" s="579"/>
      <c r="FQL45" s="579"/>
      <c r="FQM45" s="579"/>
      <c r="FQN45" s="579"/>
      <c r="FQO45" s="579"/>
      <c r="FQP45" s="579"/>
      <c r="FQQ45" s="579"/>
      <c r="FQR45" s="579"/>
      <c r="FQS45" s="579"/>
      <c r="FQT45" s="579"/>
      <c r="FQU45" s="579"/>
      <c r="FQV45" s="579"/>
      <c r="FQW45" s="579"/>
      <c r="FQX45" s="579"/>
      <c r="FQY45" s="579"/>
      <c r="FQZ45" s="579"/>
      <c r="FRA45" s="579"/>
      <c r="FRB45" s="579"/>
      <c r="FRC45" s="579"/>
      <c r="FRD45" s="579"/>
      <c r="FRE45" s="579"/>
      <c r="FRF45" s="579"/>
      <c r="FRG45" s="579"/>
      <c r="FRH45" s="579"/>
      <c r="FRI45" s="579"/>
      <c r="FRJ45" s="579"/>
      <c r="FRK45" s="579"/>
      <c r="FRL45" s="579"/>
      <c r="FRM45" s="579"/>
      <c r="FRN45" s="579"/>
      <c r="FRO45" s="579"/>
      <c r="FRP45" s="579"/>
      <c r="FRQ45" s="579"/>
      <c r="FRR45" s="579"/>
      <c r="FRS45" s="579"/>
      <c r="FRT45" s="579"/>
      <c r="FRU45" s="579"/>
      <c r="FRV45" s="579"/>
      <c r="FRW45" s="579"/>
      <c r="FRX45" s="579"/>
      <c r="FRY45" s="579"/>
      <c r="FRZ45" s="579"/>
      <c r="FSA45" s="579"/>
      <c r="FSB45" s="579"/>
      <c r="FSC45" s="579"/>
      <c r="FSD45" s="579"/>
      <c r="FSE45" s="579"/>
      <c r="FSF45" s="579"/>
      <c r="FSG45" s="579"/>
      <c r="FSH45" s="579"/>
      <c r="FSI45" s="579"/>
      <c r="FSJ45" s="579"/>
      <c r="FSK45" s="579"/>
      <c r="FSL45" s="579"/>
      <c r="FSM45" s="579"/>
      <c r="FSN45" s="579"/>
      <c r="FSO45" s="579"/>
      <c r="FSP45" s="579"/>
      <c r="FSQ45" s="579"/>
      <c r="FSR45" s="579"/>
      <c r="FSS45" s="579"/>
      <c r="FST45" s="579"/>
      <c r="FSU45" s="579"/>
      <c r="FSV45" s="579"/>
      <c r="FSW45" s="579"/>
      <c r="FSX45" s="579"/>
      <c r="FSY45" s="579"/>
      <c r="FSZ45" s="579"/>
      <c r="FTA45" s="579"/>
      <c r="FTB45" s="579"/>
      <c r="FTC45" s="579"/>
      <c r="FTD45" s="579"/>
      <c r="FTE45" s="579"/>
      <c r="FTF45" s="579"/>
      <c r="FTG45" s="579"/>
      <c r="FTH45" s="579"/>
      <c r="FTI45" s="579"/>
      <c r="FTJ45" s="579"/>
      <c r="FTK45" s="579"/>
      <c r="FTL45" s="579"/>
      <c r="FTM45" s="579"/>
      <c r="FTN45" s="579"/>
      <c r="FTO45" s="579"/>
      <c r="FTP45" s="579"/>
      <c r="FTQ45" s="579"/>
      <c r="FTR45" s="579"/>
      <c r="FTS45" s="579"/>
      <c r="FTT45" s="579"/>
      <c r="FTU45" s="579"/>
      <c r="FTV45" s="579"/>
      <c r="FTW45" s="579"/>
      <c r="FTX45" s="579"/>
      <c r="FTY45" s="579"/>
      <c r="FTZ45" s="579"/>
      <c r="FUA45" s="579"/>
      <c r="FUB45" s="579"/>
      <c r="FUC45" s="579"/>
      <c r="FUD45" s="579"/>
      <c r="FUE45" s="579"/>
      <c r="FUF45" s="579"/>
      <c r="FUG45" s="579"/>
      <c r="FUH45" s="579"/>
      <c r="FUI45" s="579"/>
      <c r="FUJ45" s="579"/>
      <c r="FUK45" s="579"/>
      <c r="FUL45" s="579"/>
      <c r="FUM45" s="579"/>
      <c r="FUN45" s="579"/>
      <c r="FUO45" s="579"/>
      <c r="FUP45" s="579"/>
      <c r="FUQ45" s="579"/>
      <c r="FUR45" s="579"/>
      <c r="FUS45" s="579"/>
      <c r="FUT45" s="579"/>
      <c r="FUU45" s="579"/>
      <c r="FUV45" s="579"/>
      <c r="FUW45" s="579"/>
      <c r="FUX45" s="579"/>
      <c r="FUY45" s="579"/>
      <c r="FUZ45" s="579"/>
      <c r="FVA45" s="579"/>
      <c r="FVB45" s="579"/>
      <c r="FVC45" s="579"/>
      <c r="FVD45" s="579"/>
      <c r="FVE45" s="579"/>
      <c r="FVF45" s="579"/>
      <c r="FVG45" s="579"/>
      <c r="FVH45" s="579"/>
      <c r="FVI45" s="579"/>
      <c r="FVJ45" s="579"/>
      <c r="FVK45" s="579"/>
      <c r="FVL45" s="579"/>
      <c r="FVM45" s="579"/>
      <c r="FVN45" s="579"/>
      <c r="FVO45" s="579"/>
      <c r="FVP45" s="579"/>
      <c r="FVQ45" s="579"/>
      <c r="FVR45" s="579"/>
      <c r="FVS45" s="579"/>
      <c r="FVT45" s="579"/>
      <c r="FVU45" s="579"/>
      <c r="FVV45" s="579"/>
      <c r="FVW45" s="579"/>
      <c r="FVX45" s="579"/>
      <c r="FVY45" s="579"/>
      <c r="FVZ45" s="579"/>
      <c r="FWA45" s="579"/>
      <c r="FWB45" s="579"/>
      <c r="FWC45" s="579"/>
      <c r="FWD45" s="579"/>
      <c r="FWE45" s="579"/>
      <c r="FWF45" s="579"/>
      <c r="FWG45" s="579"/>
      <c r="FWH45" s="579"/>
      <c r="FWI45" s="579"/>
      <c r="FWJ45" s="579"/>
      <c r="FWK45" s="579"/>
      <c r="FWL45" s="579"/>
      <c r="FWM45" s="579"/>
      <c r="FWN45" s="579"/>
      <c r="FWO45" s="579"/>
      <c r="FWP45" s="579"/>
      <c r="FWQ45" s="579"/>
      <c r="FWR45" s="579"/>
      <c r="FWS45" s="579"/>
      <c r="FWT45" s="579"/>
      <c r="FWU45" s="579"/>
      <c r="FWV45" s="579"/>
      <c r="FWW45" s="579"/>
      <c r="FWX45" s="579"/>
      <c r="FWY45" s="579"/>
      <c r="FWZ45" s="579"/>
      <c r="FXA45" s="579"/>
      <c r="FXB45" s="579"/>
      <c r="FXC45" s="579"/>
      <c r="FXD45" s="579"/>
      <c r="FXE45" s="579"/>
      <c r="FXF45" s="579"/>
      <c r="FXG45" s="579"/>
      <c r="FXH45" s="579"/>
      <c r="FXI45" s="579"/>
      <c r="FXJ45" s="579"/>
      <c r="FXK45" s="579"/>
      <c r="FXL45" s="579"/>
      <c r="FXM45" s="579"/>
      <c r="FXN45" s="579"/>
      <c r="FXO45" s="579"/>
      <c r="FXP45" s="579"/>
      <c r="FXQ45" s="579"/>
      <c r="FXR45" s="579"/>
      <c r="FXS45" s="579"/>
      <c r="FXT45" s="579"/>
      <c r="FXU45" s="579"/>
      <c r="FXV45" s="579"/>
      <c r="FXW45" s="579"/>
      <c r="FXX45" s="579"/>
      <c r="FXY45" s="579"/>
      <c r="FXZ45" s="579"/>
      <c r="FYA45" s="579"/>
      <c r="FYB45" s="579"/>
      <c r="FYC45" s="579"/>
      <c r="FYD45" s="579"/>
      <c r="FYE45" s="579"/>
      <c r="FYF45" s="579"/>
      <c r="FYG45" s="579"/>
      <c r="FYH45" s="579"/>
      <c r="FYI45" s="579"/>
      <c r="FYJ45" s="579"/>
      <c r="FYK45" s="579"/>
      <c r="FYL45" s="579"/>
      <c r="FYM45" s="579"/>
      <c r="FYN45" s="579"/>
      <c r="FYO45" s="579"/>
      <c r="FYP45" s="579"/>
      <c r="FYQ45" s="579"/>
      <c r="FYR45" s="579"/>
      <c r="FYS45" s="579"/>
      <c r="FYT45" s="579"/>
      <c r="FYU45" s="579"/>
      <c r="FYV45" s="579"/>
      <c r="FYW45" s="579"/>
      <c r="FYX45" s="579"/>
      <c r="FYY45" s="579"/>
      <c r="FYZ45" s="579"/>
      <c r="FZA45" s="579"/>
      <c r="FZB45" s="579"/>
      <c r="FZC45" s="579"/>
      <c r="FZD45" s="579"/>
      <c r="FZE45" s="579"/>
      <c r="FZF45" s="579"/>
      <c r="FZG45" s="579"/>
      <c r="FZH45" s="579"/>
      <c r="FZI45" s="579"/>
      <c r="FZJ45" s="579"/>
      <c r="FZK45" s="579"/>
      <c r="FZL45" s="579"/>
      <c r="FZM45" s="579"/>
      <c r="FZN45" s="579"/>
      <c r="FZO45" s="579"/>
      <c r="FZP45" s="579"/>
      <c r="FZQ45" s="579"/>
      <c r="FZR45" s="579"/>
      <c r="FZS45" s="579"/>
      <c r="FZT45" s="579"/>
      <c r="FZU45" s="579"/>
      <c r="FZV45" s="579"/>
      <c r="FZW45" s="579"/>
      <c r="FZX45" s="579"/>
      <c r="FZY45" s="579"/>
      <c r="FZZ45" s="579"/>
      <c r="GAA45" s="579"/>
      <c r="GAB45" s="579"/>
      <c r="GAC45" s="579"/>
      <c r="GAD45" s="579"/>
      <c r="GAE45" s="579"/>
      <c r="GAF45" s="579"/>
      <c r="GAG45" s="579"/>
      <c r="GAH45" s="579"/>
      <c r="GAI45" s="579"/>
      <c r="GAJ45" s="579"/>
      <c r="GAK45" s="579"/>
      <c r="GAL45" s="579"/>
      <c r="GAM45" s="579"/>
      <c r="GAN45" s="579"/>
      <c r="GAO45" s="579"/>
      <c r="GAP45" s="579"/>
      <c r="GAQ45" s="579"/>
      <c r="GAR45" s="579"/>
      <c r="GAS45" s="579"/>
      <c r="GAT45" s="579"/>
      <c r="GAU45" s="579"/>
      <c r="GAV45" s="579"/>
      <c r="GAW45" s="579"/>
      <c r="GAX45" s="579"/>
      <c r="GAY45" s="579"/>
      <c r="GAZ45" s="579"/>
      <c r="GBA45" s="579"/>
      <c r="GBB45" s="579"/>
      <c r="GBC45" s="579"/>
      <c r="GBD45" s="579"/>
      <c r="GBE45" s="579"/>
      <c r="GBF45" s="579"/>
      <c r="GBG45" s="579"/>
      <c r="GBH45" s="579"/>
      <c r="GBI45" s="579"/>
      <c r="GBJ45" s="579"/>
      <c r="GBK45" s="579"/>
      <c r="GBL45" s="579"/>
      <c r="GBM45" s="579"/>
      <c r="GBN45" s="579"/>
      <c r="GBO45" s="579"/>
      <c r="GBP45" s="579"/>
      <c r="GBQ45" s="579"/>
      <c r="GBR45" s="579"/>
      <c r="GBS45" s="579"/>
      <c r="GBT45" s="579"/>
      <c r="GBU45" s="579"/>
      <c r="GBV45" s="579"/>
      <c r="GBW45" s="579"/>
      <c r="GBX45" s="579"/>
      <c r="GBY45" s="579"/>
      <c r="GBZ45" s="579"/>
      <c r="GCA45" s="579"/>
      <c r="GCB45" s="579"/>
      <c r="GCC45" s="579"/>
      <c r="GCD45" s="579"/>
      <c r="GCE45" s="579"/>
      <c r="GCF45" s="579"/>
      <c r="GCG45" s="579"/>
      <c r="GCH45" s="579"/>
      <c r="GCI45" s="579"/>
      <c r="GCJ45" s="579"/>
      <c r="GCK45" s="579"/>
      <c r="GCL45" s="579"/>
      <c r="GCM45" s="579"/>
      <c r="GCN45" s="579"/>
      <c r="GCO45" s="579"/>
      <c r="GCP45" s="579"/>
      <c r="GCQ45" s="579"/>
      <c r="GCR45" s="579"/>
      <c r="GCS45" s="579"/>
      <c r="GCT45" s="579"/>
      <c r="GCU45" s="579"/>
      <c r="GCV45" s="579"/>
      <c r="GCW45" s="579"/>
      <c r="GCX45" s="579"/>
      <c r="GCY45" s="579"/>
      <c r="GCZ45" s="579"/>
      <c r="GDA45" s="579"/>
      <c r="GDB45" s="579"/>
      <c r="GDC45" s="579"/>
      <c r="GDD45" s="579"/>
      <c r="GDE45" s="579"/>
      <c r="GDF45" s="579"/>
      <c r="GDG45" s="579"/>
      <c r="GDH45" s="579"/>
      <c r="GDI45" s="579"/>
      <c r="GDJ45" s="579"/>
      <c r="GDK45" s="579"/>
      <c r="GDL45" s="579"/>
      <c r="GDM45" s="579"/>
      <c r="GDN45" s="579"/>
      <c r="GDO45" s="579"/>
      <c r="GDP45" s="579"/>
      <c r="GDQ45" s="579"/>
      <c r="GDR45" s="579"/>
      <c r="GDS45" s="579"/>
      <c r="GDT45" s="579"/>
      <c r="GDU45" s="579"/>
      <c r="GDV45" s="579"/>
      <c r="GDW45" s="579"/>
      <c r="GDX45" s="579"/>
      <c r="GDY45" s="579"/>
      <c r="GDZ45" s="579"/>
      <c r="GEA45" s="579"/>
      <c r="GEB45" s="579"/>
      <c r="GEC45" s="579"/>
      <c r="GED45" s="579"/>
      <c r="GEE45" s="579"/>
      <c r="GEF45" s="579"/>
      <c r="GEG45" s="579"/>
      <c r="GEH45" s="579"/>
      <c r="GEI45" s="579"/>
      <c r="GEJ45" s="579"/>
      <c r="GEK45" s="579"/>
      <c r="GEL45" s="579"/>
      <c r="GEM45" s="579"/>
      <c r="GEN45" s="579"/>
      <c r="GEO45" s="579"/>
      <c r="GEP45" s="579"/>
      <c r="GEQ45" s="579"/>
      <c r="GER45" s="579"/>
      <c r="GES45" s="579"/>
      <c r="GET45" s="579"/>
      <c r="GEU45" s="579"/>
      <c r="GEV45" s="579"/>
      <c r="GEW45" s="579"/>
      <c r="GEX45" s="579"/>
      <c r="GEY45" s="579"/>
      <c r="GEZ45" s="579"/>
      <c r="GFA45" s="579"/>
      <c r="GFB45" s="579"/>
      <c r="GFC45" s="579"/>
      <c r="GFD45" s="579"/>
      <c r="GFE45" s="579"/>
      <c r="GFF45" s="579"/>
      <c r="GFG45" s="579"/>
      <c r="GFH45" s="579"/>
      <c r="GFI45" s="579"/>
      <c r="GFJ45" s="579"/>
      <c r="GFK45" s="579"/>
      <c r="GFL45" s="579"/>
      <c r="GFM45" s="579"/>
      <c r="GFN45" s="579"/>
      <c r="GFO45" s="579"/>
      <c r="GFP45" s="579"/>
      <c r="GFQ45" s="579"/>
      <c r="GFR45" s="579"/>
      <c r="GFS45" s="579"/>
      <c r="GFT45" s="579"/>
      <c r="GFU45" s="579"/>
      <c r="GFV45" s="579"/>
      <c r="GFW45" s="579"/>
      <c r="GFX45" s="579"/>
      <c r="GFY45" s="579"/>
      <c r="GFZ45" s="579"/>
      <c r="GGA45" s="579"/>
      <c r="GGB45" s="579"/>
      <c r="GGC45" s="579"/>
      <c r="GGD45" s="579"/>
      <c r="GGE45" s="579"/>
      <c r="GGF45" s="579"/>
      <c r="GGG45" s="579"/>
      <c r="GGH45" s="579"/>
      <c r="GGI45" s="579"/>
      <c r="GGJ45" s="579"/>
      <c r="GGK45" s="579"/>
      <c r="GGL45" s="579"/>
      <c r="GGM45" s="579"/>
      <c r="GGN45" s="579"/>
      <c r="GGO45" s="579"/>
      <c r="GGP45" s="579"/>
      <c r="GGQ45" s="579"/>
      <c r="GGR45" s="579"/>
      <c r="GGS45" s="579"/>
      <c r="GGT45" s="579"/>
      <c r="GGU45" s="579"/>
      <c r="GGV45" s="579"/>
      <c r="GGW45" s="579"/>
      <c r="GGX45" s="579"/>
      <c r="GGY45" s="579"/>
      <c r="GGZ45" s="579"/>
      <c r="GHA45" s="579"/>
      <c r="GHB45" s="579"/>
      <c r="GHC45" s="579"/>
      <c r="GHD45" s="579"/>
      <c r="GHE45" s="579"/>
      <c r="GHF45" s="579"/>
      <c r="GHG45" s="579"/>
      <c r="GHH45" s="579"/>
      <c r="GHI45" s="579"/>
      <c r="GHJ45" s="579"/>
      <c r="GHK45" s="579"/>
      <c r="GHL45" s="579"/>
      <c r="GHM45" s="579"/>
      <c r="GHN45" s="579"/>
      <c r="GHO45" s="579"/>
      <c r="GHP45" s="579"/>
      <c r="GHQ45" s="579"/>
      <c r="GHR45" s="579"/>
      <c r="GHS45" s="579"/>
      <c r="GHT45" s="579"/>
      <c r="GHU45" s="579"/>
      <c r="GHV45" s="579"/>
      <c r="GHW45" s="579"/>
      <c r="GHX45" s="579"/>
      <c r="GHY45" s="579"/>
      <c r="GHZ45" s="579"/>
      <c r="GIA45" s="579"/>
      <c r="GIB45" s="579"/>
      <c r="GIC45" s="579"/>
      <c r="GID45" s="579"/>
      <c r="GIE45" s="579"/>
      <c r="GIF45" s="579"/>
      <c r="GIG45" s="579"/>
      <c r="GIH45" s="579"/>
      <c r="GII45" s="579"/>
      <c r="GIJ45" s="579"/>
      <c r="GIK45" s="579"/>
      <c r="GIL45" s="579"/>
      <c r="GIM45" s="579"/>
      <c r="GIN45" s="579"/>
      <c r="GIO45" s="579"/>
      <c r="GIP45" s="579"/>
      <c r="GIQ45" s="579"/>
      <c r="GIR45" s="579"/>
      <c r="GIS45" s="579"/>
      <c r="GIT45" s="579"/>
      <c r="GIU45" s="579"/>
      <c r="GIV45" s="579"/>
      <c r="GIW45" s="579"/>
      <c r="GIX45" s="579"/>
      <c r="GIY45" s="579"/>
      <c r="GIZ45" s="579"/>
      <c r="GJA45" s="579"/>
      <c r="GJB45" s="579"/>
      <c r="GJC45" s="579"/>
      <c r="GJD45" s="579"/>
      <c r="GJE45" s="579"/>
      <c r="GJF45" s="579"/>
      <c r="GJG45" s="579"/>
      <c r="GJH45" s="579"/>
      <c r="GJI45" s="579"/>
      <c r="GJJ45" s="579"/>
      <c r="GJK45" s="579"/>
      <c r="GJL45" s="579"/>
      <c r="GJM45" s="579"/>
      <c r="GJN45" s="579"/>
      <c r="GJO45" s="579"/>
      <c r="GJP45" s="579"/>
      <c r="GJQ45" s="579"/>
      <c r="GJR45" s="579"/>
      <c r="GJS45" s="579"/>
      <c r="GJT45" s="579"/>
      <c r="GJU45" s="579"/>
      <c r="GJV45" s="579"/>
      <c r="GJW45" s="579"/>
      <c r="GJX45" s="579"/>
      <c r="GJY45" s="579"/>
      <c r="GJZ45" s="579"/>
      <c r="GKA45" s="579"/>
      <c r="GKB45" s="579"/>
      <c r="GKC45" s="579"/>
      <c r="GKD45" s="579"/>
      <c r="GKE45" s="579"/>
      <c r="GKF45" s="579"/>
      <c r="GKG45" s="579"/>
      <c r="GKH45" s="579"/>
      <c r="GKI45" s="579"/>
      <c r="GKJ45" s="579"/>
      <c r="GKK45" s="579"/>
      <c r="GKL45" s="579"/>
      <c r="GKM45" s="579"/>
      <c r="GKN45" s="579"/>
      <c r="GKO45" s="579"/>
      <c r="GKP45" s="579"/>
      <c r="GKQ45" s="579"/>
      <c r="GKR45" s="579"/>
      <c r="GKS45" s="579"/>
      <c r="GKT45" s="579"/>
      <c r="GKU45" s="579"/>
      <c r="GKV45" s="579"/>
      <c r="GKW45" s="579"/>
      <c r="GKX45" s="579"/>
      <c r="GKY45" s="579"/>
      <c r="GKZ45" s="579"/>
      <c r="GLA45" s="579"/>
      <c r="GLB45" s="579"/>
      <c r="GLC45" s="579"/>
      <c r="GLD45" s="579"/>
      <c r="GLE45" s="579"/>
      <c r="GLF45" s="579"/>
      <c r="GLG45" s="579"/>
      <c r="GLH45" s="579"/>
      <c r="GLI45" s="579"/>
      <c r="GLJ45" s="579"/>
      <c r="GLK45" s="579"/>
      <c r="GLL45" s="579"/>
      <c r="GLM45" s="579"/>
      <c r="GLN45" s="579"/>
      <c r="GLO45" s="579"/>
      <c r="GLP45" s="579"/>
      <c r="GLQ45" s="579"/>
      <c r="GLR45" s="579"/>
      <c r="GLS45" s="579"/>
      <c r="GLT45" s="579"/>
      <c r="GLU45" s="579"/>
      <c r="GLV45" s="579"/>
      <c r="GLW45" s="579"/>
      <c r="GLX45" s="579"/>
      <c r="GLY45" s="579"/>
      <c r="GLZ45" s="579"/>
      <c r="GMA45" s="579"/>
      <c r="GMB45" s="579"/>
      <c r="GMC45" s="579"/>
      <c r="GMD45" s="579"/>
      <c r="GME45" s="579"/>
      <c r="GMF45" s="579"/>
      <c r="GMG45" s="579"/>
      <c r="GMH45" s="579"/>
      <c r="GMI45" s="579"/>
      <c r="GMJ45" s="579"/>
      <c r="GMK45" s="579"/>
      <c r="GML45" s="579"/>
      <c r="GMM45" s="579"/>
      <c r="GMN45" s="579"/>
      <c r="GMO45" s="579"/>
      <c r="GMP45" s="579"/>
      <c r="GMQ45" s="579"/>
      <c r="GMR45" s="579"/>
      <c r="GMS45" s="579"/>
      <c r="GMT45" s="579"/>
      <c r="GMU45" s="579"/>
      <c r="GMV45" s="579"/>
      <c r="GMW45" s="579"/>
      <c r="GMX45" s="579"/>
      <c r="GMY45" s="579"/>
      <c r="GMZ45" s="579"/>
      <c r="GNA45" s="579"/>
      <c r="GNB45" s="579"/>
      <c r="GNC45" s="579"/>
      <c r="GND45" s="579"/>
      <c r="GNE45" s="579"/>
      <c r="GNF45" s="579"/>
      <c r="GNG45" s="579"/>
      <c r="GNH45" s="579"/>
      <c r="GNI45" s="579"/>
      <c r="GNJ45" s="579"/>
      <c r="GNK45" s="579"/>
      <c r="GNL45" s="579"/>
      <c r="GNM45" s="579"/>
      <c r="GNN45" s="579"/>
      <c r="GNO45" s="579"/>
      <c r="GNP45" s="579"/>
      <c r="GNQ45" s="579"/>
      <c r="GNR45" s="579"/>
      <c r="GNS45" s="579"/>
      <c r="GNT45" s="579"/>
      <c r="GNU45" s="579"/>
      <c r="GNV45" s="579"/>
      <c r="GNW45" s="579"/>
      <c r="GNX45" s="579"/>
      <c r="GNY45" s="579"/>
      <c r="GNZ45" s="579"/>
      <c r="GOA45" s="579"/>
      <c r="GOB45" s="579"/>
      <c r="GOC45" s="579"/>
      <c r="GOD45" s="579"/>
      <c r="GOE45" s="579"/>
      <c r="GOF45" s="579"/>
      <c r="GOG45" s="579"/>
      <c r="GOH45" s="579"/>
      <c r="GOI45" s="579"/>
      <c r="GOJ45" s="579"/>
      <c r="GOK45" s="579"/>
      <c r="GOL45" s="579"/>
      <c r="GOM45" s="579"/>
      <c r="GON45" s="579"/>
      <c r="GOO45" s="579"/>
      <c r="GOP45" s="579"/>
      <c r="GOQ45" s="579"/>
      <c r="GOR45" s="579"/>
      <c r="GOS45" s="579"/>
      <c r="GOT45" s="579"/>
      <c r="GOU45" s="579"/>
      <c r="GOV45" s="579"/>
      <c r="GOW45" s="579"/>
      <c r="GOX45" s="579"/>
      <c r="GOY45" s="579"/>
      <c r="GOZ45" s="579"/>
      <c r="GPA45" s="579"/>
      <c r="GPB45" s="579"/>
      <c r="GPC45" s="579"/>
      <c r="GPD45" s="579"/>
      <c r="GPE45" s="579"/>
      <c r="GPF45" s="579"/>
      <c r="GPG45" s="579"/>
      <c r="GPH45" s="579"/>
      <c r="GPI45" s="579"/>
      <c r="GPJ45" s="579"/>
      <c r="GPK45" s="579"/>
      <c r="GPL45" s="579"/>
      <c r="GPM45" s="579"/>
      <c r="GPN45" s="579"/>
      <c r="GPO45" s="579"/>
      <c r="GPP45" s="579"/>
      <c r="GPQ45" s="579"/>
      <c r="GPR45" s="579"/>
      <c r="GPS45" s="579"/>
      <c r="GPT45" s="579"/>
      <c r="GPU45" s="579"/>
      <c r="GPV45" s="579"/>
      <c r="GPW45" s="579"/>
      <c r="GPX45" s="579"/>
      <c r="GPY45" s="579"/>
      <c r="GPZ45" s="579"/>
      <c r="GQA45" s="579"/>
      <c r="GQB45" s="579"/>
      <c r="GQC45" s="579"/>
      <c r="GQD45" s="579"/>
      <c r="GQE45" s="579"/>
      <c r="GQF45" s="579"/>
      <c r="GQG45" s="579"/>
      <c r="GQH45" s="579"/>
      <c r="GQI45" s="579"/>
      <c r="GQJ45" s="579"/>
      <c r="GQK45" s="579"/>
      <c r="GQL45" s="579"/>
      <c r="GQM45" s="579"/>
      <c r="GQN45" s="579"/>
      <c r="GQO45" s="579"/>
      <c r="GQP45" s="579"/>
      <c r="GQQ45" s="579"/>
      <c r="GQR45" s="579"/>
      <c r="GQS45" s="579"/>
      <c r="GQT45" s="579"/>
      <c r="GQU45" s="579"/>
      <c r="GQV45" s="579"/>
      <c r="GQW45" s="579"/>
      <c r="GQX45" s="579"/>
      <c r="GQY45" s="579"/>
      <c r="GQZ45" s="579"/>
      <c r="GRA45" s="579"/>
      <c r="GRB45" s="579"/>
      <c r="GRC45" s="579"/>
      <c r="GRD45" s="579"/>
      <c r="GRE45" s="579"/>
      <c r="GRF45" s="579"/>
      <c r="GRG45" s="579"/>
      <c r="GRH45" s="579"/>
      <c r="GRI45" s="579"/>
      <c r="GRJ45" s="579"/>
      <c r="GRK45" s="579"/>
      <c r="GRL45" s="579"/>
      <c r="GRM45" s="579"/>
      <c r="GRN45" s="579"/>
      <c r="GRO45" s="579"/>
      <c r="GRP45" s="579"/>
      <c r="GRQ45" s="579"/>
      <c r="GRR45" s="579"/>
      <c r="GRS45" s="579"/>
      <c r="GRT45" s="579"/>
      <c r="GRU45" s="579"/>
      <c r="GRV45" s="579"/>
      <c r="GRW45" s="579"/>
      <c r="GRX45" s="579"/>
      <c r="GRY45" s="579"/>
      <c r="GRZ45" s="579"/>
      <c r="GSA45" s="579"/>
      <c r="GSB45" s="579"/>
      <c r="GSC45" s="579"/>
      <c r="GSD45" s="579"/>
      <c r="GSE45" s="579"/>
      <c r="GSF45" s="579"/>
      <c r="GSG45" s="579"/>
      <c r="GSH45" s="579"/>
      <c r="GSI45" s="579"/>
      <c r="GSJ45" s="579"/>
      <c r="GSK45" s="579"/>
      <c r="GSL45" s="579"/>
      <c r="GSM45" s="579"/>
      <c r="GSN45" s="579"/>
      <c r="GSO45" s="579"/>
      <c r="GSP45" s="579"/>
      <c r="GSQ45" s="579"/>
      <c r="GSR45" s="579"/>
      <c r="GSS45" s="579"/>
      <c r="GST45" s="579"/>
      <c r="GSU45" s="579"/>
      <c r="GSV45" s="579"/>
      <c r="GSW45" s="579"/>
      <c r="GSX45" s="579"/>
      <c r="GSY45" s="579"/>
      <c r="GSZ45" s="579"/>
      <c r="GTA45" s="579"/>
      <c r="GTB45" s="579"/>
      <c r="GTC45" s="579"/>
      <c r="GTD45" s="579"/>
      <c r="GTE45" s="579"/>
      <c r="GTF45" s="579"/>
      <c r="GTG45" s="579"/>
      <c r="GTH45" s="579"/>
      <c r="GTI45" s="579"/>
      <c r="GTJ45" s="579"/>
      <c r="GTK45" s="579"/>
      <c r="GTL45" s="579"/>
      <c r="GTM45" s="579"/>
      <c r="GTN45" s="579"/>
      <c r="GTO45" s="579"/>
      <c r="GTP45" s="579"/>
      <c r="GTQ45" s="579"/>
      <c r="GTR45" s="579"/>
      <c r="GTS45" s="579"/>
      <c r="GTT45" s="579"/>
      <c r="GTU45" s="579"/>
      <c r="GTV45" s="579"/>
      <c r="GTW45" s="579"/>
      <c r="GTX45" s="579"/>
      <c r="GTY45" s="579"/>
      <c r="GTZ45" s="579"/>
      <c r="GUA45" s="579"/>
      <c r="GUB45" s="579"/>
      <c r="GUC45" s="579"/>
      <c r="GUD45" s="579"/>
      <c r="GUE45" s="579"/>
      <c r="GUF45" s="579"/>
      <c r="GUG45" s="579"/>
      <c r="GUH45" s="579"/>
      <c r="GUI45" s="579"/>
      <c r="GUJ45" s="579"/>
      <c r="GUK45" s="579"/>
      <c r="GUL45" s="579"/>
      <c r="GUM45" s="579"/>
      <c r="GUN45" s="579"/>
      <c r="GUO45" s="579"/>
      <c r="GUP45" s="579"/>
      <c r="GUQ45" s="579"/>
      <c r="GUR45" s="579"/>
      <c r="GUS45" s="579"/>
      <c r="GUT45" s="579"/>
      <c r="GUU45" s="579"/>
      <c r="GUV45" s="579"/>
      <c r="GUW45" s="579"/>
      <c r="GUX45" s="579"/>
      <c r="GUY45" s="579"/>
      <c r="GUZ45" s="579"/>
      <c r="GVA45" s="579"/>
      <c r="GVB45" s="579"/>
      <c r="GVC45" s="579"/>
      <c r="GVD45" s="579"/>
      <c r="GVE45" s="579"/>
      <c r="GVF45" s="579"/>
      <c r="GVG45" s="579"/>
      <c r="GVH45" s="579"/>
      <c r="GVI45" s="579"/>
      <c r="GVJ45" s="579"/>
      <c r="GVK45" s="579"/>
      <c r="GVL45" s="579"/>
      <c r="GVM45" s="579"/>
      <c r="GVN45" s="579"/>
      <c r="GVO45" s="579"/>
      <c r="GVP45" s="579"/>
      <c r="GVQ45" s="579"/>
      <c r="GVR45" s="579"/>
      <c r="GVS45" s="579"/>
      <c r="GVT45" s="579"/>
      <c r="GVU45" s="579"/>
      <c r="GVV45" s="579"/>
      <c r="GVW45" s="579"/>
      <c r="GVX45" s="579"/>
      <c r="GVY45" s="579"/>
      <c r="GVZ45" s="579"/>
      <c r="GWA45" s="579"/>
      <c r="GWB45" s="579"/>
      <c r="GWC45" s="579"/>
      <c r="GWD45" s="579"/>
      <c r="GWE45" s="579"/>
      <c r="GWF45" s="579"/>
      <c r="GWG45" s="579"/>
      <c r="GWH45" s="579"/>
      <c r="GWI45" s="579"/>
      <c r="GWJ45" s="579"/>
      <c r="GWK45" s="579"/>
      <c r="GWL45" s="579"/>
      <c r="GWM45" s="579"/>
      <c r="GWN45" s="579"/>
      <c r="GWO45" s="579"/>
      <c r="GWP45" s="579"/>
      <c r="GWQ45" s="579"/>
      <c r="GWR45" s="579"/>
      <c r="GWS45" s="579"/>
      <c r="GWT45" s="579"/>
      <c r="GWU45" s="579"/>
      <c r="GWV45" s="579"/>
      <c r="GWW45" s="579"/>
      <c r="GWX45" s="579"/>
      <c r="GWY45" s="579"/>
      <c r="GWZ45" s="579"/>
      <c r="GXA45" s="579"/>
      <c r="GXB45" s="579"/>
      <c r="GXC45" s="579"/>
      <c r="GXD45" s="579"/>
      <c r="GXE45" s="579"/>
      <c r="GXF45" s="579"/>
      <c r="GXG45" s="579"/>
      <c r="GXH45" s="579"/>
      <c r="GXI45" s="579"/>
      <c r="GXJ45" s="579"/>
      <c r="GXK45" s="579"/>
      <c r="GXL45" s="579"/>
      <c r="GXM45" s="579"/>
      <c r="GXN45" s="579"/>
      <c r="GXO45" s="579"/>
      <c r="GXP45" s="579"/>
      <c r="GXQ45" s="579"/>
      <c r="GXR45" s="579"/>
      <c r="GXS45" s="579"/>
      <c r="GXT45" s="579"/>
      <c r="GXU45" s="579"/>
      <c r="GXV45" s="579"/>
      <c r="GXW45" s="579"/>
      <c r="GXX45" s="579"/>
      <c r="GXY45" s="579"/>
      <c r="GXZ45" s="579"/>
      <c r="GYA45" s="579"/>
      <c r="GYB45" s="579"/>
      <c r="GYC45" s="579"/>
      <c r="GYD45" s="579"/>
      <c r="GYE45" s="579"/>
      <c r="GYF45" s="579"/>
      <c r="GYG45" s="579"/>
      <c r="GYH45" s="579"/>
      <c r="GYI45" s="579"/>
      <c r="GYJ45" s="579"/>
      <c r="GYK45" s="579"/>
      <c r="GYL45" s="579"/>
      <c r="GYM45" s="579"/>
      <c r="GYN45" s="579"/>
      <c r="GYO45" s="579"/>
      <c r="GYP45" s="579"/>
      <c r="GYQ45" s="579"/>
      <c r="GYR45" s="579"/>
      <c r="GYS45" s="579"/>
      <c r="GYT45" s="579"/>
      <c r="GYU45" s="579"/>
      <c r="GYV45" s="579"/>
      <c r="GYW45" s="579"/>
      <c r="GYX45" s="579"/>
      <c r="GYY45" s="579"/>
      <c r="GYZ45" s="579"/>
      <c r="GZA45" s="579"/>
      <c r="GZB45" s="579"/>
      <c r="GZC45" s="579"/>
      <c r="GZD45" s="579"/>
      <c r="GZE45" s="579"/>
      <c r="GZF45" s="579"/>
      <c r="GZG45" s="579"/>
      <c r="GZH45" s="579"/>
      <c r="GZI45" s="579"/>
      <c r="GZJ45" s="579"/>
      <c r="GZK45" s="579"/>
      <c r="GZL45" s="579"/>
      <c r="GZM45" s="579"/>
      <c r="GZN45" s="579"/>
      <c r="GZO45" s="579"/>
      <c r="GZP45" s="579"/>
      <c r="GZQ45" s="579"/>
      <c r="GZR45" s="579"/>
      <c r="GZS45" s="579"/>
      <c r="GZT45" s="579"/>
      <c r="GZU45" s="579"/>
      <c r="GZV45" s="579"/>
      <c r="GZW45" s="579"/>
      <c r="GZX45" s="579"/>
      <c r="GZY45" s="579"/>
      <c r="GZZ45" s="579"/>
      <c r="HAA45" s="579"/>
      <c r="HAB45" s="579"/>
      <c r="HAC45" s="579"/>
      <c r="HAD45" s="579"/>
      <c r="HAE45" s="579"/>
      <c r="HAF45" s="579"/>
      <c r="HAG45" s="579"/>
      <c r="HAH45" s="579"/>
      <c r="HAI45" s="579"/>
      <c r="HAJ45" s="579"/>
      <c r="HAK45" s="579"/>
      <c r="HAL45" s="579"/>
      <c r="HAM45" s="579"/>
      <c r="HAN45" s="579"/>
      <c r="HAO45" s="579"/>
      <c r="HAP45" s="579"/>
      <c r="HAQ45" s="579"/>
      <c r="HAR45" s="579"/>
      <c r="HAS45" s="579"/>
      <c r="HAT45" s="579"/>
      <c r="HAU45" s="579"/>
      <c r="HAV45" s="579"/>
      <c r="HAW45" s="579"/>
      <c r="HAX45" s="579"/>
      <c r="HAY45" s="579"/>
      <c r="HAZ45" s="579"/>
      <c r="HBA45" s="579"/>
      <c r="HBB45" s="579"/>
      <c r="HBC45" s="579"/>
      <c r="HBD45" s="579"/>
      <c r="HBE45" s="579"/>
      <c r="HBF45" s="579"/>
      <c r="HBG45" s="579"/>
      <c r="HBH45" s="579"/>
      <c r="HBI45" s="579"/>
      <c r="HBJ45" s="579"/>
      <c r="HBK45" s="579"/>
      <c r="HBL45" s="579"/>
      <c r="HBM45" s="579"/>
      <c r="HBN45" s="579"/>
      <c r="HBO45" s="579"/>
      <c r="HBP45" s="579"/>
      <c r="HBQ45" s="579"/>
      <c r="HBR45" s="579"/>
      <c r="HBS45" s="579"/>
      <c r="HBT45" s="579"/>
      <c r="HBU45" s="579"/>
      <c r="HBV45" s="579"/>
      <c r="HBW45" s="579"/>
      <c r="HBX45" s="579"/>
      <c r="HBY45" s="579"/>
      <c r="HBZ45" s="579"/>
      <c r="HCA45" s="579"/>
      <c r="HCB45" s="579"/>
      <c r="HCC45" s="579"/>
      <c r="HCD45" s="579"/>
      <c r="HCE45" s="579"/>
      <c r="HCF45" s="579"/>
      <c r="HCG45" s="579"/>
      <c r="HCH45" s="579"/>
      <c r="HCI45" s="579"/>
      <c r="HCJ45" s="579"/>
      <c r="HCK45" s="579"/>
      <c r="HCL45" s="579"/>
      <c r="HCM45" s="579"/>
      <c r="HCN45" s="579"/>
      <c r="HCO45" s="579"/>
      <c r="HCP45" s="579"/>
      <c r="HCQ45" s="579"/>
      <c r="HCR45" s="579"/>
      <c r="HCS45" s="579"/>
      <c r="HCT45" s="579"/>
      <c r="HCU45" s="579"/>
      <c r="HCV45" s="579"/>
      <c r="HCW45" s="579"/>
      <c r="HCX45" s="579"/>
      <c r="HCY45" s="579"/>
      <c r="HCZ45" s="579"/>
      <c r="HDA45" s="579"/>
      <c r="HDB45" s="579"/>
      <c r="HDC45" s="579"/>
      <c r="HDD45" s="579"/>
      <c r="HDE45" s="579"/>
      <c r="HDF45" s="579"/>
      <c r="HDG45" s="579"/>
      <c r="HDH45" s="579"/>
      <c r="HDI45" s="579"/>
      <c r="HDJ45" s="579"/>
      <c r="HDK45" s="579"/>
      <c r="HDL45" s="579"/>
      <c r="HDM45" s="579"/>
      <c r="HDN45" s="579"/>
      <c r="HDO45" s="579"/>
      <c r="HDP45" s="579"/>
      <c r="HDQ45" s="579"/>
      <c r="HDR45" s="579"/>
      <c r="HDS45" s="579"/>
      <c r="HDT45" s="579"/>
      <c r="HDU45" s="579"/>
      <c r="HDV45" s="579"/>
      <c r="HDW45" s="579"/>
      <c r="HDX45" s="579"/>
      <c r="HDY45" s="579"/>
      <c r="HDZ45" s="579"/>
      <c r="HEA45" s="579"/>
      <c r="HEB45" s="579"/>
      <c r="HEC45" s="579"/>
      <c r="HED45" s="579"/>
      <c r="HEE45" s="579"/>
      <c r="HEF45" s="579"/>
      <c r="HEG45" s="579"/>
      <c r="HEH45" s="579"/>
      <c r="HEI45" s="579"/>
      <c r="HEJ45" s="579"/>
      <c r="HEK45" s="579"/>
      <c r="HEL45" s="579"/>
      <c r="HEM45" s="579"/>
      <c r="HEN45" s="579"/>
      <c r="HEO45" s="579"/>
      <c r="HEP45" s="579"/>
      <c r="HEQ45" s="579"/>
      <c r="HER45" s="579"/>
      <c r="HES45" s="579"/>
      <c r="HET45" s="579"/>
      <c r="HEU45" s="579"/>
      <c r="HEV45" s="579"/>
      <c r="HEW45" s="579"/>
      <c r="HEX45" s="579"/>
      <c r="HEY45" s="579"/>
      <c r="HEZ45" s="579"/>
      <c r="HFA45" s="579"/>
      <c r="HFB45" s="579"/>
      <c r="HFC45" s="579"/>
      <c r="HFD45" s="579"/>
      <c r="HFE45" s="579"/>
      <c r="HFF45" s="579"/>
      <c r="HFG45" s="579"/>
      <c r="HFH45" s="579"/>
      <c r="HFI45" s="579"/>
      <c r="HFJ45" s="579"/>
      <c r="HFK45" s="579"/>
      <c r="HFL45" s="579"/>
      <c r="HFM45" s="579"/>
      <c r="HFN45" s="579"/>
      <c r="HFO45" s="579"/>
      <c r="HFP45" s="579"/>
      <c r="HFQ45" s="579"/>
      <c r="HFR45" s="579"/>
      <c r="HFS45" s="579"/>
      <c r="HFT45" s="579"/>
      <c r="HFU45" s="579"/>
      <c r="HFV45" s="579"/>
      <c r="HFW45" s="579"/>
      <c r="HFX45" s="579"/>
      <c r="HFY45" s="579"/>
      <c r="HFZ45" s="579"/>
      <c r="HGA45" s="579"/>
      <c r="HGB45" s="579"/>
      <c r="HGC45" s="579"/>
      <c r="HGD45" s="579"/>
      <c r="HGE45" s="579"/>
      <c r="HGF45" s="579"/>
      <c r="HGG45" s="579"/>
      <c r="HGH45" s="579"/>
      <c r="HGI45" s="579"/>
      <c r="HGJ45" s="579"/>
      <c r="HGK45" s="579"/>
      <c r="HGL45" s="579"/>
      <c r="HGM45" s="579"/>
      <c r="HGN45" s="579"/>
      <c r="HGO45" s="579"/>
      <c r="HGP45" s="579"/>
      <c r="HGQ45" s="579"/>
      <c r="HGR45" s="579"/>
      <c r="HGS45" s="579"/>
      <c r="HGT45" s="579"/>
      <c r="HGU45" s="579"/>
      <c r="HGV45" s="579"/>
      <c r="HGW45" s="579"/>
      <c r="HGX45" s="579"/>
      <c r="HGY45" s="579"/>
      <c r="HGZ45" s="579"/>
      <c r="HHA45" s="579"/>
      <c r="HHB45" s="579"/>
      <c r="HHC45" s="579"/>
      <c r="HHD45" s="579"/>
      <c r="HHE45" s="579"/>
      <c r="HHF45" s="579"/>
      <c r="HHG45" s="579"/>
      <c r="HHH45" s="579"/>
      <c r="HHI45" s="579"/>
      <c r="HHJ45" s="579"/>
      <c r="HHK45" s="579"/>
      <c r="HHL45" s="579"/>
      <c r="HHM45" s="579"/>
      <c r="HHN45" s="579"/>
      <c r="HHO45" s="579"/>
      <c r="HHP45" s="579"/>
      <c r="HHQ45" s="579"/>
      <c r="HHR45" s="579"/>
      <c r="HHS45" s="579"/>
      <c r="HHT45" s="579"/>
      <c r="HHU45" s="579"/>
      <c r="HHV45" s="579"/>
      <c r="HHW45" s="579"/>
      <c r="HHX45" s="579"/>
      <c r="HHY45" s="579"/>
      <c r="HHZ45" s="579"/>
      <c r="HIA45" s="579"/>
      <c r="HIB45" s="579"/>
      <c r="HIC45" s="579"/>
      <c r="HID45" s="579"/>
      <c r="HIE45" s="579"/>
      <c r="HIF45" s="579"/>
      <c r="HIG45" s="579"/>
      <c r="HIH45" s="579"/>
      <c r="HII45" s="579"/>
      <c r="HIJ45" s="579"/>
      <c r="HIK45" s="579"/>
      <c r="HIL45" s="579"/>
      <c r="HIM45" s="579"/>
      <c r="HIN45" s="579"/>
      <c r="HIO45" s="579"/>
      <c r="HIP45" s="579"/>
      <c r="HIQ45" s="579"/>
      <c r="HIR45" s="579"/>
      <c r="HIS45" s="579"/>
      <c r="HIT45" s="579"/>
      <c r="HIU45" s="579"/>
      <c r="HIV45" s="579"/>
      <c r="HIW45" s="579"/>
      <c r="HIX45" s="579"/>
      <c r="HIY45" s="579"/>
      <c r="HIZ45" s="579"/>
      <c r="HJA45" s="579"/>
      <c r="HJB45" s="579"/>
      <c r="HJC45" s="579"/>
      <c r="HJD45" s="579"/>
      <c r="HJE45" s="579"/>
      <c r="HJF45" s="579"/>
      <c r="HJG45" s="579"/>
      <c r="HJH45" s="579"/>
      <c r="HJI45" s="579"/>
      <c r="HJJ45" s="579"/>
      <c r="HJK45" s="579"/>
      <c r="HJL45" s="579"/>
      <c r="HJM45" s="579"/>
      <c r="HJN45" s="579"/>
      <c r="HJO45" s="579"/>
      <c r="HJP45" s="579"/>
      <c r="HJQ45" s="579"/>
      <c r="HJR45" s="579"/>
      <c r="HJS45" s="579"/>
      <c r="HJT45" s="579"/>
      <c r="HJU45" s="579"/>
      <c r="HJV45" s="579"/>
      <c r="HJW45" s="579"/>
      <c r="HJX45" s="579"/>
      <c r="HJY45" s="579"/>
      <c r="HJZ45" s="579"/>
      <c r="HKA45" s="579"/>
      <c r="HKB45" s="579"/>
      <c r="HKC45" s="579"/>
      <c r="HKD45" s="579"/>
      <c r="HKE45" s="579"/>
      <c r="HKF45" s="579"/>
      <c r="HKG45" s="579"/>
      <c r="HKH45" s="579"/>
      <c r="HKI45" s="579"/>
      <c r="HKJ45" s="579"/>
      <c r="HKK45" s="579"/>
      <c r="HKL45" s="579"/>
      <c r="HKM45" s="579"/>
      <c r="HKN45" s="579"/>
      <c r="HKO45" s="579"/>
      <c r="HKP45" s="579"/>
      <c r="HKQ45" s="579"/>
      <c r="HKR45" s="579"/>
      <c r="HKS45" s="579"/>
      <c r="HKT45" s="579"/>
      <c r="HKU45" s="579"/>
      <c r="HKV45" s="579"/>
      <c r="HKW45" s="579"/>
      <c r="HKX45" s="579"/>
      <c r="HKY45" s="579"/>
      <c r="HKZ45" s="579"/>
      <c r="HLA45" s="579"/>
      <c r="HLB45" s="579"/>
      <c r="HLC45" s="579"/>
      <c r="HLD45" s="579"/>
      <c r="HLE45" s="579"/>
      <c r="HLF45" s="579"/>
      <c r="HLG45" s="579"/>
      <c r="HLH45" s="579"/>
      <c r="HLI45" s="579"/>
      <c r="HLJ45" s="579"/>
      <c r="HLK45" s="579"/>
      <c r="HLL45" s="579"/>
      <c r="HLM45" s="579"/>
      <c r="HLN45" s="579"/>
      <c r="HLO45" s="579"/>
      <c r="HLP45" s="579"/>
      <c r="HLQ45" s="579"/>
      <c r="HLR45" s="579"/>
      <c r="HLS45" s="579"/>
      <c r="HLT45" s="579"/>
      <c r="HLU45" s="579"/>
      <c r="HLV45" s="579"/>
      <c r="HLW45" s="579"/>
      <c r="HLX45" s="579"/>
      <c r="HLY45" s="579"/>
      <c r="HLZ45" s="579"/>
      <c r="HMA45" s="579"/>
      <c r="HMB45" s="579"/>
      <c r="HMC45" s="579"/>
      <c r="HMD45" s="579"/>
      <c r="HME45" s="579"/>
      <c r="HMF45" s="579"/>
      <c r="HMG45" s="579"/>
      <c r="HMH45" s="579"/>
      <c r="HMI45" s="579"/>
      <c r="HMJ45" s="579"/>
      <c r="HMK45" s="579"/>
      <c r="HML45" s="579"/>
      <c r="HMM45" s="579"/>
      <c r="HMN45" s="579"/>
      <c r="HMO45" s="579"/>
      <c r="HMP45" s="579"/>
      <c r="HMQ45" s="579"/>
      <c r="HMR45" s="579"/>
      <c r="HMS45" s="579"/>
      <c r="HMT45" s="579"/>
      <c r="HMU45" s="579"/>
      <c r="HMV45" s="579"/>
      <c r="HMW45" s="579"/>
      <c r="HMX45" s="579"/>
      <c r="HMY45" s="579"/>
      <c r="HMZ45" s="579"/>
      <c r="HNA45" s="579"/>
      <c r="HNB45" s="579"/>
      <c r="HNC45" s="579"/>
      <c r="HND45" s="579"/>
      <c r="HNE45" s="579"/>
      <c r="HNF45" s="579"/>
      <c r="HNG45" s="579"/>
      <c r="HNH45" s="579"/>
      <c r="HNI45" s="579"/>
      <c r="HNJ45" s="579"/>
      <c r="HNK45" s="579"/>
      <c r="HNL45" s="579"/>
      <c r="HNM45" s="579"/>
      <c r="HNN45" s="579"/>
      <c r="HNO45" s="579"/>
      <c r="HNP45" s="579"/>
      <c r="HNQ45" s="579"/>
      <c r="HNR45" s="579"/>
      <c r="HNS45" s="579"/>
      <c r="HNT45" s="579"/>
      <c r="HNU45" s="579"/>
      <c r="HNV45" s="579"/>
      <c r="HNW45" s="579"/>
      <c r="HNX45" s="579"/>
      <c r="HNY45" s="579"/>
      <c r="HNZ45" s="579"/>
      <c r="HOA45" s="579"/>
      <c r="HOB45" s="579"/>
      <c r="HOC45" s="579"/>
      <c r="HOD45" s="579"/>
      <c r="HOE45" s="579"/>
      <c r="HOF45" s="579"/>
      <c r="HOG45" s="579"/>
      <c r="HOH45" s="579"/>
      <c r="HOI45" s="579"/>
      <c r="HOJ45" s="579"/>
      <c r="HOK45" s="579"/>
      <c r="HOL45" s="579"/>
      <c r="HOM45" s="579"/>
      <c r="HON45" s="579"/>
      <c r="HOO45" s="579"/>
      <c r="HOP45" s="579"/>
      <c r="HOQ45" s="579"/>
      <c r="HOR45" s="579"/>
      <c r="HOS45" s="579"/>
      <c r="HOT45" s="579"/>
      <c r="HOU45" s="579"/>
      <c r="HOV45" s="579"/>
      <c r="HOW45" s="579"/>
      <c r="HOX45" s="579"/>
      <c r="HOY45" s="579"/>
      <c r="HOZ45" s="579"/>
      <c r="HPA45" s="579"/>
      <c r="HPB45" s="579"/>
      <c r="HPC45" s="579"/>
      <c r="HPD45" s="579"/>
      <c r="HPE45" s="579"/>
      <c r="HPF45" s="579"/>
      <c r="HPG45" s="579"/>
      <c r="HPH45" s="579"/>
      <c r="HPI45" s="579"/>
      <c r="HPJ45" s="579"/>
      <c r="HPK45" s="579"/>
      <c r="HPL45" s="579"/>
      <c r="HPM45" s="579"/>
      <c r="HPN45" s="579"/>
      <c r="HPO45" s="579"/>
      <c r="HPP45" s="579"/>
      <c r="HPQ45" s="579"/>
      <c r="HPR45" s="579"/>
      <c r="HPS45" s="579"/>
      <c r="HPT45" s="579"/>
      <c r="HPU45" s="579"/>
      <c r="HPV45" s="579"/>
      <c r="HPW45" s="579"/>
      <c r="HPX45" s="579"/>
      <c r="HPY45" s="579"/>
      <c r="HPZ45" s="579"/>
      <c r="HQA45" s="579"/>
      <c r="HQB45" s="579"/>
      <c r="HQC45" s="579"/>
      <c r="HQD45" s="579"/>
      <c r="HQE45" s="579"/>
      <c r="HQF45" s="579"/>
      <c r="HQG45" s="579"/>
      <c r="HQH45" s="579"/>
      <c r="HQI45" s="579"/>
      <c r="HQJ45" s="579"/>
      <c r="HQK45" s="579"/>
      <c r="HQL45" s="579"/>
      <c r="HQM45" s="579"/>
      <c r="HQN45" s="579"/>
      <c r="HQO45" s="579"/>
      <c r="HQP45" s="579"/>
      <c r="HQQ45" s="579"/>
      <c r="HQR45" s="579"/>
      <c r="HQS45" s="579"/>
      <c r="HQT45" s="579"/>
      <c r="HQU45" s="579"/>
      <c r="HQV45" s="579"/>
      <c r="HQW45" s="579"/>
      <c r="HQX45" s="579"/>
      <c r="HQY45" s="579"/>
      <c r="HQZ45" s="579"/>
      <c r="HRA45" s="579"/>
      <c r="HRB45" s="579"/>
      <c r="HRC45" s="579"/>
      <c r="HRD45" s="579"/>
      <c r="HRE45" s="579"/>
      <c r="HRF45" s="579"/>
      <c r="HRG45" s="579"/>
      <c r="HRH45" s="579"/>
      <c r="HRI45" s="579"/>
      <c r="HRJ45" s="579"/>
      <c r="HRK45" s="579"/>
      <c r="HRL45" s="579"/>
      <c r="HRM45" s="579"/>
      <c r="HRN45" s="579"/>
      <c r="HRO45" s="579"/>
      <c r="HRP45" s="579"/>
      <c r="HRQ45" s="579"/>
      <c r="HRR45" s="579"/>
      <c r="HRS45" s="579"/>
      <c r="HRT45" s="579"/>
      <c r="HRU45" s="579"/>
      <c r="HRV45" s="579"/>
      <c r="HRW45" s="579"/>
      <c r="HRX45" s="579"/>
      <c r="HRY45" s="579"/>
      <c r="HRZ45" s="579"/>
      <c r="HSA45" s="579"/>
      <c r="HSB45" s="579"/>
      <c r="HSC45" s="579"/>
      <c r="HSD45" s="579"/>
      <c r="HSE45" s="579"/>
      <c r="HSF45" s="579"/>
      <c r="HSG45" s="579"/>
      <c r="HSH45" s="579"/>
      <c r="HSI45" s="579"/>
      <c r="HSJ45" s="579"/>
      <c r="HSK45" s="579"/>
      <c r="HSL45" s="579"/>
      <c r="HSM45" s="579"/>
      <c r="HSN45" s="579"/>
      <c r="HSO45" s="579"/>
      <c r="HSP45" s="579"/>
      <c r="HSQ45" s="579"/>
      <c r="HSR45" s="579"/>
      <c r="HSS45" s="579"/>
      <c r="HST45" s="579"/>
      <c r="HSU45" s="579"/>
      <c r="HSV45" s="579"/>
      <c r="HSW45" s="579"/>
      <c r="HSX45" s="579"/>
      <c r="HSY45" s="579"/>
      <c r="HSZ45" s="579"/>
      <c r="HTA45" s="579"/>
      <c r="HTB45" s="579"/>
      <c r="HTC45" s="579"/>
      <c r="HTD45" s="579"/>
      <c r="HTE45" s="579"/>
      <c r="HTF45" s="579"/>
      <c r="HTG45" s="579"/>
      <c r="HTH45" s="579"/>
      <c r="HTI45" s="579"/>
      <c r="HTJ45" s="579"/>
      <c r="HTK45" s="579"/>
      <c r="HTL45" s="579"/>
      <c r="HTM45" s="579"/>
      <c r="HTN45" s="579"/>
      <c r="HTO45" s="579"/>
      <c r="HTP45" s="579"/>
      <c r="HTQ45" s="579"/>
      <c r="HTR45" s="579"/>
      <c r="HTS45" s="579"/>
      <c r="HTT45" s="579"/>
      <c r="HTU45" s="579"/>
      <c r="HTV45" s="579"/>
      <c r="HTW45" s="579"/>
      <c r="HTX45" s="579"/>
      <c r="HTY45" s="579"/>
      <c r="HTZ45" s="579"/>
      <c r="HUA45" s="579"/>
      <c r="HUB45" s="579"/>
      <c r="HUC45" s="579"/>
      <c r="HUD45" s="579"/>
      <c r="HUE45" s="579"/>
      <c r="HUF45" s="579"/>
      <c r="HUG45" s="579"/>
      <c r="HUH45" s="579"/>
      <c r="HUI45" s="579"/>
      <c r="HUJ45" s="579"/>
      <c r="HUK45" s="579"/>
      <c r="HUL45" s="579"/>
      <c r="HUM45" s="579"/>
      <c r="HUN45" s="579"/>
      <c r="HUO45" s="579"/>
      <c r="HUP45" s="579"/>
      <c r="HUQ45" s="579"/>
      <c r="HUR45" s="579"/>
      <c r="HUS45" s="579"/>
      <c r="HUT45" s="579"/>
      <c r="HUU45" s="579"/>
      <c r="HUV45" s="579"/>
      <c r="HUW45" s="579"/>
      <c r="HUX45" s="579"/>
      <c r="HUY45" s="579"/>
      <c r="HUZ45" s="579"/>
      <c r="HVA45" s="579"/>
      <c r="HVB45" s="579"/>
      <c r="HVC45" s="579"/>
      <c r="HVD45" s="579"/>
      <c r="HVE45" s="579"/>
      <c r="HVF45" s="579"/>
      <c r="HVG45" s="579"/>
      <c r="HVH45" s="579"/>
      <c r="HVI45" s="579"/>
      <c r="HVJ45" s="579"/>
      <c r="HVK45" s="579"/>
      <c r="HVL45" s="579"/>
      <c r="HVM45" s="579"/>
      <c r="HVN45" s="579"/>
      <c r="HVO45" s="579"/>
      <c r="HVP45" s="579"/>
      <c r="HVQ45" s="579"/>
      <c r="HVR45" s="579"/>
      <c r="HVS45" s="579"/>
      <c r="HVT45" s="579"/>
      <c r="HVU45" s="579"/>
      <c r="HVV45" s="579"/>
      <c r="HVW45" s="579"/>
      <c r="HVX45" s="579"/>
      <c r="HVY45" s="579"/>
      <c r="HVZ45" s="579"/>
      <c r="HWA45" s="579"/>
      <c r="HWB45" s="579"/>
      <c r="HWC45" s="579"/>
      <c r="HWD45" s="579"/>
      <c r="HWE45" s="579"/>
      <c r="HWF45" s="579"/>
      <c r="HWG45" s="579"/>
      <c r="HWH45" s="579"/>
      <c r="HWI45" s="579"/>
      <c r="HWJ45" s="579"/>
      <c r="HWK45" s="579"/>
      <c r="HWL45" s="579"/>
      <c r="HWM45" s="579"/>
      <c r="HWN45" s="579"/>
      <c r="HWO45" s="579"/>
      <c r="HWP45" s="579"/>
      <c r="HWQ45" s="579"/>
      <c r="HWR45" s="579"/>
      <c r="HWS45" s="579"/>
      <c r="HWT45" s="579"/>
      <c r="HWU45" s="579"/>
      <c r="HWV45" s="579"/>
      <c r="HWW45" s="579"/>
      <c r="HWX45" s="579"/>
      <c r="HWY45" s="579"/>
      <c r="HWZ45" s="579"/>
      <c r="HXA45" s="579"/>
      <c r="HXB45" s="579"/>
      <c r="HXC45" s="579"/>
      <c r="HXD45" s="579"/>
      <c r="HXE45" s="579"/>
      <c r="HXF45" s="579"/>
      <c r="HXG45" s="579"/>
      <c r="HXH45" s="579"/>
      <c r="HXI45" s="579"/>
      <c r="HXJ45" s="579"/>
      <c r="HXK45" s="579"/>
      <c r="HXL45" s="579"/>
      <c r="HXM45" s="579"/>
      <c r="HXN45" s="579"/>
      <c r="HXO45" s="579"/>
      <c r="HXP45" s="579"/>
      <c r="HXQ45" s="579"/>
      <c r="HXR45" s="579"/>
      <c r="HXS45" s="579"/>
      <c r="HXT45" s="579"/>
      <c r="HXU45" s="579"/>
      <c r="HXV45" s="579"/>
      <c r="HXW45" s="579"/>
      <c r="HXX45" s="579"/>
      <c r="HXY45" s="579"/>
      <c r="HXZ45" s="579"/>
      <c r="HYA45" s="579"/>
      <c r="HYB45" s="579"/>
      <c r="HYC45" s="579"/>
      <c r="HYD45" s="579"/>
      <c r="HYE45" s="579"/>
      <c r="HYF45" s="579"/>
      <c r="HYG45" s="579"/>
      <c r="HYH45" s="579"/>
      <c r="HYI45" s="579"/>
      <c r="HYJ45" s="579"/>
      <c r="HYK45" s="579"/>
      <c r="HYL45" s="579"/>
      <c r="HYM45" s="579"/>
      <c r="HYN45" s="579"/>
      <c r="HYO45" s="579"/>
      <c r="HYP45" s="579"/>
      <c r="HYQ45" s="579"/>
      <c r="HYR45" s="579"/>
      <c r="HYS45" s="579"/>
      <c r="HYT45" s="579"/>
      <c r="HYU45" s="579"/>
      <c r="HYV45" s="579"/>
      <c r="HYW45" s="579"/>
      <c r="HYX45" s="579"/>
      <c r="HYY45" s="579"/>
      <c r="HYZ45" s="579"/>
      <c r="HZA45" s="579"/>
      <c r="HZB45" s="579"/>
      <c r="HZC45" s="579"/>
      <c r="HZD45" s="579"/>
      <c r="HZE45" s="579"/>
      <c r="HZF45" s="579"/>
      <c r="HZG45" s="579"/>
      <c r="HZH45" s="579"/>
      <c r="HZI45" s="579"/>
      <c r="HZJ45" s="579"/>
      <c r="HZK45" s="579"/>
      <c r="HZL45" s="579"/>
      <c r="HZM45" s="579"/>
      <c r="HZN45" s="579"/>
      <c r="HZO45" s="579"/>
      <c r="HZP45" s="579"/>
      <c r="HZQ45" s="579"/>
      <c r="HZR45" s="579"/>
      <c r="HZS45" s="579"/>
      <c r="HZT45" s="579"/>
      <c r="HZU45" s="579"/>
      <c r="HZV45" s="579"/>
      <c r="HZW45" s="579"/>
      <c r="HZX45" s="579"/>
      <c r="HZY45" s="579"/>
      <c r="HZZ45" s="579"/>
      <c r="IAA45" s="579"/>
      <c r="IAB45" s="579"/>
      <c r="IAC45" s="579"/>
      <c r="IAD45" s="579"/>
      <c r="IAE45" s="579"/>
      <c r="IAF45" s="579"/>
      <c r="IAG45" s="579"/>
      <c r="IAH45" s="579"/>
      <c r="IAI45" s="579"/>
      <c r="IAJ45" s="579"/>
      <c r="IAK45" s="579"/>
      <c r="IAL45" s="579"/>
      <c r="IAM45" s="579"/>
      <c r="IAN45" s="579"/>
      <c r="IAO45" s="579"/>
      <c r="IAP45" s="579"/>
      <c r="IAQ45" s="579"/>
      <c r="IAR45" s="579"/>
      <c r="IAS45" s="579"/>
      <c r="IAT45" s="579"/>
      <c r="IAU45" s="579"/>
      <c r="IAV45" s="579"/>
      <c r="IAW45" s="579"/>
      <c r="IAX45" s="579"/>
      <c r="IAY45" s="579"/>
      <c r="IAZ45" s="579"/>
      <c r="IBA45" s="579"/>
      <c r="IBB45" s="579"/>
      <c r="IBC45" s="579"/>
      <c r="IBD45" s="579"/>
      <c r="IBE45" s="579"/>
      <c r="IBF45" s="579"/>
      <c r="IBG45" s="579"/>
      <c r="IBH45" s="579"/>
      <c r="IBI45" s="579"/>
      <c r="IBJ45" s="579"/>
      <c r="IBK45" s="579"/>
      <c r="IBL45" s="579"/>
      <c r="IBM45" s="579"/>
      <c r="IBN45" s="579"/>
      <c r="IBO45" s="579"/>
      <c r="IBP45" s="579"/>
      <c r="IBQ45" s="579"/>
      <c r="IBR45" s="579"/>
      <c r="IBS45" s="579"/>
      <c r="IBT45" s="579"/>
      <c r="IBU45" s="579"/>
      <c r="IBV45" s="579"/>
      <c r="IBW45" s="579"/>
      <c r="IBX45" s="579"/>
      <c r="IBY45" s="579"/>
      <c r="IBZ45" s="579"/>
      <c r="ICA45" s="579"/>
      <c r="ICB45" s="579"/>
      <c r="ICC45" s="579"/>
      <c r="ICD45" s="579"/>
      <c r="ICE45" s="579"/>
      <c r="ICF45" s="579"/>
      <c r="ICG45" s="579"/>
      <c r="ICH45" s="579"/>
      <c r="ICI45" s="579"/>
      <c r="ICJ45" s="579"/>
      <c r="ICK45" s="579"/>
      <c r="ICL45" s="579"/>
      <c r="ICM45" s="579"/>
      <c r="ICN45" s="579"/>
      <c r="ICO45" s="579"/>
      <c r="ICP45" s="579"/>
      <c r="ICQ45" s="579"/>
      <c r="ICR45" s="579"/>
      <c r="ICS45" s="579"/>
      <c r="ICT45" s="579"/>
      <c r="ICU45" s="579"/>
      <c r="ICV45" s="579"/>
      <c r="ICW45" s="579"/>
      <c r="ICX45" s="579"/>
      <c r="ICY45" s="579"/>
      <c r="ICZ45" s="579"/>
      <c r="IDA45" s="579"/>
      <c r="IDB45" s="579"/>
      <c r="IDC45" s="579"/>
      <c r="IDD45" s="579"/>
      <c r="IDE45" s="579"/>
      <c r="IDF45" s="579"/>
      <c r="IDG45" s="579"/>
      <c r="IDH45" s="579"/>
      <c r="IDI45" s="579"/>
      <c r="IDJ45" s="579"/>
      <c r="IDK45" s="579"/>
      <c r="IDL45" s="579"/>
      <c r="IDM45" s="579"/>
      <c r="IDN45" s="579"/>
      <c r="IDO45" s="579"/>
      <c r="IDP45" s="579"/>
      <c r="IDQ45" s="579"/>
      <c r="IDR45" s="579"/>
      <c r="IDS45" s="579"/>
      <c r="IDT45" s="579"/>
      <c r="IDU45" s="579"/>
      <c r="IDV45" s="579"/>
      <c r="IDW45" s="579"/>
      <c r="IDX45" s="579"/>
      <c r="IDY45" s="579"/>
      <c r="IDZ45" s="579"/>
      <c r="IEA45" s="579"/>
      <c r="IEB45" s="579"/>
      <c r="IEC45" s="579"/>
      <c r="IED45" s="579"/>
      <c r="IEE45" s="579"/>
      <c r="IEF45" s="579"/>
      <c r="IEG45" s="579"/>
      <c r="IEH45" s="579"/>
      <c r="IEI45" s="579"/>
      <c r="IEJ45" s="579"/>
      <c r="IEK45" s="579"/>
      <c r="IEL45" s="579"/>
      <c r="IEM45" s="579"/>
      <c r="IEN45" s="579"/>
      <c r="IEO45" s="579"/>
      <c r="IEP45" s="579"/>
      <c r="IEQ45" s="579"/>
      <c r="IER45" s="579"/>
      <c r="IES45" s="579"/>
      <c r="IET45" s="579"/>
      <c r="IEU45" s="579"/>
      <c r="IEV45" s="579"/>
      <c r="IEW45" s="579"/>
      <c r="IEX45" s="579"/>
      <c r="IEY45" s="579"/>
      <c r="IEZ45" s="579"/>
      <c r="IFA45" s="579"/>
      <c r="IFB45" s="579"/>
      <c r="IFC45" s="579"/>
      <c r="IFD45" s="579"/>
      <c r="IFE45" s="579"/>
      <c r="IFF45" s="579"/>
      <c r="IFG45" s="579"/>
      <c r="IFH45" s="579"/>
      <c r="IFI45" s="579"/>
      <c r="IFJ45" s="579"/>
      <c r="IFK45" s="579"/>
      <c r="IFL45" s="579"/>
      <c r="IFM45" s="579"/>
      <c r="IFN45" s="579"/>
      <c r="IFO45" s="579"/>
      <c r="IFP45" s="579"/>
      <c r="IFQ45" s="579"/>
      <c r="IFR45" s="579"/>
      <c r="IFS45" s="579"/>
      <c r="IFT45" s="579"/>
      <c r="IFU45" s="579"/>
      <c r="IFV45" s="579"/>
      <c r="IFW45" s="579"/>
      <c r="IFX45" s="579"/>
      <c r="IFY45" s="579"/>
      <c r="IFZ45" s="579"/>
      <c r="IGA45" s="579"/>
      <c r="IGB45" s="579"/>
      <c r="IGC45" s="579"/>
      <c r="IGD45" s="579"/>
      <c r="IGE45" s="579"/>
      <c r="IGF45" s="579"/>
      <c r="IGG45" s="579"/>
      <c r="IGH45" s="579"/>
      <c r="IGI45" s="579"/>
      <c r="IGJ45" s="579"/>
      <c r="IGK45" s="579"/>
      <c r="IGL45" s="579"/>
      <c r="IGM45" s="579"/>
      <c r="IGN45" s="579"/>
      <c r="IGO45" s="579"/>
      <c r="IGP45" s="579"/>
      <c r="IGQ45" s="579"/>
      <c r="IGR45" s="579"/>
      <c r="IGS45" s="579"/>
      <c r="IGT45" s="579"/>
      <c r="IGU45" s="579"/>
      <c r="IGV45" s="579"/>
      <c r="IGW45" s="579"/>
      <c r="IGX45" s="579"/>
      <c r="IGY45" s="579"/>
      <c r="IGZ45" s="579"/>
      <c r="IHA45" s="579"/>
      <c r="IHB45" s="579"/>
      <c r="IHC45" s="579"/>
      <c r="IHD45" s="579"/>
      <c r="IHE45" s="579"/>
      <c r="IHF45" s="579"/>
      <c r="IHG45" s="579"/>
      <c r="IHH45" s="579"/>
      <c r="IHI45" s="579"/>
      <c r="IHJ45" s="579"/>
      <c r="IHK45" s="579"/>
      <c r="IHL45" s="579"/>
      <c r="IHM45" s="579"/>
      <c r="IHN45" s="579"/>
      <c r="IHO45" s="579"/>
      <c r="IHP45" s="579"/>
      <c r="IHQ45" s="579"/>
      <c r="IHR45" s="579"/>
      <c r="IHS45" s="579"/>
      <c r="IHT45" s="579"/>
      <c r="IHU45" s="579"/>
      <c r="IHV45" s="579"/>
      <c r="IHW45" s="579"/>
      <c r="IHX45" s="579"/>
      <c r="IHY45" s="579"/>
      <c r="IHZ45" s="579"/>
      <c r="IIA45" s="579"/>
      <c r="IIB45" s="579"/>
      <c r="IIC45" s="579"/>
      <c r="IID45" s="579"/>
      <c r="IIE45" s="579"/>
      <c r="IIF45" s="579"/>
      <c r="IIG45" s="579"/>
      <c r="IIH45" s="579"/>
      <c r="III45" s="579"/>
      <c r="IIJ45" s="579"/>
      <c r="IIK45" s="579"/>
      <c r="IIL45" s="579"/>
      <c r="IIM45" s="579"/>
      <c r="IIN45" s="579"/>
      <c r="IIO45" s="579"/>
      <c r="IIP45" s="579"/>
      <c r="IIQ45" s="579"/>
      <c r="IIR45" s="579"/>
      <c r="IIS45" s="579"/>
      <c r="IIT45" s="579"/>
      <c r="IIU45" s="579"/>
      <c r="IIV45" s="579"/>
      <c r="IIW45" s="579"/>
      <c r="IIX45" s="579"/>
      <c r="IIY45" s="579"/>
      <c r="IIZ45" s="579"/>
      <c r="IJA45" s="579"/>
      <c r="IJB45" s="579"/>
      <c r="IJC45" s="579"/>
      <c r="IJD45" s="579"/>
      <c r="IJE45" s="579"/>
      <c r="IJF45" s="579"/>
      <c r="IJG45" s="579"/>
      <c r="IJH45" s="579"/>
      <c r="IJI45" s="579"/>
      <c r="IJJ45" s="579"/>
      <c r="IJK45" s="579"/>
      <c r="IJL45" s="579"/>
      <c r="IJM45" s="579"/>
      <c r="IJN45" s="579"/>
      <c r="IJO45" s="579"/>
      <c r="IJP45" s="579"/>
      <c r="IJQ45" s="579"/>
      <c r="IJR45" s="579"/>
      <c r="IJS45" s="579"/>
      <c r="IJT45" s="579"/>
      <c r="IJU45" s="579"/>
      <c r="IJV45" s="579"/>
      <c r="IJW45" s="579"/>
      <c r="IJX45" s="579"/>
      <c r="IJY45" s="579"/>
      <c r="IJZ45" s="579"/>
      <c r="IKA45" s="579"/>
      <c r="IKB45" s="579"/>
      <c r="IKC45" s="579"/>
      <c r="IKD45" s="579"/>
      <c r="IKE45" s="579"/>
      <c r="IKF45" s="579"/>
      <c r="IKG45" s="579"/>
      <c r="IKH45" s="579"/>
      <c r="IKI45" s="579"/>
      <c r="IKJ45" s="579"/>
      <c r="IKK45" s="579"/>
      <c r="IKL45" s="579"/>
      <c r="IKM45" s="579"/>
      <c r="IKN45" s="579"/>
      <c r="IKO45" s="579"/>
      <c r="IKP45" s="579"/>
      <c r="IKQ45" s="579"/>
      <c r="IKR45" s="579"/>
      <c r="IKS45" s="579"/>
      <c r="IKT45" s="579"/>
      <c r="IKU45" s="579"/>
      <c r="IKV45" s="579"/>
      <c r="IKW45" s="579"/>
      <c r="IKX45" s="579"/>
      <c r="IKY45" s="579"/>
      <c r="IKZ45" s="579"/>
      <c r="ILA45" s="579"/>
      <c r="ILB45" s="579"/>
      <c r="ILC45" s="579"/>
      <c r="ILD45" s="579"/>
      <c r="ILE45" s="579"/>
      <c r="ILF45" s="579"/>
      <c r="ILG45" s="579"/>
      <c r="ILH45" s="579"/>
      <c r="ILI45" s="579"/>
      <c r="ILJ45" s="579"/>
      <c r="ILK45" s="579"/>
      <c r="ILL45" s="579"/>
      <c r="ILM45" s="579"/>
      <c r="ILN45" s="579"/>
      <c r="ILO45" s="579"/>
      <c r="ILP45" s="579"/>
      <c r="ILQ45" s="579"/>
      <c r="ILR45" s="579"/>
      <c r="ILS45" s="579"/>
      <c r="ILT45" s="579"/>
      <c r="ILU45" s="579"/>
      <c r="ILV45" s="579"/>
      <c r="ILW45" s="579"/>
      <c r="ILX45" s="579"/>
      <c r="ILY45" s="579"/>
      <c r="ILZ45" s="579"/>
      <c r="IMA45" s="579"/>
      <c r="IMB45" s="579"/>
      <c r="IMC45" s="579"/>
      <c r="IMD45" s="579"/>
      <c r="IME45" s="579"/>
      <c r="IMF45" s="579"/>
      <c r="IMG45" s="579"/>
      <c r="IMH45" s="579"/>
      <c r="IMI45" s="579"/>
      <c r="IMJ45" s="579"/>
      <c r="IMK45" s="579"/>
      <c r="IML45" s="579"/>
      <c r="IMM45" s="579"/>
      <c r="IMN45" s="579"/>
      <c r="IMO45" s="579"/>
      <c r="IMP45" s="579"/>
      <c r="IMQ45" s="579"/>
      <c r="IMR45" s="579"/>
      <c r="IMS45" s="579"/>
      <c r="IMT45" s="579"/>
      <c r="IMU45" s="579"/>
      <c r="IMV45" s="579"/>
      <c r="IMW45" s="579"/>
      <c r="IMX45" s="579"/>
      <c r="IMY45" s="579"/>
      <c r="IMZ45" s="579"/>
      <c r="INA45" s="579"/>
      <c r="INB45" s="579"/>
      <c r="INC45" s="579"/>
      <c r="IND45" s="579"/>
      <c r="INE45" s="579"/>
      <c r="INF45" s="579"/>
      <c r="ING45" s="579"/>
      <c r="INH45" s="579"/>
      <c r="INI45" s="579"/>
      <c r="INJ45" s="579"/>
      <c r="INK45" s="579"/>
      <c r="INL45" s="579"/>
      <c r="INM45" s="579"/>
      <c r="INN45" s="579"/>
      <c r="INO45" s="579"/>
      <c r="INP45" s="579"/>
      <c r="INQ45" s="579"/>
      <c r="INR45" s="579"/>
      <c r="INS45" s="579"/>
      <c r="INT45" s="579"/>
      <c r="INU45" s="579"/>
      <c r="INV45" s="579"/>
      <c r="INW45" s="579"/>
      <c r="INX45" s="579"/>
      <c r="INY45" s="579"/>
      <c r="INZ45" s="579"/>
      <c r="IOA45" s="579"/>
      <c r="IOB45" s="579"/>
      <c r="IOC45" s="579"/>
      <c r="IOD45" s="579"/>
      <c r="IOE45" s="579"/>
      <c r="IOF45" s="579"/>
      <c r="IOG45" s="579"/>
      <c r="IOH45" s="579"/>
      <c r="IOI45" s="579"/>
      <c r="IOJ45" s="579"/>
      <c r="IOK45" s="579"/>
      <c r="IOL45" s="579"/>
      <c r="IOM45" s="579"/>
      <c r="ION45" s="579"/>
      <c r="IOO45" s="579"/>
      <c r="IOP45" s="579"/>
      <c r="IOQ45" s="579"/>
      <c r="IOR45" s="579"/>
      <c r="IOS45" s="579"/>
      <c r="IOT45" s="579"/>
      <c r="IOU45" s="579"/>
      <c r="IOV45" s="579"/>
      <c r="IOW45" s="579"/>
      <c r="IOX45" s="579"/>
      <c r="IOY45" s="579"/>
      <c r="IOZ45" s="579"/>
      <c r="IPA45" s="579"/>
      <c r="IPB45" s="579"/>
      <c r="IPC45" s="579"/>
      <c r="IPD45" s="579"/>
      <c r="IPE45" s="579"/>
      <c r="IPF45" s="579"/>
      <c r="IPG45" s="579"/>
      <c r="IPH45" s="579"/>
      <c r="IPI45" s="579"/>
      <c r="IPJ45" s="579"/>
      <c r="IPK45" s="579"/>
      <c r="IPL45" s="579"/>
      <c r="IPM45" s="579"/>
      <c r="IPN45" s="579"/>
      <c r="IPO45" s="579"/>
      <c r="IPP45" s="579"/>
      <c r="IPQ45" s="579"/>
      <c r="IPR45" s="579"/>
      <c r="IPS45" s="579"/>
      <c r="IPT45" s="579"/>
      <c r="IPU45" s="579"/>
      <c r="IPV45" s="579"/>
      <c r="IPW45" s="579"/>
      <c r="IPX45" s="579"/>
      <c r="IPY45" s="579"/>
      <c r="IPZ45" s="579"/>
      <c r="IQA45" s="579"/>
      <c r="IQB45" s="579"/>
      <c r="IQC45" s="579"/>
      <c r="IQD45" s="579"/>
      <c r="IQE45" s="579"/>
      <c r="IQF45" s="579"/>
      <c r="IQG45" s="579"/>
      <c r="IQH45" s="579"/>
      <c r="IQI45" s="579"/>
      <c r="IQJ45" s="579"/>
      <c r="IQK45" s="579"/>
      <c r="IQL45" s="579"/>
      <c r="IQM45" s="579"/>
      <c r="IQN45" s="579"/>
      <c r="IQO45" s="579"/>
      <c r="IQP45" s="579"/>
      <c r="IQQ45" s="579"/>
      <c r="IQR45" s="579"/>
      <c r="IQS45" s="579"/>
      <c r="IQT45" s="579"/>
      <c r="IQU45" s="579"/>
      <c r="IQV45" s="579"/>
      <c r="IQW45" s="579"/>
      <c r="IQX45" s="579"/>
      <c r="IQY45" s="579"/>
      <c r="IQZ45" s="579"/>
      <c r="IRA45" s="579"/>
      <c r="IRB45" s="579"/>
      <c r="IRC45" s="579"/>
      <c r="IRD45" s="579"/>
      <c r="IRE45" s="579"/>
      <c r="IRF45" s="579"/>
      <c r="IRG45" s="579"/>
      <c r="IRH45" s="579"/>
      <c r="IRI45" s="579"/>
      <c r="IRJ45" s="579"/>
      <c r="IRK45" s="579"/>
      <c r="IRL45" s="579"/>
      <c r="IRM45" s="579"/>
      <c r="IRN45" s="579"/>
      <c r="IRO45" s="579"/>
      <c r="IRP45" s="579"/>
      <c r="IRQ45" s="579"/>
      <c r="IRR45" s="579"/>
      <c r="IRS45" s="579"/>
      <c r="IRT45" s="579"/>
      <c r="IRU45" s="579"/>
      <c r="IRV45" s="579"/>
      <c r="IRW45" s="579"/>
      <c r="IRX45" s="579"/>
      <c r="IRY45" s="579"/>
      <c r="IRZ45" s="579"/>
      <c r="ISA45" s="579"/>
      <c r="ISB45" s="579"/>
      <c r="ISC45" s="579"/>
      <c r="ISD45" s="579"/>
      <c r="ISE45" s="579"/>
      <c r="ISF45" s="579"/>
      <c r="ISG45" s="579"/>
      <c r="ISH45" s="579"/>
      <c r="ISI45" s="579"/>
      <c r="ISJ45" s="579"/>
      <c r="ISK45" s="579"/>
      <c r="ISL45" s="579"/>
      <c r="ISM45" s="579"/>
      <c r="ISN45" s="579"/>
      <c r="ISO45" s="579"/>
      <c r="ISP45" s="579"/>
      <c r="ISQ45" s="579"/>
      <c r="ISR45" s="579"/>
      <c r="ISS45" s="579"/>
      <c r="IST45" s="579"/>
      <c r="ISU45" s="579"/>
      <c r="ISV45" s="579"/>
      <c r="ISW45" s="579"/>
      <c r="ISX45" s="579"/>
      <c r="ISY45" s="579"/>
      <c r="ISZ45" s="579"/>
      <c r="ITA45" s="579"/>
      <c r="ITB45" s="579"/>
      <c r="ITC45" s="579"/>
      <c r="ITD45" s="579"/>
      <c r="ITE45" s="579"/>
      <c r="ITF45" s="579"/>
      <c r="ITG45" s="579"/>
      <c r="ITH45" s="579"/>
      <c r="ITI45" s="579"/>
      <c r="ITJ45" s="579"/>
      <c r="ITK45" s="579"/>
      <c r="ITL45" s="579"/>
      <c r="ITM45" s="579"/>
      <c r="ITN45" s="579"/>
      <c r="ITO45" s="579"/>
      <c r="ITP45" s="579"/>
      <c r="ITQ45" s="579"/>
      <c r="ITR45" s="579"/>
      <c r="ITS45" s="579"/>
      <c r="ITT45" s="579"/>
      <c r="ITU45" s="579"/>
      <c r="ITV45" s="579"/>
      <c r="ITW45" s="579"/>
      <c r="ITX45" s="579"/>
      <c r="ITY45" s="579"/>
      <c r="ITZ45" s="579"/>
      <c r="IUA45" s="579"/>
      <c r="IUB45" s="579"/>
      <c r="IUC45" s="579"/>
      <c r="IUD45" s="579"/>
      <c r="IUE45" s="579"/>
      <c r="IUF45" s="579"/>
      <c r="IUG45" s="579"/>
      <c r="IUH45" s="579"/>
      <c r="IUI45" s="579"/>
      <c r="IUJ45" s="579"/>
      <c r="IUK45" s="579"/>
      <c r="IUL45" s="579"/>
      <c r="IUM45" s="579"/>
      <c r="IUN45" s="579"/>
      <c r="IUO45" s="579"/>
      <c r="IUP45" s="579"/>
      <c r="IUQ45" s="579"/>
      <c r="IUR45" s="579"/>
      <c r="IUS45" s="579"/>
      <c r="IUT45" s="579"/>
      <c r="IUU45" s="579"/>
      <c r="IUV45" s="579"/>
      <c r="IUW45" s="579"/>
      <c r="IUX45" s="579"/>
      <c r="IUY45" s="579"/>
      <c r="IUZ45" s="579"/>
      <c r="IVA45" s="579"/>
      <c r="IVB45" s="579"/>
      <c r="IVC45" s="579"/>
      <c r="IVD45" s="579"/>
      <c r="IVE45" s="579"/>
      <c r="IVF45" s="579"/>
      <c r="IVG45" s="579"/>
      <c r="IVH45" s="579"/>
      <c r="IVI45" s="579"/>
      <c r="IVJ45" s="579"/>
      <c r="IVK45" s="579"/>
      <c r="IVL45" s="579"/>
      <c r="IVM45" s="579"/>
      <c r="IVN45" s="579"/>
      <c r="IVO45" s="579"/>
      <c r="IVP45" s="579"/>
      <c r="IVQ45" s="579"/>
      <c r="IVR45" s="579"/>
      <c r="IVS45" s="579"/>
      <c r="IVT45" s="579"/>
      <c r="IVU45" s="579"/>
      <c r="IVV45" s="579"/>
      <c r="IVW45" s="579"/>
      <c r="IVX45" s="579"/>
      <c r="IVY45" s="579"/>
      <c r="IVZ45" s="579"/>
      <c r="IWA45" s="579"/>
      <c r="IWB45" s="579"/>
      <c r="IWC45" s="579"/>
      <c r="IWD45" s="579"/>
      <c r="IWE45" s="579"/>
      <c r="IWF45" s="579"/>
      <c r="IWG45" s="579"/>
      <c r="IWH45" s="579"/>
      <c r="IWI45" s="579"/>
      <c r="IWJ45" s="579"/>
      <c r="IWK45" s="579"/>
      <c r="IWL45" s="579"/>
      <c r="IWM45" s="579"/>
      <c r="IWN45" s="579"/>
      <c r="IWO45" s="579"/>
      <c r="IWP45" s="579"/>
      <c r="IWQ45" s="579"/>
      <c r="IWR45" s="579"/>
      <c r="IWS45" s="579"/>
      <c r="IWT45" s="579"/>
      <c r="IWU45" s="579"/>
      <c r="IWV45" s="579"/>
      <c r="IWW45" s="579"/>
      <c r="IWX45" s="579"/>
      <c r="IWY45" s="579"/>
      <c r="IWZ45" s="579"/>
      <c r="IXA45" s="579"/>
      <c r="IXB45" s="579"/>
      <c r="IXC45" s="579"/>
      <c r="IXD45" s="579"/>
      <c r="IXE45" s="579"/>
      <c r="IXF45" s="579"/>
      <c r="IXG45" s="579"/>
      <c r="IXH45" s="579"/>
      <c r="IXI45" s="579"/>
      <c r="IXJ45" s="579"/>
      <c r="IXK45" s="579"/>
      <c r="IXL45" s="579"/>
      <c r="IXM45" s="579"/>
      <c r="IXN45" s="579"/>
      <c r="IXO45" s="579"/>
      <c r="IXP45" s="579"/>
      <c r="IXQ45" s="579"/>
      <c r="IXR45" s="579"/>
      <c r="IXS45" s="579"/>
      <c r="IXT45" s="579"/>
      <c r="IXU45" s="579"/>
      <c r="IXV45" s="579"/>
      <c r="IXW45" s="579"/>
      <c r="IXX45" s="579"/>
      <c r="IXY45" s="579"/>
      <c r="IXZ45" s="579"/>
      <c r="IYA45" s="579"/>
      <c r="IYB45" s="579"/>
      <c r="IYC45" s="579"/>
      <c r="IYD45" s="579"/>
      <c r="IYE45" s="579"/>
      <c r="IYF45" s="579"/>
      <c r="IYG45" s="579"/>
      <c r="IYH45" s="579"/>
      <c r="IYI45" s="579"/>
      <c r="IYJ45" s="579"/>
      <c r="IYK45" s="579"/>
      <c r="IYL45" s="579"/>
      <c r="IYM45" s="579"/>
      <c r="IYN45" s="579"/>
      <c r="IYO45" s="579"/>
      <c r="IYP45" s="579"/>
      <c r="IYQ45" s="579"/>
      <c r="IYR45" s="579"/>
      <c r="IYS45" s="579"/>
      <c r="IYT45" s="579"/>
      <c r="IYU45" s="579"/>
      <c r="IYV45" s="579"/>
      <c r="IYW45" s="579"/>
      <c r="IYX45" s="579"/>
      <c r="IYY45" s="579"/>
      <c r="IYZ45" s="579"/>
      <c r="IZA45" s="579"/>
      <c r="IZB45" s="579"/>
      <c r="IZC45" s="579"/>
      <c r="IZD45" s="579"/>
      <c r="IZE45" s="579"/>
      <c r="IZF45" s="579"/>
      <c r="IZG45" s="579"/>
      <c r="IZH45" s="579"/>
      <c r="IZI45" s="579"/>
      <c r="IZJ45" s="579"/>
      <c r="IZK45" s="579"/>
      <c r="IZL45" s="579"/>
      <c r="IZM45" s="579"/>
      <c r="IZN45" s="579"/>
      <c r="IZO45" s="579"/>
      <c r="IZP45" s="579"/>
      <c r="IZQ45" s="579"/>
      <c r="IZR45" s="579"/>
      <c r="IZS45" s="579"/>
      <c r="IZT45" s="579"/>
      <c r="IZU45" s="579"/>
      <c r="IZV45" s="579"/>
      <c r="IZW45" s="579"/>
      <c r="IZX45" s="579"/>
      <c r="IZY45" s="579"/>
      <c r="IZZ45" s="579"/>
      <c r="JAA45" s="579"/>
      <c r="JAB45" s="579"/>
      <c r="JAC45" s="579"/>
      <c r="JAD45" s="579"/>
      <c r="JAE45" s="579"/>
      <c r="JAF45" s="579"/>
      <c r="JAG45" s="579"/>
      <c r="JAH45" s="579"/>
      <c r="JAI45" s="579"/>
      <c r="JAJ45" s="579"/>
      <c r="JAK45" s="579"/>
      <c r="JAL45" s="579"/>
      <c r="JAM45" s="579"/>
      <c r="JAN45" s="579"/>
      <c r="JAO45" s="579"/>
      <c r="JAP45" s="579"/>
      <c r="JAQ45" s="579"/>
      <c r="JAR45" s="579"/>
      <c r="JAS45" s="579"/>
      <c r="JAT45" s="579"/>
      <c r="JAU45" s="579"/>
      <c r="JAV45" s="579"/>
      <c r="JAW45" s="579"/>
      <c r="JAX45" s="579"/>
      <c r="JAY45" s="579"/>
      <c r="JAZ45" s="579"/>
      <c r="JBA45" s="579"/>
      <c r="JBB45" s="579"/>
      <c r="JBC45" s="579"/>
      <c r="JBD45" s="579"/>
      <c r="JBE45" s="579"/>
      <c r="JBF45" s="579"/>
      <c r="JBG45" s="579"/>
      <c r="JBH45" s="579"/>
      <c r="JBI45" s="579"/>
      <c r="JBJ45" s="579"/>
      <c r="JBK45" s="579"/>
      <c r="JBL45" s="579"/>
      <c r="JBM45" s="579"/>
      <c r="JBN45" s="579"/>
      <c r="JBO45" s="579"/>
      <c r="JBP45" s="579"/>
      <c r="JBQ45" s="579"/>
      <c r="JBR45" s="579"/>
      <c r="JBS45" s="579"/>
      <c r="JBT45" s="579"/>
      <c r="JBU45" s="579"/>
      <c r="JBV45" s="579"/>
      <c r="JBW45" s="579"/>
      <c r="JBX45" s="579"/>
      <c r="JBY45" s="579"/>
      <c r="JBZ45" s="579"/>
      <c r="JCA45" s="579"/>
      <c r="JCB45" s="579"/>
      <c r="JCC45" s="579"/>
      <c r="JCD45" s="579"/>
      <c r="JCE45" s="579"/>
      <c r="JCF45" s="579"/>
      <c r="JCG45" s="579"/>
      <c r="JCH45" s="579"/>
      <c r="JCI45" s="579"/>
      <c r="JCJ45" s="579"/>
      <c r="JCK45" s="579"/>
      <c r="JCL45" s="579"/>
      <c r="JCM45" s="579"/>
      <c r="JCN45" s="579"/>
      <c r="JCO45" s="579"/>
      <c r="JCP45" s="579"/>
      <c r="JCQ45" s="579"/>
      <c r="JCR45" s="579"/>
      <c r="JCS45" s="579"/>
      <c r="JCT45" s="579"/>
      <c r="JCU45" s="579"/>
      <c r="JCV45" s="579"/>
      <c r="JCW45" s="579"/>
      <c r="JCX45" s="579"/>
      <c r="JCY45" s="579"/>
      <c r="JCZ45" s="579"/>
      <c r="JDA45" s="579"/>
      <c r="JDB45" s="579"/>
      <c r="JDC45" s="579"/>
      <c r="JDD45" s="579"/>
      <c r="JDE45" s="579"/>
      <c r="JDF45" s="579"/>
      <c r="JDG45" s="579"/>
      <c r="JDH45" s="579"/>
      <c r="JDI45" s="579"/>
      <c r="JDJ45" s="579"/>
      <c r="JDK45" s="579"/>
      <c r="JDL45" s="579"/>
      <c r="JDM45" s="579"/>
      <c r="JDN45" s="579"/>
      <c r="JDO45" s="579"/>
      <c r="JDP45" s="579"/>
      <c r="JDQ45" s="579"/>
      <c r="JDR45" s="579"/>
      <c r="JDS45" s="579"/>
      <c r="JDT45" s="579"/>
      <c r="JDU45" s="579"/>
      <c r="JDV45" s="579"/>
      <c r="JDW45" s="579"/>
      <c r="JDX45" s="579"/>
      <c r="JDY45" s="579"/>
      <c r="JDZ45" s="579"/>
      <c r="JEA45" s="579"/>
      <c r="JEB45" s="579"/>
      <c r="JEC45" s="579"/>
      <c r="JED45" s="579"/>
      <c r="JEE45" s="579"/>
      <c r="JEF45" s="579"/>
      <c r="JEG45" s="579"/>
      <c r="JEH45" s="579"/>
      <c r="JEI45" s="579"/>
      <c r="JEJ45" s="579"/>
      <c r="JEK45" s="579"/>
      <c r="JEL45" s="579"/>
      <c r="JEM45" s="579"/>
      <c r="JEN45" s="579"/>
      <c r="JEO45" s="579"/>
      <c r="JEP45" s="579"/>
      <c r="JEQ45" s="579"/>
      <c r="JER45" s="579"/>
      <c r="JES45" s="579"/>
      <c r="JET45" s="579"/>
      <c r="JEU45" s="579"/>
      <c r="JEV45" s="579"/>
      <c r="JEW45" s="579"/>
      <c r="JEX45" s="579"/>
      <c r="JEY45" s="579"/>
      <c r="JEZ45" s="579"/>
      <c r="JFA45" s="579"/>
      <c r="JFB45" s="579"/>
      <c r="JFC45" s="579"/>
      <c r="JFD45" s="579"/>
      <c r="JFE45" s="579"/>
      <c r="JFF45" s="579"/>
      <c r="JFG45" s="579"/>
      <c r="JFH45" s="579"/>
      <c r="JFI45" s="579"/>
      <c r="JFJ45" s="579"/>
      <c r="JFK45" s="579"/>
      <c r="JFL45" s="579"/>
      <c r="JFM45" s="579"/>
      <c r="JFN45" s="579"/>
      <c r="JFO45" s="579"/>
      <c r="JFP45" s="579"/>
      <c r="JFQ45" s="579"/>
      <c r="JFR45" s="579"/>
      <c r="JFS45" s="579"/>
      <c r="JFT45" s="579"/>
      <c r="JFU45" s="579"/>
      <c r="JFV45" s="579"/>
      <c r="JFW45" s="579"/>
      <c r="JFX45" s="579"/>
      <c r="JFY45" s="579"/>
      <c r="JFZ45" s="579"/>
      <c r="JGA45" s="579"/>
      <c r="JGB45" s="579"/>
      <c r="JGC45" s="579"/>
      <c r="JGD45" s="579"/>
      <c r="JGE45" s="579"/>
      <c r="JGF45" s="579"/>
      <c r="JGG45" s="579"/>
      <c r="JGH45" s="579"/>
      <c r="JGI45" s="579"/>
      <c r="JGJ45" s="579"/>
      <c r="JGK45" s="579"/>
      <c r="JGL45" s="579"/>
      <c r="JGM45" s="579"/>
      <c r="JGN45" s="579"/>
      <c r="JGO45" s="579"/>
      <c r="JGP45" s="579"/>
      <c r="JGQ45" s="579"/>
      <c r="JGR45" s="579"/>
      <c r="JGS45" s="579"/>
      <c r="JGT45" s="579"/>
      <c r="JGU45" s="579"/>
      <c r="JGV45" s="579"/>
      <c r="JGW45" s="579"/>
      <c r="JGX45" s="579"/>
      <c r="JGY45" s="579"/>
      <c r="JGZ45" s="579"/>
      <c r="JHA45" s="579"/>
      <c r="JHB45" s="579"/>
      <c r="JHC45" s="579"/>
      <c r="JHD45" s="579"/>
      <c r="JHE45" s="579"/>
      <c r="JHF45" s="579"/>
      <c r="JHG45" s="579"/>
      <c r="JHH45" s="579"/>
      <c r="JHI45" s="579"/>
      <c r="JHJ45" s="579"/>
      <c r="JHK45" s="579"/>
      <c r="JHL45" s="579"/>
      <c r="JHM45" s="579"/>
      <c r="JHN45" s="579"/>
      <c r="JHO45" s="579"/>
      <c r="JHP45" s="579"/>
      <c r="JHQ45" s="579"/>
      <c r="JHR45" s="579"/>
      <c r="JHS45" s="579"/>
      <c r="JHT45" s="579"/>
      <c r="JHU45" s="579"/>
      <c r="JHV45" s="579"/>
      <c r="JHW45" s="579"/>
      <c r="JHX45" s="579"/>
      <c r="JHY45" s="579"/>
      <c r="JHZ45" s="579"/>
      <c r="JIA45" s="579"/>
      <c r="JIB45" s="579"/>
      <c r="JIC45" s="579"/>
      <c r="JID45" s="579"/>
      <c r="JIE45" s="579"/>
      <c r="JIF45" s="579"/>
      <c r="JIG45" s="579"/>
      <c r="JIH45" s="579"/>
      <c r="JII45" s="579"/>
      <c r="JIJ45" s="579"/>
      <c r="JIK45" s="579"/>
      <c r="JIL45" s="579"/>
      <c r="JIM45" s="579"/>
      <c r="JIN45" s="579"/>
      <c r="JIO45" s="579"/>
      <c r="JIP45" s="579"/>
      <c r="JIQ45" s="579"/>
      <c r="JIR45" s="579"/>
      <c r="JIS45" s="579"/>
      <c r="JIT45" s="579"/>
      <c r="JIU45" s="579"/>
      <c r="JIV45" s="579"/>
      <c r="JIW45" s="579"/>
      <c r="JIX45" s="579"/>
      <c r="JIY45" s="579"/>
      <c r="JIZ45" s="579"/>
      <c r="JJA45" s="579"/>
      <c r="JJB45" s="579"/>
      <c r="JJC45" s="579"/>
      <c r="JJD45" s="579"/>
      <c r="JJE45" s="579"/>
      <c r="JJF45" s="579"/>
      <c r="JJG45" s="579"/>
      <c r="JJH45" s="579"/>
      <c r="JJI45" s="579"/>
      <c r="JJJ45" s="579"/>
      <c r="JJK45" s="579"/>
      <c r="JJL45" s="579"/>
      <c r="JJM45" s="579"/>
      <c r="JJN45" s="579"/>
      <c r="JJO45" s="579"/>
      <c r="JJP45" s="579"/>
      <c r="JJQ45" s="579"/>
      <c r="JJR45" s="579"/>
      <c r="JJS45" s="579"/>
      <c r="JJT45" s="579"/>
      <c r="JJU45" s="579"/>
      <c r="JJV45" s="579"/>
      <c r="JJW45" s="579"/>
      <c r="JJX45" s="579"/>
      <c r="JJY45" s="579"/>
      <c r="JJZ45" s="579"/>
      <c r="JKA45" s="579"/>
      <c r="JKB45" s="579"/>
      <c r="JKC45" s="579"/>
      <c r="JKD45" s="579"/>
      <c r="JKE45" s="579"/>
      <c r="JKF45" s="579"/>
      <c r="JKG45" s="579"/>
      <c r="JKH45" s="579"/>
      <c r="JKI45" s="579"/>
      <c r="JKJ45" s="579"/>
      <c r="JKK45" s="579"/>
      <c r="JKL45" s="579"/>
      <c r="JKM45" s="579"/>
      <c r="JKN45" s="579"/>
      <c r="JKO45" s="579"/>
      <c r="JKP45" s="579"/>
      <c r="JKQ45" s="579"/>
      <c r="JKR45" s="579"/>
      <c r="JKS45" s="579"/>
      <c r="JKT45" s="579"/>
      <c r="JKU45" s="579"/>
      <c r="JKV45" s="579"/>
      <c r="JKW45" s="579"/>
      <c r="JKX45" s="579"/>
      <c r="JKY45" s="579"/>
      <c r="JKZ45" s="579"/>
      <c r="JLA45" s="579"/>
      <c r="JLB45" s="579"/>
      <c r="JLC45" s="579"/>
      <c r="JLD45" s="579"/>
      <c r="JLE45" s="579"/>
      <c r="JLF45" s="579"/>
      <c r="JLG45" s="579"/>
      <c r="JLH45" s="579"/>
      <c r="JLI45" s="579"/>
      <c r="JLJ45" s="579"/>
      <c r="JLK45" s="579"/>
      <c r="JLL45" s="579"/>
      <c r="JLM45" s="579"/>
      <c r="JLN45" s="579"/>
      <c r="JLO45" s="579"/>
      <c r="JLP45" s="579"/>
      <c r="JLQ45" s="579"/>
      <c r="JLR45" s="579"/>
      <c r="JLS45" s="579"/>
      <c r="JLT45" s="579"/>
      <c r="JLU45" s="579"/>
      <c r="JLV45" s="579"/>
      <c r="JLW45" s="579"/>
      <c r="JLX45" s="579"/>
      <c r="JLY45" s="579"/>
      <c r="JLZ45" s="579"/>
      <c r="JMA45" s="579"/>
      <c r="JMB45" s="579"/>
      <c r="JMC45" s="579"/>
      <c r="JMD45" s="579"/>
      <c r="JME45" s="579"/>
      <c r="JMF45" s="579"/>
      <c r="JMG45" s="579"/>
      <c r="JMH45" s="579"/>
      <c r="JMI45" s="579"/>
      <c r="JMJ45" s="579"/>
      <c r="JMK45" s="579"/>
      <c r="JML45" s="579"/>
      <c r="JMM45" s="579"/>
      <c r="JMN45" s="579"/>
      <c r="JMO45" s="579"/>
      <c r="JMP45" s="579"/>
      <c r="JMQ45" s="579"/>
      <c r="JMR45" s="579"/>
      <c r="JMS45" s="579"/>
      <c r="JMT45" s="579"/>
      <c r="JMU45" s="579"/>
      <c r="JMV45" s="579"/>
      <c r="JMW45" s="579"/>
      <c r="JMX45" s="579"/>
      <c r="JMY45" s="579"/>
      <c r="JMZ45" s="579"/>
      <c r="JNA45" s="579"/>
      <c r="JNB45" s="579"/>
      <c r="JNC45" s="579"/>
      <c r="JND45" s="579"/>
      <c r="JNE45" s="579"/>
      <c r="JNF45" s="579"/>
      <c r="JNG45" s="579"/>
      <c r="JNH45" s="579"/>
      <c r="JNI45" s="579"/>
      <c r="JNJ45" s="579"/>
      <c r="JNK45" s="579"/>
      <c r="JNL45" s="579"/>
      <c r="JNM45" s="579"/>
      <c r="JNN45" s="579"/>
      <c r="JNO45" s="579"/>
      <c r="JNP45" s="579"/>
      <c r="JNQ45" s="579"/>
      <c r="JNR45" s="579"/>
      <c r="JNS45" s="579"/>
      <c r="JNT45" s="579"/>
      <c r="JNU45" s="579"/>
      <c r="JNV45" s="579"/>
      <c r="JNW45" s="579"/>
      <c r="JNX45" s="579"/>
      <c r="JNY45" s="579"/>
      <c r="JNZ45" s="579"/>
      <c r="JOA45" s="579"/>
      <c r="JOB45" s="579"/>
      <c r="JOC45" s="579"/>
      <c r="JOD45" s="579"/>
      <c r="JOE45" s="579"/>
      <c r="JOF45" s="579"/>
      <c r="JOG45" s="579"/>
      <c r="JOH45" s="579"/>
      <c r="JOI45" s="579"/>
      <c r="JOJ45" s="579"/>
      <c r="JOK45" s="579"/>
      <c r="JOL45" s="579"/>
      <c r="JOM45" s="579"/>
      <c r="JON45" s="579"/>
      <c r="JOO45" s="579"/>
      <c r="JOP45" s="579"/>
      <c r="JOQ45" s="579"/>
      <c r="JOR45" s="579"/>
      <c r="JOS45" s="579"/>
      <c r="JOT45" s="579"/>
      <c r="JOU45" s="579"/>
      <c r="JOV45" s="579"/>
      <c r="JOW45" s="579"/>
      <c r="JOX45" s="579"/>
      <c r="JOY45" s="579"/>
      <c r="JOZ45" s="579"/>
      <c r="JPA45" s="579"/>
      <c r="JPB45" s="579"/>
      <c r="JPC45" s="579"/>
      <c r="JPD45" s="579"/>
      <c r="JPE45" s="579"/>
      <c r="JPF45" s="579"/>
      <c r="JPG45" s="579"/>
      <c r="JPH45" s="579"/>
      <c r="JPI45" s="579"/>
      <c r="JPJ45" s="579"/>
      <c r="JPK45" s="579"/>
      <c r="JPL45" s="579"/>
      <c r="JPM45" s="579"/>
      <c r="JPN45" s="579"/>
      <c r="JPO45" s="579"/>
      <c r="JPP45" s="579"/>
      <c r="JPQ45" s="579"/>
      <c r="JPR45" s="579"/>
      <c r="JPS45" s="579"/>
      <c r="JPT45" s="579"/>
      <c r="JPU45" s="579"/>
      <c r="JPV45" s="579"/>
      <c r="JPW45" s="579"/>
      <c r="JPX45" s="579"/>
      <c r="JPY45" s="579"/>
      <c r="JPZ45" s="579"/>
      <c r="JQA45" s="579"/>
      <c r="JQB45" s="579"/>
      <c r="JQC45" s="579"/>
      <c r="JQD45" s="579"/>
      <c r="JQE45" s="579"/>
      <c r="JQF45" s="579"/>
      <c r="JQG45" s="579"/>
      <c r="JQH45" s="579"/>
      <c r="JQI45" s="579"/>
      <c r="JQJ45" s="579"/>
      <c r="JQK45" s="579"/>
      <c r="JQL45" s="579"/>
      <c r="JQM45" s="579"/>
      <c r="JQN45" s="579"/>
      <c r="JQO45" s="579"/>
      <c r="JQP45" s="579"/>
      <c r="JQQ45" s="579"/>
      <c r="JQR45" s="579"/>
      <c r="JQS45" s="579"/>
      <c r="JQT45" s="579"/>
      <c r="JQU45" s="579"/>
      <c r="JQV45" s="579"/>
      <c r="JQW45" s="579"/>
      <c r="JQX45" s="579"/>
      <c r="JQY45" s="579"/>
      <c r="JQZ45" s="579"/>
      <c r="JRA45" s="579"/>
      <c r="JRB45" s="579"/>
      <c r="JRC45" s="579"/>
      <c r="JRD45" s="579"/>
      <c r="JRE45" s="579"/>
      <c r="JRF45" s="579"/>
      <c r="JRG45" s="579"/>
      <c r="JRH45" s="579"/>
      <c r="JRI45" s="579"/>
      <c r="JRJ45" s="579"/>
      <c r="JRK45" s="579"/>
      <c r="JRL45" s="579"/>
      <c r="JRM45" s="579"/>
      <c r="JRN45" s="579"/>
      <c r="JRO45" s="579"/>
      <c r="JRP45" s="579"/>
      <c r="JRQ45" s="579"/>
      <c r="JRR45" s="579"/>
      <c r="JRS45" s="579"/>
      <c r="JRT45" s="579"/>
      <c r="JRU45" s="579"/>
      <c r="JRV45" s="579"/>
      <c r="JRW45" s="579"/>
      <c r="JRX45" s="579"/>
      <c r="JRY45" s="579"/>
      <c r="JRZ45" s="579"/>
      <c r="JSA45" s="579"/>
      <c r="JSB45" s="579"/>
      <c r="JSC45" s="579"/>
      <c r="JSD45" s="579"/>
      <c r="JSE45" s="579"/>
      <c r="JSF45" s="579"/>
      <c r="JSG45" s="579"/>
      <c r="JSH45" s="579"/>
      <c r="JSI45" s="579"/>
      <c r="JSJ45" s="579"/>
      <c r="JSK45" s="579"/>
      <c r="JSL45" s="579"/>
      <c r="JSM45" s="579"/>
      <c r="JSN45" s="579"/>
      <c r="JSO45" s="579"/>
      <c r="JSP45" s="579"/>
      <c r="JSQ45" s="579"/>
      <c r="JSR45" s="579"/>
      <c r="JSS45" s="579"/>
      <c r="JST45" s="579"/>
      <c r="JSU45" s="579"/>
      <c r="JSV45" s="579"/>
      <c r="JSW45" s="579"/>
      <c r="JSX45" s="579"/>
      <c r="JSY45" s="579"/>
      <c r="JSZ45" s="579"/>
      <c r="JTA45" s="579"/>
      <c r="JTB45" s="579"/>
      <c r="JTC45" s="579"/>
      <c r="JTD45" s="579"/>
      <c r="JTE45" s="579"/>
      <c r="JTF45" s="579"/>
      <c r="JTG45" s="579"/>
      <c r="JTH45" s="579"/>
      <c r="JTI45" s="579"/>
      <c r="JTJ45" s="579"/>
      <c r="JTK45" s="579"/>
      <c r="JTL45" s="579"/>
      <c r="JTM45" s="579"/>
      <c r="JTN45" s="579"/>
      <c r="JTO45" s="579"/>
      <c r="JTP45" s="579"/>
      <c r="JTQ45" s="579"/>
      <c r="JTR45" s="579"/>
      <c r="JTS45" s="579"/>
      <c r="JTT45" s="579"/>
      <c r="JTU45" s="579"/>
      <c r="JTV45" s="579"/>
      <c r="JTW45" s="579"/>
      <c r="JTX45" s="579"/>
      <c r="JTY45" s="579"/>
      <c r="JTZ45" s="579"/>
      <c r="JUA45" s="579"/>
      <c r="JUB45" s="579"/>
      <c r="JUC45" s="579"/>
      <c r="JUD45" s="579"/>
      <c r="JUE45" s="579"/>
      <c r="JUF45" s="579"/>
      <c r="JUG45" s="579"/>
      <c r="JUH45" s="579"/>
      <c r="JUI45" s="579"/>
      <c r="JUJ45" s="579"/>
      <c r="JUK45" s="579"/>
      <c r="JUL45" s="579"/>
      <c r="JUM45" s="579"/>
      <c r="JUN45" s="579"/>
      <c r="JUO45" s="579"/>
      <c r="JUP45" s="579"/>
      <c r="JUQ45" s="579"/>
      <c r="JUR45" s="579"/>
      <c r="JUS45" s="579"/>
      <c r="JUT45" s="579"/>
      <c r="JUU45" s="579"/>
      <c r="JUV45" s="579"/>
      <c r="JUW45" s="579"/>
      <c r="JUX45" s="579"/>
      <c r="JUY45" s="579"/>
      <c r="JUZ45" s="579"/>
      <c r="JVA45" s="579"/>
      <c r="JVB45" s="579"/>
      <c r="JVC45" s="579"/>
      <c r="JVD45" s="579"/>
      <c r="JVE45" s="579"/>
      <c r="JVF45" s="579"/>
      <c r="JVG45" s="579"/>
      <c r="JVH45" s="579"/>
      <c r="JVI45" s="579"/>
      <c r="JVJ45" s="579"/>
      <c r="JVK45" s="579"/>
      <c r="JVL45" s="579"/>
      <c r="JVM45" s="579"/>
      <c r="JVN45" s="579"/>
      <c r="JVO45" s="579"/>
      <c r="JVP45" s="579"/>
      <c r="JVQ45" s="579"/>
      <c r="JVR45" s="579"/>
      <c r="JVS45" s="579"/>
      <c r="JVT45" s="579"/>
      <c r="JVU45" s="579"/>
      <c r="JVV45" s="579"/>
      <c r="JVW45" s="579"/>
      <c r="JVX45" s="579"/>
      <c r="JVY45" s="579"/>
      <c r="JVZ45" s="579"/>
      <c r="JWA45" s="579"/>
      <c r="JWB45" s="579"/>
      <c r="JWC45" s="579"/>
      <c r="JWD45" s="579"/>
      <c r="JWE45" s="579"/>
      <c r="JWF45" s="579"/>
      <c r="JWG45" s="579"/>
      <c r="JWH45" s="579"/>
      <c r="JWI45" s="579"/>
      <c r="JWJ45" s="579"/>
      <c r="JWK45" s="579"/>
      <c r="JWL45" s="579"/>
      <c r="JWM45" s="579"/>
      <c r="JWN45" s="579"/>
      <c r="JWO45" s="579"/>
      <c r="JWP45" s="579"/>
      <c r="JWQ45" s="579"/>
      <c r="JWR45" s="579"/>
      <c r="JWS45" s="579"/>
      <c r="JWT45" s="579"/>
      <c r="JWU45" s="579"/>
      <c r="JWV45" s="579"/>
      <c r="JWW45" s="579"/>
      <c r="JWX45" s="579"/>
      <c r="JWY45" s="579"/>
      <c r="JWZ45" s="579"/>
      <c r="JXA45" s="579"/>
      <c r="JXB45" s="579"/>
      <c r="JXC45" s="579"/>
      <c r="JXD45" s="579"/>
      <c r="JXE45" s="579"/>
      <c r="JXF45" s="579"/>
      <c r="JXG45" s="579"/>
      <c r="JXH45" s="579"/>
      <c r="JXI45" s="579"/>
      <c r="JXJ45" s="579"/>
      <c r="JXK45" s="579"/>
      <c r="JXL45" s="579"/>
      <c r="JXM45" s="579"/>
      <c r="JXN45" s="579"/>
      <c r="JXO45" s="579"/>
      <c r="JXP45" s="579"/>
      <c r="JXQ45" s="579"/>
      <c r="JXR45" s="579"/>
      <c r="JXS45" s="579"/>
      <c r="JXT45" s="579"/>
      <c r="JXU45" s="579"/>
      <c r="JXV45" s="579"/>
      <c r="JXW45" s="579"/>
      <c r="JXX45" s="579"/>
      <c r="JXY45" s="579"/>
      <c r="JXZ45" s="579"/>
      <c r="JYA45" s="579"/>
      <c r="JYB45" s="579"/>
      <c r="JYC45" s="579"/>
      <c r="JYD45" s="579"/>
      <c r="JYE45" s="579"/>
      <c r="JYF45" s="579"/>
      <c r="JYG45" s="579"/>
      <c r="JYH45" s="579"/>
      <c r="JYI45" s="579"/>
      <c r="JYJ45" s="579"/>
      <c r="JYK45" s="579"/>
      <c r="JYL45" s="579"/>
      <c r="JYM45" s="579"/>
      <c r="JYN45" s="579"/>
      <c r="JYO45" s="579"/>
      <c r="JYP45" s="579"/>
      <c r="JYQ45" s="579"/>
      <c r="JYR45" s="579"/>
      <c r="JYS45" s="579"/>
      <c r="JYT45" s="579"/>
      <c r="JYU45" s="579"/>
      <c r="JYV45" s="579"/>
      <c r="JYW45" s="579"/>
      <c r="JYX45" s="579"/>
      <c r="JYY45" s="579"/>
      <c r="JYZ45" s="579"/>
      <c r="JZA45" s="579"/>
      <c r="JZB45" s="579"/>
      <c r="JZC45" s="579"/>
      <c r="JZD45" s="579"/>
      <c r="JZE45" s="579"/>
      <c r="JZF45" s="579"/>
      <c r="JZG45" s="579"/>
      <c r="JZH45" s="579"/>
      <c r="JZI45" s="579"/>
      <c r="JZJ45" s="579"/>
      <c r="JZK45" s="579"/>
      <c r="JZL45" s="579"/>
      <c r="JZM45" s="579"/>
      <c r="JZN45" s="579"/>
      <c r="JZO45" s="579"/>
      <c r="JZP45" s="579"/>
      <c r="JZQ45" s="579"/>
      <c r="JZR45" s="579"/>
      <c r="JZS45" s="579"/>
      <c r="JZT45" s="579"/>
      <c r="JZU45" s="579"/>
      <c r="JZV45" s="579"/>
      <c r="JZW45" s="579"/>
      <c r="JZX45" s="579"/>
      <c r="JZY45" s="579"/>
      <c r="JZZ45" s="579"/>
      <c r="KAA45" s="579"/>
      <c r="KAB45" s="579"/>
      <c r="KAC45" s="579"/>
      <c r="KAD45" s="579"/>
      <c r="KAE45" s="579"/>
      <c r="KAF45" s="579"/>
      <c r="KAG45" s="579"/>
      <c r="KAH45" s="579"/>
      <c r="KAI45" s="579"/>
      <c r="KAJ45" s="579"/>
      <c r="KAK45" s="579"/>
      <c r="KAL45" s="579"/>
      <c r="KAM45" s="579"/>
      <c r="KAN45" s="579"/>
      <c r="KAO45" s="579"/>
      <c r="KAP45" s="579"/>
      <c r="KAQ45" s="579"/>
      <c r="KAR45" s="579"/>
      <c r="KAS45" s="579"/>
      <c r="KAT45" s="579"/>
      <c r="KAU45" s="579"/>
      <c r="KAV45" s="579"/>
      <c r="KAW45" s="579"/>
      <c r="KAX45" s="579"/>
      <c r="KAY45" s="579"/>
      <c r="KAZ45" s="579"/>
      <c r="KBA45" s="579"/>
      <c r="KBB45" s="579"/>
      <c r="KBC45" s="579"/>
      <c r="KBD45" s="579"/>
      <c r="KBE45" s="579"/>
      <c r="KBF45" s="579"/>
      <c r="KBG45" s="579"/>
      <c r="KBH45" s="579"/>
      <c r="KBI45" s="579"/>
      <c r="KBJ45" s="579"/>
      <c r="KBK45" s="579"/>
      <c r="KBL45" s="579"/>
      <c r="KBM45" s="579"/>
      <c r="KBN45" s="579"/>
      <c r="KBO45" s="579"/>
      <c r="KBP45" s="579"/>
      <c r="KBQ45" s="579"/>
      <c r="KBR45" s="579"/>
      <c r="KBS45" s="579"/>
      <c r="KBT45" s="579"/>
      <c r="KBU45" s="579"/>
      <c r="KBV45" s="579"/>
      <c r="KBW45" s="579"/>
      <c r="KBX45" s="579"/>
      <c r="KBY45" s="579"/>
      <c r="KBZ45" s="579"/>
      <c r="KCA45" s="579"/>
      <c r="KCB45" s="579"/>
      <c r="KCC45" s="579"/>
      <c r="KCD45" s="579"/>
      <c r="KCE45" s="579"/>
      <c r="KCF45" s="579"/>
      <c r="KCG45" s="579"/>
      <c r="KCH45" s="579"/>
      <c r="KCI45" s="579"/>
      <c r="KCJ45" s="579"/>
      <c r="KCK45" s="579"/>
      <c r="KCL45" s="579"/>
      <c r="KCM45" s="579"/>
      <c r="KCN45" s="579"/>
      <c r="KCO45" s="579"/>
      <c r="KCP45" s="579"/>
      <c r="KCQ45" s="579"/>
      <c r="KCR45" s="579"/>
      <c r="KCS45" s="579"/>
      <c r="KCT45" s="579"/>
      <c r="KCU45" s="579"/>
      <c r="KCV45" s="579"/>
      <c r="KCW45" s="579"/>
      <c r="KCX45" s="579"/>
      <c r="KCY45" s="579"/>
      <c r="KCZ45" s="579"/>
      <c r="KDA45" s="579"/>
      <c r="KDB45" s="579"/>
      <c r="KDC45" s="579"/>
      <c r="KDD45" s="579"/>
      <c r="KDE45" s="579"/>
      <c r="KDF45" s="579"/>
      <c r="KDG45" s="579"/>
      <c r="KDH45" s="579"/>
      <c r="KDI45" s="579"/>
      <c r="KDJ45" s="579"/>
      <c r="KDK45" s="579"/>
      <c r="KDL45" s="579"/>
      <c r="KDM45" s="579"/>
      <c r="KDN45" s="579"/>
      <c r="KDO45" s="579"/>
      <c r="KDP45" s="579"/>
      <c r="KDQ45" s="579"/>
      <c r="KDR45" s="579"/>
      <c r="KDS45" s="579"/>
      <c r="KDT45" s="579"/>
      <c r="KDU45" s="579"/>
      <c r="KDV45" s="579"/>
      <c r="KDW45" s="579"/>
      <c r="KDX45" s="579"/>
      <c r="KDY45" s="579"/>
      <c r="KDZ45" s="579"/>
      <c r="KEA45" s="579"/>
      <c r="KEB45" s="579"/>
      <c r="KEC45" s="579"/>
      <c r="KED45" s="579"/>
      <c r="KEE45" s="579"/>
      <c r="KEF45" s="579"/>
      <c r="KEG45" s="579"/>
      <c r="KEH45" s="579"/>
      <c r="KEI45" s="579"/>
      <c r="KEJ45" s="579"/>
      <c r="KEK45" s="579"/>
      <c r="KEL45" s="579"/>
      <c r="KEM45" s="579"/>
      <c r="KEN45" s="579"/>
      <c r="KEO45" s="579"/>
      <c r="KEP45" s="579"/>
      <c r="KEQ45" s="579"/>
      <c r="KER45" s="579"/>
      <c r="KES45" s="579"/>
      <c r="KET45" s="579"/>
      <c r="KEU45" s="579"/>
      <c r="KEV45" s="579"/>
      <c r="KEW45" s="579"/>
      <c r="KEX45" s="579"/>
      <c r="KEY45" s="579"/>
      <c r="KEZ45" s="579"/>
      <c r="KFA45" s="579"/>
      <c r="KFB45" s="579"/>
      <c r="KFC45" s="579"/>
      <c r="KFD45" s="579"/>
      <c r="KFE45" s="579"/>
      <c r="KFF45" s="579"/>
      <c r="KFG45" s="579"/>
      <c r="KFH45" s="579"/>
      <c r="KFI45" s="579"/>
      <c r="KFJ45" s="579"/>
      <c r="KFK45" s="579"/>
      <c r="KFL45" s="579"/>
      <c r="KFM45" s="579"/>
      <c r="KFN45" s="579"/>
      <c r="KFO45" s="579"/>
      <c r="KFP45" s="579"/>
      <c r="KFQ45" s="579"/>
      <c r="KFR45" s="579"/>
      <c r="KFS45" s="579"/>
      <c r="KFT45" s="579"/>
      <c r="KFU45" s="579"/>
      <c r="KFV45" s="579"/>
      <c r="KFW45" s="579"/>
      <c r="KFX45" s="579"/>
      <c r="KFY45" s="579"/>
      <c r="KFZ45" s="579"/>
      <c r="KGA45" s="579"/>
      <c r="KGB45" s="579"/>
      <c r="KGC45" s="579"/>
      <c r="KGD45" s="579"/>
      <c r="KGE45" s="579"/>
      <c r="KGF45" s="579"/>
      <c r="KGG45" s="579"/>
      <c r="KGH45" s="579"/>
      <c r="KGI45" s="579"/>
      <c r="KGJ45" s="579"/>
      <c r="KGK45" s="579"/>
      <c r="KGL45" s="579"/>
      <c r="KGM45" s="579"/>
      <c r="KGN45" s="579"/>
      <c r="KGO45" s="579"/>
      <c r="KGP45" s="579"/>
      <c r="KGQ45" s="579"/>
      <c r="KGR45" s="579"/>
      <c r="KGS45" s="579"/>
      <c r="KGT45" s="579"/>
      <c r="KGU45" s="579"/>
      <c r="KGV45" s="579"/>
      <c r="KGW45" s="579"/>
      <c r="KGX45" s="579"/>
      <c r="KGY45" s="579"/>
      <c r="KGZ45" s="579"/>
      <c r="KHA45" s="579"/>
      <c r="KHB45" s="579"/>
      <c r="KHC45" s="579"/>
      <c r="KHD45" s="579"/>
      <c r="KHE45" s="579"/>
      <c r="KHF45" s="579"/>
      <c r="KHG45" s="579"/>
      <c r="KHH45" s="579"/>
      <c r="KHI45" s="579"/>
      <c r="KHJ45" s="579"/>
      <c r="KHK45" s="579"/>
      <c r="KHL45" s="579"/>
      <c r="KHM45" s="579"/>
      <c r="KHN45" s="579"/>
      <c r="KHO45" s="579"/>
      <c r="KHP45" s="579"/>
      <c r="KHQ45" s="579"/>
      <c r="KHR45" s="579"/>
      <c r="KHS45" s="579"/>
      <c r="KHT45" s="579"/>
      <c r="KHU45" s="579"/>
      <c r="KHV45" s="579"/>
      <c r="KHW45" s="579"/>
      <c r="KHX45" s="579"/>
      <c r="KHY45" s="579"/>
      <c r="KHZ45" s="579"/>
      <c r="KIA45" s="579"/>
      <c r="KIB45" s="579"/>
      <c r="KIC45" s="579"/>
      <c r="KID45" s="579"/>
      <c r="KIE45" s="579"/>
      <c r="KIF45" s="579"/>
      <c r="KIG45" s="579"/>
      <c r="KIH45" s="579"/>
      <c r="KII45" s="579"/>
      <c r="KIJ45" s="579"/>
      <c r="KIK45" s="579"/>
      <c r="KIL45" s="579"/>
      <c r="KIM45" s="579"/>
      <c r="KIN45" s="579"/>
      <c r="KIO45" s="579"/>
      <c r="KIP45" s="579"/>
      <c r="KIQ45" s="579"/>
      <c r="KIR45" s="579"/>
      <c r="KIS45" s="579"/>
      <c r="KIT45" s="579"/>
      <c r="KIU45" s="579"/>
      <c r="KIV45" s="579"/>
      <c r="KIW45" s="579"/>
      <c r="KIX45" s="579"/>
      <c r="KIY45" s="579"/>
      <c r="KIZ45" s="579"/>
      <c r="KJA45" s="579"/>
      <c r="KJB45" s="579"/>
      <c r="KJC45" s="579"/>
      <c r="KJD45" s="579"/>
      <c r="KJE45" s="579"/>
      <c r="KJF45" s="579"/>
      <c r="KJG45" s="579"/>
      <c r="KJH45" s="579"/>
      <c r="KJI45" s="579"/>
      <c r="KJJ45" s="579"/>
      <c r="KJK45" s="579"/>
      <c r="KJL45" s="579"/>
      <c r="KJM45" s="579"/>
      <c r="KJN45" s="579"/>
      <c r="KJO45" s="579"/>
      <c r="KJP45" s="579"/>
      <c r="KJQ45" s="579"/>
      <c r="KJR45" s="579"/>
      <c r="KJS45" s="579"/>
      <c r="KJT45" s="579"/>
      <c r="KJU45" s="579"/>
      <c r="KJV45" s="579"/>
      <c r="KJW45" s="579"/>
      <c r="KJX45" s="579"/>
      <c r="KJY45" s="579"/>
      <c r="KJZ45" s="579"/>
      <c r="KKA45" s="579"/>
      <c r="KKB45" s="579"/>
      <c r="KKC45" s="579"/>
      <c r="KKD45" s="579"/>
      <c r="KKE45" s="579"/>
      <c r="KKF45" s="579"/>
      <c r="KKG45" s="579"/>
      <c r="KKH45" s="579"/>
      <c r="KKI45" s="579"/>
      <c r="KKJ45" s="579"/>
      <c r="KKK45" s="579"/>
      <c r="KKL45" s="579"/>
      <c r="KKM45" s="579"/>
      <c r="KKN45" s="579"/>
      <c r="KKO45" s="579"/>
      <c r="KKP45" s="579"/>
      <c r="KKQ45" s="579"/>
      <c r="KKR45" s="579"/>
      <c r="KKS45" s="579"/>
      <c r="KKT45" s="579"/>
      <c r="KKU45" s="579"/>
      <c r="KKV45" s="579"/>
      <c r="KKW45" s="579"/>
      <c r="KKX45" s="579"/>
      <c r="KKY45" s="579"/>
      <c r="KKZ45" s="579"/>
      <c r="KLA45" s="579"/>
      <c r="KLB45" s="579"/>
      <c r="KLC45" s="579"/>
      <c r="KLD45" s="579"/>
      <c r="KLE45" s="579"/>
      <c r="KLF45" s="579"/>
      <c r="KLG45" s="579"/>
      <c r="KLH45" s="579"/>
      <c r="KLI45" s="579"/>
      <c r="KLJ45" s="579"/>
      <c r="KLK45" s="579"/>
      <c r="KLL45" s="579"/>
      <c r="KLM45" s="579"/>
      <c r="KLN45" s="579"/>
      <c r="KLO45" s="579"/>
      <c r="KLP45" s="579"/>
      <c r="KLQ45" s="579"/>
      <c r="KLR45" s="579"/>
      <c r="KLS45" s="579"/>
      <c r="KLT45" s="579"/>
      <c r="KLU45" s="579"/>
      <c r="KLV45" s="579"/>
      <c r="KLW45" s="579"/>
      <c r="KLX45" s="579"/>
      <c r="KLY45" s="579"/>
      <c r="KLZ45" s="579"/>
      <c r="KMA45" s="579"/>
      <c r="KMB45" s="579"/>
      <c r="KMC45" s="579"/>
      <c r="KMD45" s="579"/>
      <c r="KME45" s="579"/>
      <c r="KMF45" s="579"/>
      <c r="KMG45" s="579"/>
      <c r="KMH45" s="579"/>
      <c r="KMI45" s="579"/>
      <c r="KMJ45" s="579"/>
      <c r="KMK45" s="579"/>
      <c r="KML45" s="579"/>
      <c r="KMM45" s="579"/>
      <c r="KMN45" s="579"/>
      <c r="KMO45" s="579"/>
      <c r="KMP45" s="579"/>
      <c r="KMQ45" s="579"/>
      <c r="KMR45" s="579"/>
      <c r="KMS45" s="579"/>
      <c r="KMT45" s="579"/>
      <c r="KMU45" s="579"/>
      <c r="KMV45" s="579"/>
      <c r="KMW45" s="579"/>
      <c r="KMX45" s="579"/>
      <c r="KMY45" s="579"/>
      <c r="KMZ45" s="579"/>
      <c r="KNA45" s="579"/>
      <c r="KNB45" s="579"/>
      <c r="KNC45" s="579"/>
      <c r="KND45" s="579"/>
      <c r="KNE45" s="579"/>
      <c r="KNF45" s="579"/>
      <c r="KNG45" s="579"/>
      <c r="KNH45" s="579"/>
      <c r="KNI45" s="579"/>
      <c r="KNJ45" s="579"/>
      <c r="KNK45" s="579"/>
      <c r="KNL45" s="579"/>
      <c r="KNM45" s="579"/>
      <c r="KNN45" s="579"/>
      <c r="KNO45" s="579"/>
      <c r="KNP45" s="579"/>
      <c r="KNQ45" s="579"/>
      <c r="KNR45" s="579"/>
      <c r="KNS45" s="579"/>
      <c r="KNT45" s="579"/>
      <c r="KNU45" s="579"/>
      <c r="KNV45" s="579"/>
      <c r="KNW45" s="579"/>
      <c r="KNX45" s="579"/>
      <c r="KNY45" s="579"/>
      <c r="KNZ45" s="579"/>
      <c r="KOA45" s="579"/>
      <c r="KOB45" s="579"/>
      <c r="KOC45" s="579"/>
      <c r="KOD45" s="579"/>
      <c r="KOE45" s="579"/>
      <c r="KOF45" s="579"/>
      <c r="KOG45" s="579"/>
      <c r="KOH45" s="579"/>
      <c r="KOI45" s="579"/>
      <c r="KOJ45" s="579"/>
      <c r="KOK45" s="579"/>
      <c r="KOL45" s="579"/>
      <c r="KOM45" s="579"/>
      <c r="KON45" s="579"/>
      <c r="KOO45" s="579"/>
      <c r="KOP45" s="579"/>
      <c r="KOQ45" s="579"/>
      <c r="KOR45" s="579"/>
      <c r="KOS45" s="579"/>
      <c r="KOT45" s="579"/>
      <c r="KOU45" s="579"/>
      <c r="KOV45" s="579"/>
      <c r="KOW45" s="579"/>
      <c r="KOX45" s="579"/>
      <c r="KOY45" s="579"/>
      <c r="KOZ45" s="579"/>
      <c r="KPA45" s="579"/>
      <c r="KPB45" s="579"/>
      <c r="KPC45" s="579"/>
      <c r="KPD45" s="579"/>
      <c r="KPE45" s="579"/>
      <c r="KPF45" s="579"/>
      <c r="KPG45" s="579"/>
      <c r="KPH45" s="579"/>
      <c r="KPI45" s="579"/>
      <c r="KPJ45" s="579"/>
      <c r="KPK45" s="579"/>
      <c r="KPL45" s="579"/>
      <c r="KPM45" s="579"/>
      <c r="KPN45" s="579"/>
      <c r="KPO45" s="579"/>
      <c r="KPP45" s="579"/>
      <c r="KPQ45" s="579"/>
      <c r="KPR45" s="579"/>
      <c r="KPS45" s="579"/>
      <c r="KPT45" s="579"/>
      <c r="KPU45" s="579"/>
      <c r="KPV45" s="579"/>
      <c r="KPW45" s="579"/>
      <c r="KPX45" s="579"/>
      <c r="KPY45" s="579"/>
      <c r="KPZ45" s="579"/>
      <c r="KQA45" s="579"/>
      <c r="KQB45" s="579"/>
      <c r="KQC45" s="579"/>
      <c r="KQD45" s="579"/>
      <c r="KQE45" s="579"/>
      <c r="KQF45" s="579"/>
      <c r="KQG45" s="579"/>
      <c r="KQH45" s="579"/>
      <c r="KQI45" s="579"/>
      <c r="KQJ45" s="579"/>
      <c r="KQK45" s="579"/>
      <c r="KQL45" s="579"/>
      <c r="KQM45" s="579"/>
      <c r="KQN45" s="579"/>
      <c r="KQO45" s="579"/>
      <c r="KQP45" s="579"/>
      <c r="KQQ45" s="579"/>
      <c r="KQR45" s="579"/>
      <c r="KQS45" s="579"/>
      <c r="KQT45" s="579"/>
      <c r="KQU45" s="579"/>
      <c r="KQV45" s="579"/>
      <c r="KQW45" s="579"/>
      <c r="KQX45" s="579"/>
      <c r="KQY45" s="579"/>
      <c r="KQZ45" s="579"/>
      <c r="KRA45" s="579"/>
      <c r="KRB45" s="579"/>
      <c r="KRC45" s="579"/>
      <c r="KRD45" s="579"/>
      <c r="KRE45" s="579"/>
      <c r="KRF45" s="579"/>
      <c r="KRG45" s="579"/>
      <c r="KRH45" s="579"/>
      <c r="KRI45" s="579"/>
      <c r="KRJ45" s="579"/>
      <c r="KRK45" s="579"/>
      <c r="KRL45" s="579"/>
      <c r="KRM45" s="579"/>
      <c r="KRN45" s="579"/>
      <c r="KRO45" s="579"/>
      <c r="KRP45" s="579"/>
      <c r="KRQ45" s="579"/>
      <c r="KRR45" s="579"/>
      <c r="KRS45" s="579"/>
      <c r="KRT45" s="579"/>
      <c r="KRU45" s="579"/>
      <c r="KRV45" s="579"/>
      <c r="KRW45" s="579"/>
      <c r="KRX45" s="579"/>
      <c r="KRY45" s="579"/>
      <c r="KRZ45" s="579"/>
      <c r="KSA45" s="579"/>
      <c r="KSB45" s="579"/>
      <c r="KSC45" s="579"/>
      <c r="KSD45" s="579"/>
      <c r="KSE45" s="579"/>
      <c r="KSF45" s="579"/>
      <c r="KSG45" s="579"/>
      <c r="KSH45" s="579"/>
      <c r="KSI45" s="579"/>
      <c r="KSJ45" s="579"/>
      <c r="KSK45" s="579"/>
      <c r="KSL45" s="579"/>
      <c r="KSM45" s="579"/>
      <c r="KSN45" s="579"/>
      <c r="KSO45" s="579"/>
      <c r="KSP45" s="579"/>
      <c r="KSQ45" s="579"/>
      <c r="KSR45" s="579"/>
      <c r="KSS45" s="579"/>
      <c r="KST45" s="579"/>
      <c r="KSU45" s="579"/>
      <c r="KSV45" s="579"/>
      <c r="KSW45" s="579"/>
      <c r="KSX45" s="579"/>
      <c r="KSY45" s="579"/>
      <c r="KSZ45" s="579"/>
      <c r="KTA45" s="579"/>
      <c r="KTB45" s="579"/>
      <c r="KTC45" s="579"/>
      <c r="KTD45" s="579"/>
      <c r="KTE45" s="579"/>
      <c r="KTF45" s="579"/>
      <c r="KTG45" s="579"/>
      <c r="KTH45" s="579"/>
      <c r="KTI45" s="579"/>
      <c r="KTJ45" s="579"/>
      <c r="KTK45" s="579"/>
      <c r="KTL45" s="579"/>
      <c r="KTM45" s="579"/>
      <c r="KTN45" s="579"/>
      <c r="KTO45" s="579"/>
      <c r="KTP45" s="579"/>
      <c r="KTQ45" s="579"/>
      <c r="KTR45" s="579"/>
      <c r="KTS45" s="579"/>
      <c r="KTT45" s="579"/>
      <c r="KTU45" s="579"/>
      <c r="KTV45" s="579"/>
      <c r="KTW45" s="579"/>
      <c r="KTX45" s="579"/>
      <c r="KTY45" s="579"/>
      <c r="KTZ45" s="579"/>
      <c r="KUA45" s="579"/>
      <c r="KUB45" s="579"/>
      <c r="KUC45" s="579"/>
      <c r="KUD45" s="579"/>
      <c r="KUE45" s="579"/>
      <c r="KUF45" s="579"/>
      <c r="KUG45" s="579"/>
      <c r="KUH45" s="579"/>
      <c r="KUI45" s="579"/>
      <c r="KUJ45" s="579"/>
      <c r="KUK45" s="579"/>
      <c r="KUL45" s="579"/>
      <c r="KUM45" s="579"/>
      <c r="KUN45" s="579"/>
      <c r="KUO45" s="579"/>
      <c r="KUP45" s="579"/>
      <c r="KUQ45" s="579"/>
      <c r="KUR45" s="579"/>
      <c r="KUS45" s="579"/>
      <c r="KUT45" s="579"/>
      <c r="KUU45" s="579"/>
      <c r="KUV45" s="579"/>
      <c r="KUW45" s="579"/>
      <c r="KUX45" s="579"/>
      <c r="KUY45" s="579"/>
      <c r="KUZ45" s="579"/>
      <c r="KVA45" s="579"/>
      <c r="KVB45" s="579"/>
      <c r="KVC45" s="579"/>
      <c r="KVD45" s="579"/>
      <c r="KVE45" s="579"/>
      <c r="KVF45" s="579"/>
      <c r="KVG45" s="579"/>
      <c r="KVH45" s="579"/>
      <c r="KVI45" s="579"/>
      <c r="KVJ45" s="579"/>
      <c r="KVK45" s="579"/>
      <c r="KVL45" s="579"/>
      <c r="KVM45" s="579"/>
      <c r="KVN45" s="579"/>
      <c r="KVO45" s="579"/>
      <c r="KVP45" s="579"/>
      <c r="KVQ45" s="579"/>
      <c r="KVR45" s="579"/>
      <c r="KVS45" s="579"/>
      <c r="KVT45" s="579"/>
      <c r="KVU45" s="579"/>
      <c r="KVV45" s="579"/>
      <c r="KVW45" s="579"/>
      <c r="KVX45" s="579"/>
      <c r="KVY45" s="579"/>
      <c r="KVZ45" s="579"/>
      <c r="KWA45" s="579"/>
      <c r="KWB45" s="579"/>
      <c r="KWC45" s="579"/>
      <c r="KWD45" s="579"/>
      <c r="KWE45" s="579"/>
      <c r="KWF45" s="579"/>
      <c r="KWG45" s="579"/>
      <c r="KWH45" s="579"/>
      <c r="KWI45" s="579"/>
      <c r="KWJ45" s="579"/>
      <c r="KWK45" s="579"/>
      <c r="KWL45" s="579"/>
      <c r="KWM45" s="579"/>
      <c r="KWN45" s="579"/>
      <c r="KWO45" s="579"/>
      <c r="KWP45" s="579"/>
      <c r="KWQ45" s="579"/>
      <c r="KWR45" s="579"/>
      <c r="KWS45" s="579"/>
      <c r="KWT45" s="579"/>
      <c r="KWU45" s="579"/>
      <c r="KWV45" s="579"/>
      <c r="KWW45" s="579"/>
      <c r="KWX45" s="579"/>
      <c r="KWY45" s="579"/>
      <c r="KWZ45" s="579"/>
      <c r="KXA45" s="579"/>
      <c r="KXB45" s="579"/>
      <c r="KXC45" s="579"/>
      <c r="KXD45" s="579"/>
      <c r="KXE45" s="579"/>
      <c r="KXF45" s="579"/>
      <c r="KXG45" s="579"/>
      <c r="KXH45" s="579"/>
      <c r="KXI45" s="579"/>
      <c r="KXJ45" s="579"/>
      <c r="KXK45" s="579"/>
      <c r="KXL45" s="579"/>
      <c r="KXM45" s="579"/>
      <c r="KXN45" s="579"/>
      <c r="KXO45" s="579"/>
      <c r="KXP45" s="579"/>
      <c r="KXQ45" s="579"/>
      <c r="KXR45" s="579"/>
      <c r="KXS45" s="579"/>
      <c r="KXT45" s="579"/>
      <c r="KXU45" s="579"/>
      <c r="KXV45" s="579"/>
      <c r="KXW45" s="579"/>
      <c r="KXX45" s="579"/>
      <c r="KXY45" s="579"/>
      <c r="KXZ45" s="579"/>
      <c r="KYA45" s="579"/>
      <c r="KYB45" s="579"/>
      <c r="KYC45" s="579"/>
      <c r="KYD45" s="579"/>
      <c r="KYE45" s="579"/>
      <c r="KYF45" s="579"/>
      <c r="KYG45" s="579"/>
      <c r="KYH45" s="579"/>
      <c r="KYI45" s="579"/>
      <c r="KYJ45" s="579"/>
      <c r="KYK45" s="579"/>
      <c r="KYL45" s="579"/>
      <c r="KYM45" s="579"/>
      <c r="KYN45" s="579"/>
      <c r="KYO45" s="579"/>
      <c r="KYP45" s="579"/>
      <c r="KYQ45" s="579"/>
      <c r="KYR45" s="579"/>
      <c r="KYS45" s="579"/>
      <c r="KYT45" s="579"/>
      <c r="KYU45" s="579"/>
      <c r="KYV45" s="579"/>
      <c r="KYW45" s="579"/>
      <c r="KYX45" s="579"/>
      <c r="KYY45" s="579"/>
      <c r="KYZ45" s="579"/>
      <c r="KZA45" s="579"/>
      <c r="KZB45" s="579"/>
      <c r="KZC45" s="579"/>
      <c r="KZD45" s="579"/>
      <c r="KZE45" s="579"/>
      <c r="KZF45" s="579"/>
      <c r="KZG45" s="579"/>
      <c r="KZH45" s="579"/>
      <c r="KZI45" s="579"/>
      <c r="KZJ45" s="579"/>
      <c r="KZK45" s="579"/>
      <c r="KZL45" s="579"/>
      <c r="KZM45" s="579"/>
      <c r="KZN45" s="579"/>
      <c r="KZO45" s="579"/>
      <c r="KZP45" s="579"/>
      <c r="KZQ45" s="579"/>
      <c r="KZR45" s="579"/>
      <c r="KZS45" s="579"/>
      <c r="KZT45" s="579"/>
      <c r="KZU45" s="579"/>
      <c r="KZV45" s="579"/>
      <c r="KZW45" s="579"/>
      <c r="KZX45" s="579"/>
      <c r="KZY45" s="579"/>
      <c r="KZZ45" s="579"/>
      <c r="LAA45" s="579"/>
      <c r="LAB45" s="579"/>
      <c r="LAC45" s="579"/>
      <c r="LAD45" s="579"/>
      <c r="LAE45" s="579"/>
      <c r="LAF45" s="579"/>
      <c r="LAG45" s="579"/>
      <c r="LAH45" s="579"/>
      <c r="LAI45" s="579"/>
      <c r="LAJ45" s="579"/>
      <c r="LAK45" s="579"/>
      <c r="LAL45" s="579"/>
      <c r="LAM45" s="579"/>
      <c r="LAN45" s="579"/>
      <c r="LAO45" s="579"/>
      <c r="LAP45" s="579"/>
      <c r="LAQ45" s="579"/>
      <c r="LAR45" s="579"/>
      <c r="LAS45" s="579"/>
      <c r="LAT45" s="579"/>
      <c r="LAU45" s="579"/>
      <c r="LAV45" s="579"/>
      <c r="LAW45" s="579"/>
      <c r="LAX45" s="579"/>
      <c r="LAY45" s="579"/>
      <c r="LAZ45" s="579"/>
      <c r="LBA45" s="579"/>
      <c r="LBB45" s="579"/>
      <c r="LBC45" s="579"/>
      <c r="LBD45" s="579"/>
      <c r="LBE45" s="579"/>
      <c r="LBF45" s="579"/>
      <c r="LBG45" s="579"/>
      <c r="LBH45" s="579"/>
      <c r="LBI45" s="579"/>
      <c r="LBJ45" s="579"/>
      <c r="LBK45" s="579"/>
      <c r="LBL45" s="579"/>
      <c r="LBM45" s="579"/>
      <c r="LBN45" s="579"/>
      <c r="LBO45" s="579"/>
      <c r="LBP45" s="579"/>
      <c r="LBQ45" s="579"/>
      <c r="LBR45" s="579"/>
      <c r="LBS45" s="579"/>
      <c r="LBT45" s="579"/>
      <c r="LBU45" s="579"/>
      <c r="LBV45" s="579"/>
      <c r="LBW45" s="579"/>
      <c r="LBX45" s="579"/>
      <c r="LBY45" s="579"/>
      <c r="LBZ45" s="579"/>
      <c r="LCA45" s="579"/>
      <c r="LCB45" s="579"/>
      <c r="LCC45" s="579"/>
      <c r="LCD45" s="579"/>
      <c r="LCE45" s="579"/>
      <c r="LCF45" s="579"/>
      <c r="LCG45" s="579"/>
      <c r="LCH45" s="579"/>
      <c r="LCI45" s="579"/>
      <c r="LCJ45" s="579"/>
      <c r="LCK45" s="579"/>
      <c r="LCL45" s="579"/>
      <c r="LCM45" s="579"/>
      <c r="LCN45" s="579"/>
      <c r="LCO45" s="579"/>
      <c r="LCP45" s="579"/>
      <c r="LCQ45" s="579"/>
      <c r="LCR45" s="579"/>
      <c r="LCS45" s="579"/>
      <c r="LCT45" s="579"/>
      <c r="LCU45" s="579"/>
      <c r="LCV45" s="579"/>
      <c r="LCW45" s="579"/>
      <c r="LCX45" s="579"/>
      <c r="LCY45" s="579"/>
      <c r="LCZ45" s="579"/>
      <c r="LDA45" s="579"/>
      <c r="LDB45" s="579"/>
      <c r="LDC45" s="579"/>
      <c r="LDD45" s="579"/>
      <c r="LDE45" s="579"/>
      <c r="LDF45" s="579"/>
      <c r="LDG45" s="579"/>
      <c r="LDH45" s="579"/>
      <c r="LDI45" s="579"/>
      <c r="LDJ45" s="579"/>
      <c r="LDK45" s="579"/>
      <c r="LDL45" s="579"/>
      <c r="LDM45" s="579"/>
      <c r="LDN45" s="579"/>
      <c r="LDO45" s="579"/>
      <c r="LDP45" s="579"/>
      <c r="LDQ45" s="579"/>
      <c r="LDR45" s="579"/>
      <c r="LDS45" s="579"/>
      <c r="LDT45" s="579"/>
      <c r="LDU45" s="579"/>
      <c r="LDV45" s="579"/>
      <c r="LDW45" s="579"/>
      <c r="LDX45" s="579"/>
      <c r="LDY45" s="579"/>
      <c r="LDZ45" s="579"/>
      <c r="LEA45" s="579"/>
      <c r="LEB45" s="579"/>
      <c r="LEC45" s="579"/>
      <c r="LED45" s="579"/>
      <c r="LEE45" s="579"/>
      <c r="LEF45" s="579"/>
      <c r="LEG45" s="579"/>
      <c r="LEH45" s="579"/>
      <c r="LEI45" s="579"/>
      <c r="LEJ45" s="579"/>
      <c r="LEK45" s="579"/>
      <c r="LEL45" s="579"/>
      <c r="LEM45" s="579"/>
      <c r="LEN45" s="579"/>
      <c r="LEO45" s="579"/>
      <c r="LEP45" s="579"/>
      <c r="LEQ45" s="579"/>
      <c r="LER45" s="579"/>
      <c r="LES45" s="579"/>
      <c r="LET45" s="579"/>
      <c r="LEU45" s="579"/>
      <c r="LEV45" s="579"/>
      <c r="LEW45" s="579"/>
      <c r="LEX45" s="579"/>
      <c r="LEY45" s="579"/>
      <c r="LEZ45" s="579"/>
      <c r="LFA45" s="579"/>
      <c r="LFB45" s="579"/>
      <c r="LFC45" s="579"/>
      <c r="LFD45" s="579"/>
      <c r="LFE45" s="579"/>
      <c r="LFF45" s="579"/>
      <c r="LFG45" s="579"/>
      <c r="LFH45" s="579"/>
      <c r="LFI45" s="579"/>
      <c r="LFJ45" s="579"/>
      <c r="LFK45" s="579"/>
      <c r="LFL45" s="579"/>
      <c r="LFM45" s="579"/>
      <c r="LFN45" s="579"/>
      <c r="LFO45" s="579"/>
      <c r="LFP45" s="579"/>
      <c r="LFQ45" s="579"/>
      <c r="LFR45" s="579"/>
      <c r="LFS45" s="579"/>
      <c r="LFT45" s="579"/>
      <c r="LFU45" s="579"/>
      <c r="LFV45" s="579"/>
      <c r="LFW45" s="579"/>
      <c r="LFX45" s="579"/>
      <c r="LFY45" s="579"/>
      <c r="LFZ45" s="579"/>
      <c r="LGA45" s="579"/>
      <c r="LGB45" s="579"/>
      <c r="LGC45" s="579"/>
      <c r="LGD45" s="579"/>
      <c r="LGE45" s="579"/>
      <c r="LGF45" s="579"/>
      <c r="LGG45" s="579"/>
      <c r="LGH45" s="579"/>
      <c r="LGI45" s="579"/>
      <c r="LGJ45" s="579"/>
      <c r="LGK45" s="579"/>
      <c r="LGL45" s="579"/>
      <c r="LGM45" s="579"/>
      <c r="LGN45" s="579"/>
      <c r="LGO45" s="579"/>
      <c r="LGP45" s="579"/>
      <c r="LGQ45" s="579"/>
      <c r="LGR45" s="579"/>
      <c r="LGS45" s="579"/>
      <c r="LGT45" s="579"/>
      <c r="LGU45" s="579"/>
      <c r="LGV45" s="579"/>
      <c r="LGW45" s="579"/>
      <c r="LGX45" s="579"/>
      <c r="LGY45" s="579"/>
      <c r="LGZ45" s="579"/>
      <c r="LHA45" s="579"/>
      <c r="LHB45" s="579"/>
      <c r="LHC45" s="579"/>
      <c r="LHD45" s="579"/>
      <c r="LHE45" s="579"/>
      <c r="LHF45" s="579"/>
      <c r="LHG45" s="579"/>
      <c r="LHH45" s="579"/>
      <c r="LHI45" s="579"/>
      <c r="LHJ45" s="579"/>
      <c r="LHK45" s="579"/>
      <c r="LHL45" s="579"/>
      <c r="LHM45" s="579"/>
      <c r="LHN45" s="579"/>
      <c r="LHO45" s="579"/>
      <c r="LHP45" s="579"/>
      <c r="LHQ45" s="579"/>
      <c r="LHR45" s="579"/>
      <c r="LHS45" s="579"/>
      <c r="LHT45" s="579"/>
      <c r="LHU45" s="579"/>
      <c r="LHV45" s="579"/>
      <c r="LHW45" s="579"/>
      <c r="LHX45" s="579"/>
      <c r="LHY45" s="579"/>
      <c r="LHZ45" s="579"/>
      <c r="LIA45" s="579"/>
      <c r="LIB45" s="579"/>
      <c r="LIC45" s="579"/>
      <c r="LID45" s="579"/>
      <c r="LIE45" s="579"/>
      <c r="LIF45" s="579"/>
      <c r="LIG45" s="579"/>
      <c r="LIH45" s="579"/>
      <c r="LII45" s="579"/>
      <c r="LIJ45" s="579"/>
      <c r="LIK45" s="579"/>
      <c r="LIL45" s="579"/>
      <c r="LIM45" s="579"/>
      <c r="LIN45" s="579"/>
      <c r="LIO45" s="579"/>
      <c r="LIP45" s="579"/>
      <c r="LIQ45" s="579"/>
      <c r="LIR45" s="579"/>
      <c r="LIS45" s="579"/>
      <c r="LIT45" s="579"/>
      <c r="LIU45" s="579"/>
      <c r="LIV45" s="579"/>
      <c r="LIW45" s="579"/>
      <c r="LIX45" s="579"/>
      <c r="LIY45" s="579"/>
      <c r="LIZ45" s="579"/>
      <c r="LJA45" s="579"/>
      <c r="LJB45" s="579"/>
      <c r="LJC45" s="579"/>
      <c r="LJD45" s="579"/>
      <c r="LJE45" s="579"/>
      <c r="LJF45" s="579"/>
      <c r="LJG45" s="579"/>
      <c r="LJH45" s="579"/>
      <c r="LJI45" s="579"/>
      <c r="LJJ45" s="579"/>
      <c r="LJK45" s="579"/>
      <c r="LJL45" s="579"/>
      <c r="LJM45" s="579"/>
      <c r="LJN45" s="579"/>
      <c r="LJO45" s="579"/>
      <c r="LJP45" s="579"/>
      <c r="LJQ45" s="579"/>
      <c r="LJR45" s="579"/>
      <c r="LJS45" s="579"/>
      <c r="LJT45" s="579"/>
      <c r="LJU45" s="579"/>
      <c r="LJV45" s="579"/>
      <c r="LJW45" s="579"/>
      <c r="LJX45" s="579"/>
      <c r="LJY45" s="579"/>
      <c r="LJZ45" s="579"/>
      <c r="LKA45" s="579"/>
      <c r="LKB45" s="579"/>
      <c r="LKC45" s="579"/>
      <c r="LKD45" s="579"/>
      <c r="LKE45" s="579"/>
      <c r="LKF45" s="579"/>
      <c r="LKG45" s="579"/>
      <c r="LKH45" s="579"/>
      <c r="LKI45" s="579"/>
      <c r="LKJ45" s="579"/>
      <c r="LKK45" s="579"/>
      <c r="LKL45" s="579"/>
      <c r="LKM45" s="579"/>
      <c r="LKN45" s="579"/>
      <c r="LKO45" s="579"/>
      <c r="LKP45" s="579"/>
      <c r="LKQ45" s="579"/>
      <c r="LKR45" s="579"/>
      <c r="LKS45" s="579"/>
      <c r="LKT45" s="579"/>
      <c r="LKU45" s="579"/>
      <c r="LKV45" s="579"/>
      <c r="LKW45" s="579"/>
      <c r="LKX45" s="579"/>
      <c r="LKY45" s="579"/>
      <c r="LKZ45" s="579"/>
      <c r="LLA45" s="579"/>
      <c r="LLB45" s="579"/>
      <c r="LLC45" s="579"/>
      <c r="LLD45" s="579"/>
      <c r="LLE45" s="579"/>
      <c r="LLF45" s="579"/>
      <c r="LLG45" s="579"/>
      <c r="LLH45" s="579"/>
      <c r="LLI45" s="579"/>
      <c r="LLJ45" s="579"/>
      <c r="LLK45" s="579"/>
      <c r="LLL45" s="579"/>
      <c r="LLM45" s="579"/>
      <c r="LLN45" s="579"/>
      <c r="LLO45" s="579"/>
      <c r="LLP45" s="579"/>
      <c r="LLQ45" s="579"/>
      <c r="LLR45" s="579"/>
      <c r="LLS45" s="579"/>
      <c r="LLT45" s="579"/>
      <c r="LLU45" s="579"/>
      <c r="LLV45" s="579"/>
      <c r="LLW45" s="579"/>
      <c r="LLX45" s="579"/>
      <c r="LLY45" s="579"/>
      <c r="LLZ45" s="579"/>
      <c r="LMA45" s="579"/>
      <c r="LMB45" s="579"/>
      <c r="LMC45" s="579"/>
      <c r="LMD45" s="579"/>
      <c r="LME45" s="579"/>
      <c r="LMF45" s="579"/>
      <c r="LMG45" s="579"/>
      <c r="LMH45" s="579"/>
      <c r="LMI45" s="579"/>
      <c r="LMJ45" s="579"/>
      <c r="LMK45" s="579"/>
      <c r="LML45" s="579"/>
      <c r="LMM45" s="579"/>
      <c r="LMN45" s="579"/>
      <c r="LMO45" s="579"/>
      <c r="LMP45" s="579"/>
      <c r="LMQ45" s="579"/>
      <c r="LMR45" s="579"/>
      <c r="LMS45" s="579"/>
      <c r="LMT45" s="579"/>
      <c r="LMU45" s="579"/>
      <c r="LMV45" s="579"/>
      <c r="LMW45" s="579"/>
      <c r="LMX45" s="579"/>
      <c r="LMY45" s="579"/>
      <c r="LMZ45" s="579"/>
      <c r="LNA45" s="579"/>
      <c r="LNB45" s="579"/>
      <c r="LNC45" s="579"/>
      <c r="LND45" s="579"/>
      <c r="LNE45" s="579"/>
      <c r="LNF45" s="579"/>
      <c r="LNG45" s="579"/>
      <c r="LNH45" s="579"/>
      <c r="LNI45" s="579"/>
      <c r="LNJ45" s="579"/>
      <c r="LNK45" s="579"/>
      <c r="LNL45" s="579"/>
      <c r="LNM45" s="579"/>
      <c r="LNN45" s="579"/>
      <c r="LNO45" s="579"/>
      <c r="LNP45" s="579"/>
      <c r="LNQ45" s="579"/>
      <c r="LNR45" s="579"/>
      <c r="LNS45" s="579"/>
      <c r="LNT45" s="579"/>
      <c r="LNU45" s="579"/>
      <c r="LNV45" s="579"/>
      <c r="LNW45" s="579"/>
      <c r="LNX45" s="579"/>
      <c r="LNY45" s="579"/>
      <c r="LNZ45" s="579"/>
      <c r="LOA45" s="579"/>
      <c r="LOB45" s="579"/>
      <c r="LOC45" s="579"/>
      <c r="LOD45" s="579"/>
      <c r="LOE45" s="579"/>
      <c r="LOF45" s="579"/>
      <c r="LOG45" s="579"/>
      <c r="LOH45" s="579"/>
      <c r="LOI45" s="579"/>
      <c r="LOJ45" s="579"/>
      <c r="LOK45" s="579"/>
      <c r="LOL45" s="579"/>
      <c r="LOM45" s="579"/>
      <c r="LON45" s="579"/>
      <c r="LOO45" s="579"/>
      <c r="LOP45" s="579"/>
      <c r="LOQ45" s="579"/>
      <c r="LOR45" s="579"/>
      <c r="LOS45" s="579"/>
      <c r="LOT45" s="579"/>
      <c r="LOU45" s="579"/>
      <c r="LOV45" s="579"/>
      <c r="LOW45" s="579"/>
      <c r="LOX45" s="579"/>
      <c r="LOY45" s="579"/>
      <c r="LOZ45" s="579"/>
      <c r="LPA45" s="579"/>
      <c r="LPB45" s="579"/>
      <c r="LPC45" s="579"/>
      <c r="LPD45" s="579"/>
      <c r="LPE45" s="579"/>
      <c r="LPF45" s="579"/>
      <c r="LPG45" s="579"/>
      <c r="LPH45" s="579"/>
      <c r="LPI45" s="579"/>
      <c r="LPJ45" s="579"/>
      <c r="LPK45" s="579"/>
      <c r="LPL45" s="579"/>
      <c r="LPM45" s="579"/>
      <c r="LPN45" s="579"/>
      <c r="LPO45" s="579"/>
      <c r="LPP45" s="579"/>
      <c r="LPQ45" s="579"/>
      <c r="LPR45" s="579"/>
      <c r="LPS45" s="579"/>
      <c r="LPT45" s="579"/>
      <c r="LPU45" s="579"/>
      <c r="LPV45" s="579"/>
      <c r="LPW45" s="579"/>
      <c r="LPX45" s="579"/>
      <c r="LPY45" s="579"/>
      <c r="LPZ45" s="579"/>
      <c r="LQA45" s="579"/>
      <c r="LQB45" s="579"/>
      <c r="LQC45" s="579"/>
      <c r="LQD45" s="579"/>
      <c r="LQE45" s="579"/>
      <c r="LQF45" s="579"/>
      <c r="LQG45" s="579"/>
      <c r="LQH45" s="579"/>
      <c r="LQI45" s="579"/>
      <c r="LQJ45" s="579"/>
      <c r="LQK45" s="579"/>
      <c r="LQL45" s="579"/>
      <c r="LQM45" s="579"/>
      <c r="LQN45" s="579"/>
      <c r="LQO45" s="579"/>
      <c r="LQP45" s="579"/>
      <c r="LQQ45" s="579"/>
      <c r="LQR45" s="579"/>
      <c r="LQS45" s="579"/>
      <c r="LQT45" s="579"/>
      <c r="LQU45" s="579"/>
      <c r="LQV45" s="579"/>
      <c r="LQW45" s="579"/>
      <c r="LQX45" s="579"/>
      <c r="LQY45" s="579"/>
      <c r="LQZ45" s="579"/>
      <c r="LRA45" s="579"/>
      <c r="LRB45" s="579"/>
      <c r="LRC45" s="579"/>
      <c r="LRD45" s="579"/>
      <c r="LRE45" s="579"/>
      <c r="LRF45" s="579"/>
      <c r="LRG45" s="579"/>
      <c r="LRH45" s="579"/>
      <c r="LRI45" s="579"/>
      <c r="LRJ45" s="579"/>
      <c r="LRK45" s="579"/>
      <c r="LRL45" s="579"/>
      <c r="LRM45" s="579"/>
      <c r="LRN45" s="579"/>
      <c r="LRO45" s="579"/>
      <c r="LRP45" s="579"/>
      <c r="LRQ45" s="579"/>
      <c r="LRR45" s="579"/>
      <c r="LRS45" s="579"/>
      <c r="LRT45" s="579"/>
      <c r="LRU45" s="579"/>
      <c r="LRV45" s="579"/>
      <c r="LRW45" s="579"/>
      <c r="LRX45" s="579"/>
      <c r="LRY45" s="579"/>
      <c r="LRZ45" s="579"/>
      <c r="LSA45" s="579"/>
      <c r="LSB45" s="579"/>
      <c r="LSC45" s="579"/>
      <c r="LSD45" s="579"/>
      <c r="LSE45" s="579"/>
      <c r="LSF45" s="579"/>
      <c r="LSG45" s="579"/>
      <c r="LSH45" s="579"/>
      <c r="LSI45" s="579"/>
      <c r="LSJ45" s="579"/>
      <c r="LSK45" s="579"/>
      <c r="LSL45" s="579"/>
      <c r="LSM45" s="579"/>
      <c r="LSN45" s="579"/>
      <c r="LSO45" s="579"/>
      <c r="LSP45" s="579"/>
      <c r="LSQ45" s="579"/>
      <c r="LSR45" s="579"/>
      <c r="LSS45" s="579"/>
      <c r="LST45" s="579"/>
      <c r="LSU45" s="579"/>
      <c r="LSV45" s="579"/>
      <c r="LSW45" s="579"/>
      <c r="LSX45" s="579"/>
      <c r="LSY45" s="579"/>
      <c r="LSZ45" s="579"/>
      <c r="LTA45" s="579"/>
      <c r="LTB45" s="579"/>
      <c r="LTC45" s="579"/>
      <c r="LTD45" s="579"/>
      <c r="LTE45" s="579"/>
      <c r="LTF45" s="579"/>
      <c r="LTG45" s="579"/>
      <c r="LTH45" s="579"/>
      <c r="LTI45" s="579"/>
      <c r="LTJ45" s="579"/>
      <c r="LTK45" s="579"/>
      <c r="LTL45" s="579"/>
      <c r="LTM45" s="579"/>
      <c r="LTN45" s="579"/>
      <c r="LTO45" s="579"/>
      <c r="LTP45" s="579"/>
      <c r="LTQ45" s="579"/>
      <c r="LTR45" s="579"/>
      <c r="LTS45" s="579"/>
      <c r="LTT45" s="579"/>
      <c r="LTU45" s="579"/>
      <c r="LTV45" s="579"/>
      <c r="LTW45" s="579"/>
      <c r="LTX45" s="579"/>
      <c r="LTY45" s="579"/>
      <c r="LTZ45" s="579"/>
      <c r="LUA45" s="579"/>
      <c r="LUB45" s="579"/>
      <c r="LUC45" s="579"/>
      <c r="LUD45" s="579"/>
      <c r="LUE45" s="579"/>
      <c r="LUF45" s="579"/>
      <c r="LUG45" s="579"/>
      <c r="LUH45" s="579"/>
      <c r="LUI45" s="579"/>
      <c r="LUJ45" s="579"/>
      <c r="LUK45" s="579"/>
      <c r="LUL45" s="579"/>
      <c r="LUM45" s="579"/>
      <c r="LUN45" s="579"/>
      <c r="LUO45" s="579"/>
      <c r="LUP45" s="579"/>
      <c r="LUQ45" s="579"/>
      <c r="LUR45" s="579"/>
      <c r="LUS45" s="579"/>
      <c r="LUT45" s="579"/>
      <c r="LUU45" s="579"/>
      <c r="LUV45" s="579"/>
      <c r="LUW45" s="579"/>
      <c r="LUX45" s="579"/>
      <c r="LUY45" s="579"/>
      <c r="LUZ45" s="579"/>
      <c r="LVA45" s="579"/>
      <c r="LVB45" s="579"/>
      <c r="LVC45" s="579"/>
      <c r="LVD45" s="579"/>
      <c r="LVE45" s="579"/>
      <c r="LVF45" s="579"/>
      <c r="LVG45" s="579"/>
      <c r="LVH45" s="579"/>
      <c r="LVI45" s="579"/>
      <c r="LVJ45" s="579"/>
      <c r="LVK45" s="579"/>
      <c r="LVL45" s="579"/>
      <c r="LVM45" s="579"/>
      <c r="LVN45" s="579"/>
      <c r="LVO45" s="579"/>
      <c r="LVP45" s="579"/>
      <c r="LVQ45" s="579"/>
      <c r="LVR45" s="579"/>
      <c r="LVS45" s="579"/>
      <c r="LVT45" s="579"/>
      <c r="LVU45" s="579"/>
      <c r="LVV45" s="579"/>
      <c r="LVW45" s="579"/>
      <c r="LVX45" s="579"/>
      <c r="LVY45" s="579"/>
      <c r="LVZ45" s="579"/>
      <c r="LWA45" s="579"/>
      <c r="LWB45" s="579"/>
      <c r="LWC45" s="579"/>
      <c r="LWD45" s="579"/>
      <c r="LWE45" s="579"/>
      <c r="LWF45" s="579"/>
      <c r="LWG45" s="579"/>
      <c r="LWH45" s="579"/>
      <c r="LWI45" s="579"/>
      <c r="LWJ45" s="579"/>
      <c r="LWK45" s="579"/>
      <c r="LWL45" s="579"/>
      <c r="LWM45" s="579"/>
      <c r="LWN45" s="579"/>
      <c r="LWO45" s="579"/>
      <c r="LWP45" s="579"/>
      <c r="LWQ45" s="579"/>
      <c r="LWR45" s="579"/>
      <c r="LWS45" s="579"/>
      <c r="LWT45" s="579"/>
      <c r="LWU45" s="579"/>
      <c r="LWV45" s="579"/>
      <c r="LWW45" s="579"/>
      <c r="LWX45" s="579"/>
      <c r="LWY45" s="579"/>
      <c r="LWZ45" s="579"/>
      <c r="LXA45" s="579"/>
      <c r="LXB45" s="579"/>
      <c r="LXC45" s="579"/>
      <c r="LXD45" s="579"/>
      <c r="LXE45" s="579"/>
      <c r="LXF45" s="579"/>
      <c r="LXG45" s="579"/>
      <c r="LXH45" s="579"/>
      <c r="LXI45" s="579"/>
      <c r="LXJ45" s="579"/>
      <c r="LXK45" s="579"/>
      <c r="LXL45" s="579"/>
      <c r="LXM45" s="579"/>
      <c r="LXN45" s="579"/>
      <c r="LXO45" s="579"/>
      <c r="LXP45" s="579"/>
      <c r="LXQ45" s="579"/>
      <c r="LXR45" s="579"/>
      <c r="LXS45" s="579"/>
      <c r="LXT45" s="579"/>
      <c r="LXU45" s="579"/>
      <c r="LXV45" s="579"/>
      <c r="LXW45" s="579"/>
      <c r="LXX45" s="579"/>
      <c r="LXY45" s="579"/>
      <c r="LXZ45" s="579"/>
      <c r="LYA45" s="579"/>
      <c r="LYB45" s="579"/>
      <c r="LYC45" s="579"/>
      <c r="LYD45" s="579"/>
      <c r="LYE45" s="579"/>
      <c r="LYF45" s="579"/>
      <c r="LYG45" s="579"/>
      <c r="LYH45" s="579"/>
      <c r="LYI45" s="579"/>
      <c r="LYJ45" s="579"/>
      <c r="LYK45" s="579"/>
      <c r="LYL45" s="579"/>
      <c r="LYM45" s="579"/>
      <c r="LYN45" s="579"/>
      <c r="LYO45" s="579"/>
      <c r="LYP45" s="579"/>
      <c r="LYQ45" s="579"/>
      <c r="LYR45" s="579"/>
      <c r="LYS45" s="579"/>
      <c r="LYT45" s="579"/>
      <c r="LYU45" s="579"/>
      <c r="LYV45" s="579"/>
      <c r="LYW45" s="579"/>
      <c r="LYX45" s="579"/>
      <c r="LYY45" s="579"/>
      <c r="LYZ45" s="579"/>
      <c r="LZA45" s="579"/>
      <c r="LZB45" s="579"/>
      <c r="LZC45" s="579"/>
      <c r="LZD45" s="579"/>
      <c r="LZE45" s="579"/>
      <c r="LZF45" s="579"/>
      <c r="LZG45" s="579"/>
      <c r="LZH45" s="579"/>
      <c r="LZI45" s="579"/>
      <c r="LZJ45" s="579"/>
      <c r="LZK45" s="579"/>
      <c r="LZL45" s="579"/>
      <c r="LZM45" s="579"/>
      <c r="LZN45" s="579"/>
      <c r="LZO45" s="579"/>
      <c r="LZP45" s="579"/>
      <c r="LZQ45" s="579"/>
      <c r="LZR45" s="579"/>
      <c r="LZS45" s="579"/>
      <c r="LZT45" s="579"/>
      <c r="LZU45" s="579"/>
      <c r="LZV45" s="579"/>
      <c r="LZW45" s="579"/>
      <c r="LZX45" s="579"/>
      <c r="LZY45" s="579"/>
      <c r="LZZ45" s="579"/>
      <c r="MAA45" s="579"/>
      <c r="MAB45" s="579"/>
      <c r="MAC45" s="579"/>
      <c r="MAD45" s="579"/>
      <c r="MAE45" s="579"/>
      <c r="MAF45" s="579"/>
      <c r="MAG45" s="579"/>
      <c r="MAH45" s="579"/>
      <c r="MAI45" s="579"/>
      <c r="MAJ45" s="579"/>
      <c r="MAK45" s="579"/>
      <c r="MAL45" s="579"/>
      <c r="MAM45" s="579"/>
      <c r="MAN45" s="579"/>
      <c r="MAO45" s="579"/>
      <c r="MAP45" s="579"/>
      <c r="MAQ45" s="579"/>
      <c r="MAR45" s="579"/>
      <c r="MAS45" s="579"/>
      <c r="MAT45" s="579"/>
      <c r="MAU45" s="579"/>
      <c r="MAV45" s="579"/>
      <c r="MAW45" s="579"/>
      <c r="MAX45" s="579"/>
      <c r="MAY45" s="579"/>
      <c r="MAZ45" s="579"/>
      <c r="MBA45" s="579"/>
      <c r="MBB45" s="579"/>
      <c r="MBC45" s="579"/>
      <c r="MBD45" s="579"/>
      <c r="MBE45" s="579"/>
      <c r="MBF45" s="579"/>
      <c r="MBG45" s="579"/>
      <c r="MBH45" s="579"/>
      <c r="MBI45" s="579"/>
      <c r="MBJ45" s="579"/>
      <c r="MBK45" s="579"/>
      <c r="MBL45" s="579"/>
      <c r="MBM45" s="579"/>
      <c r="MBN45" s="579"/>
      <c r="MBO45" s="579"/>
      <c r="MBP45" s="579"/>
      <c r="MBQ45" s="579"/>
      <c r="MBR45" s="579"/>
      <c r="MBS45" s="579"/>
      <c r="MBT45" s="579"/>
      <c r="MBU45" s="579"/>
      <c r="MBV45" s="579"/>
      <c r="MBW45" s="579"/>
      <c r="MBX45" s="579"/>
      <c r="MBY45" s="579"/>
      <c r="MBZ45" s="579"/>
      <c r="MCA45" s="579"/>
      <c r="MCB45" s="579"/>
      <c r="MCC45" s="579"/>
      <c r="MCD45" s="579"/>
      <c r="MCE45" s="579"/>
      <c r="MCF45" s="579"/>
      <c r="MCG45" s="579"/>
      <c r="MCH45" s="579"/>
      <c r="MCI45" s="579"/>
      <c r="MCJ45" s="579"/>
      <c r="MCK45" s="579"/>
      <c r="MCL45" s="579"/>
      <c r="MCM45" s="579"/>
      <c r="MCN45" s="579"/>
      <c r="MCO45" s="579"/>
      <c r="MCP45" s="579"/>
      <c r="MCQ45" s="579"/>
      <c r="MCR45" s="579"/>
      <c r="MCS45" s="579"/>
      <c r="MCT45" s="579"/>
      <c r="MCU45" s="579"/>
      <c r="MCV45" s="579"/>
      <c r="MCW45" s="579"/>
      <c r="MCX45" s="579"/>
      <c r="MCY45" s="579"/>
      <c r="MCZ45" s="579"/>
      <c r="MDA45" s="579"/>
      <c r="MDB45" s="579"/>
      <c r="MDC45" s="579"/>
      <c r="MDD45" s="579"/>
      <c r="MDE45" s="579"/>
      <c r="MDF45" s="579"/>
      <c r="MDG45" s="579"/>
      <c r="MDH45" s="579"/>
      <c r="MDI45" s="579"/>
      <c r="MDJ45" s="579"/>
      <c r="MDK45" s="579"/>
      <c r="MDL45" s="579"/>
      <c r="MDM45" s="579"/>
      <c r="MDN45" s="579"/>
      <c r="MDO45" s="579"/>
      <c r="MDP45" s="579"/>
      <c r="MDQ45" s="579"/>
      <c r="MDR45" s="579"/>
      <c r="MDS45" s="579"/>
      <c r="MDT45" s="579"/>
      <c r="MDU45" s="579"/>
      <c r="MDV45" s="579"/>
      <c r="MDW45" s="579"/>
      <c r="MDX45" s="579"/>
      <c r="MDY45" s="579"/>
      <c r="MDZ45" s="579"/>
      <c r="MEA45" s="579"/>
      <c r="MEB45" s="579"/>
      <c r="MEC45" s="579"/>
      <c r="MED45" s="579"/>
      <c r="MEE45" s="579"/>
      <c r="MEF45" s="579"/>
      <c r="MEG45" s="579"/>
      <c r="MEH45" s="579"/>
      <c r="MEI45" s="579"/>
      <c r="MEJ45" s="579"/>
      <c r="MEK45" s="579"/>
      <c r="MEL45" s="579"/>
      <c r="MEM45" s="579"/>
      <c r="MEN45" s="579"/>
      <c r="MEO45" s="579"/>
      <c r="MEP45" s="579"/>
      <c r="MEQ45" s="579"/>
      <c r="MER45" s="579"/>
      <c r="MES45" s="579"/>
      <c r="MET45" s="579"/>
      <c r="MEU45" s="579"/>
      <c r="MEV45" s="579"/>
      <c r="MEW45" s="579"/>
      <c r="MEX45" s="579"/>
      <c r="MEY45" s="579"/>
      <c r="MEZ45" s="579"/>
      <c r="MFA45" s="579"/>
      <c r="MFB45" s="579"/>
      <c r="MFC45" s="579"/>
      <c r="MFD45" s="579"/>
      <c r="MFE45" s="579"/>
      <c r="MFF45" s="579"/>
      <c r="MFG45" s="579"/>
      <c r="MFH45" s="579"/>
      <c r="MFI45" s="579"/>
      <c r="MFJ45" s="579"/>
      <c r="MFK45" s="579"/>
      <c r="MFL45" s="579"/>
      <c r="MFM45" s="579"/>
      <c r="MFN45" s="579"/>
      <c r="MFO45" s="579"/>
      <c r="MFP45" s="579"/>
      <c r="MFQ45" s="579"/>
      <c r="MFR45" s="579"/>
      <c r="MFS45" s="579"/>
      <c r="MFT45" s="579"/>
      <c r="MFU45" s="579"/>
      <c r="MFV45" s="579"/>
      <c r="MFW45" s="579"/>
      <c r="MFX45" s="579"/>
      <c r="MFY45" s="579"/>
      <c r="MFZ45" s="579"/>
      <c r="MGA45" s="579"/>
      <c r="MGB45" s="579"/>
      <c r="MGC45" s="579"/>
      <c r="MGD45" s="579"/>
      <c r="MGE45" s="579"/>
      <c r="MGF45" s="579"/>
      <c r="MGG45" s="579"/>
      <c r="MGH45" s="579"/>
      <c r="MGI45" s="579"/>
      <c r="MGJ45" s="579"/>
      <c r="MGK45" s="579"/>
      <c r="MGL45" s="579"/>
      <c r="MGM45" s="579"/>
      <c r="MGN45" s="579"/>
      <c r="MGO45" s="579"/>
      <c r="MGP45" s="579"/>
      <c r="MGQ45" s="579"/>
      <c r="MGR45" s="579"/>
      <c r="MGS45" s="579"/>
      <c r="MGT45" s="579"/>
      <c r="MGU45" s="579"/>
      <c r="MGV45" s="579"/>
      <c r="MGW45" s="579"/>
      <c r="MGX45" s="579"/>
      <c r="MGY45" s="579"/>
      <c r="MGZ45" s="579"/>
      <c r="MHA45" s="579"/>
      <c r="MHB45" s="579"/>
      <c r="MHC45" s="579"/>
      <c r="MHD45" s="579"/>
      <c r="MHE45" s="579"/>
      <c r="MHF45" s="579"/>
      <c r="MHG45" s="579"/>
      <c r="MHH45" s="579"/>
      <c r="MHI45" s="579"/>
      <c r="MHJ45" s="579"/>
      <c r="MHK45" s="579"/>
      <c r="MHL45" s="579"/>
      <c r="MHM45" s="579"/>
      <c r="MHN45" s="579"/>
      <c r="MHO45" s="579"/>
      <c r="MHP45" s="579"/>
      <c r="MHQ45" s="579"/>
      <c r="MHR45" s="579"/>
      <c r="MHS45" s="579"/>
      <c r="MHT45" s="579"/>
      <c r="MHU45" s="579"/>
      <c r="MHV45" s="579"/>
      <c r="MHW45" s="579"/>
      <c r="MHX45" s="579"/>
      <c r="MHY45" s="579"/>
      <c r="MHZ45" s="579"/>
      <c r="MIA45" s="579"/>
      <c r="MIB45" s="579"/>
      <c r="MIC45" s="579"/>
      <c r="MID45" s="579"/>
      <c r="MIE45" s="579"/>
      <c r="MIF45" s="579"/>
      <c r="MIG45" s="579"/>
      <c r="MIH45" s="579"/>
      <c r="MII45" s="579"/>
      <c r="MIJ45" s="579"/>
      <c r="MIK45" s="579"/>
      <c r="MIL45" s="579"/>
      <c r="MIM45" s="579"/>
      <c r="MIN45" s="579"/>
      <c r="MIO45" s="579"/>
      <c r="MIP45" s="579"/>
      <c r="MIQ45" s="579"/>
      <c r="MIR45" s="579"/>
      <c r="MIS45" s="579"/>
      <c r="MIT45" s="579"/>
      <c r="MIU45" s="579"/>
      <c r="MIV45" s="579"/>
      <c r="MIW45" s="579"/>
      <c r="MIX45" s="579"/>
      <c r="MIY45" s="579"/>
      <c r="MIZ45" s="579"/>
      <c r="MJA45" s="579"/>
      <c r="MJB45" s="579"/>
      <c r="MJC45" s="579"/>
      <c r="MJD45" s="579"/>
      <c r="MJE45" s="579"/>
      <c r="MJF45" s="579"/>
      <c r="MJG45" s="579"/>
      <c r="MJH45" s="579"/>
      <c r="MJI45" s="579"/>
      <c r="MJJ45" s="579"/>
      <c r="MJK45" s="579"/>
      <c r="MJL45" s="579"/>
      <c r="MJM45" s="579"/>
      <c r="MJN45" s="579"/>
      <c r="MJO45" s="579"/>
      <c r="MJP45" s="579"/>
      <c r="MJQ45" s="579"/>
      <c r="MJR45" s="579"/>
      <c r="MJS45" s="579"/>
      <c r="MJT45" s="579"/>
      <c r="MJU45" s="579"/>
      <c r="MJV45" s="579"/>
      <c r="MJW45" s="579"/>
      <c r="MJX45" s="579"/>
      <c r="MJY45" s="579"/>
      <c r="MJZ45" s="579"/>
      <c r="MKA45" s="579"/>
      <c r="MKB45" s="579"/>
      <c r="MKC45" s="579"/>
      <c r="MKD45" s="579"/>
      <c r="MKE45" s="579"/>
      <c r="MKF45" s="579"/>
      <c r="MKG45" s="579"/>
      <c r="MKH45" s="579"/>
      <c r="MKI45" s="579"/>
      <c r="MKJ45" s="579"/>
      <c r="MKK45" s="579"/>
      <c r="MKL45" s="579"/>
      <c r="MKM45" s="579"/>
      <c r="MKN45" s="579"/>
      <c r="MKO45" s="579"/>
      <c r="MKP45" s="579"/>
      <c r="MKQ45" s="579"/>
      <c r="MKR45" s="579"/>
      <c r="MKS45" s="579"/>
      <c r="MKT45" s="579"/>
      <c r="MKU45" s="579"/>
      <c r="MKV45" s="579"/>
      <c r="MKW45" s="579"/>
      <c r="MKX45" s="579"/>
      <c r="MKY45" s="579"/>
      <c r="MKZ45" s="579"/>
      <c r="MLA45" s="579"/>
      <c r="MLB45" s="579"/>
      <c r="MLC45" s="579"/>
      <c r="MLD45" s="579"/>
      <c r="MLE45" s="579"/>
      <c r="MLF45" s="579"/>
      <c r="MLG45" s="579"/>
      <c r="MLH45" s="579"/>
      <c r="MLI45" s="579"/>
      <c r="MLJ45" s="579"/>
      <c r="MLK45" s="579"/>
      <c r="MLL45" s="579"/>
      <c r="MLM45" s="579"/>
      <c r="MLN45" s="579"/>
      <c r="MLO45" s="579"/>
      <c r="MLP45" s="579"/>
      <c r="MLQ45" s="579"/>
      <c r="MLR45" s="579"/>
      <c r="MLS45" s="579"/>
      <c r="MLT45" s="579"/>
      <c r="MLU45" s="579"/>
      <c r="MLV45" s="579"/>
      <c r="MLW45" s="579"/>
      <c r="MLX45" s="579"/>
      <c r="MLY45" s="579"/>
      <c r="MLZ45" s="579"/>
      <c r="MMA45" s="579"/>
      <c r="MMB45" s="579"/>
      <c r="MMC45" s="579"/>
      <c r="MMD45" s="579"/>
      <c r="MME45" s="579"/>
      <c r="MMF45" s="579"/>
      <c r="MMG45" s="579"/>
      <c r="MMH45" s="579"/>
      <c r="MMI45" s="579"/>
      <c r="MMJ45" s="579"/>
      <c r="MMK45" s="579"/>
      <c r="MML45" s="579"/>
      <c r="MMM45" s="579"/>
      <c r="MMN45" s="579"/>
      <c r="MMO45" s="579"/>
      <c r="MMP45" s="579"/>
      <c r="MMQ45" s="579"/>
      <c r="MMR45" s="579"/>
      <c r="MMS45" s="579"/>
      <c r="MMT45" s="579"/>
      <c r="MMU45" s="579"/>
      <c r="MMV45" s="579"/>
      <c r="MMW45" s="579"/>
      <c r="MMX45" s="579"/>
      <c r="MMY45" s="579"/>
      <c r="MMZ45" s="579"/>
      <c r="MNA45" s="579"/>
      <c r="MNB45" s="579"/>
      <c r="MNC45" s="579"/>
      <c r="MND45" s="579"/>
      <c r="MNE45" s="579"/>
      <c r="MNF45" s="579"/>
      <c r="MNG45" s="579"/>
      <c r="MNH45" s="579"/>
      <c r="MNI45" s="579"/>
      <c r="MNJ45" s="579"/>
      <c r="MNK45" s="579"/>
      <c r="MNL45" s="579"/>
      <c r="MNM45" s="579"/>
      <c r="MNN45" s="579"/>
      <c r="MNO45" s="579"/>
      <c r="MNP45" s="579"/>
      <c r="MNQ45" s="579"/>
      <c r="MNR45" s="579"/>
      <c r="MNS45" s="579"/>
      <c r="MNT45" s="579"/>
      <c r="MNU45" s="579"/>
      <c r="MNV45" s="579"/>
      <c r="MNW45" s="579"/>
      <c r="MNX45" s="579"/>
      <c r="MNY45" s="579"/>
      <c r="MNZ45" s="579"/>
      <c r="MOA45" s="579"/>
      <c r="MOB45" s="579"/>
      <c r="MOC45" s="579"/>
      <c r="MOD45" s="579"/>
      <c r="MOE45" s="579"/>
      <c r="MOF45" s="579"/>
      <c r="MOG45" s="579"/>
      <c r="MOH45" s="579"/>
      <c r="MOI45" s="579"/>
      <c r="MOJ45" s="579"/>
      <c r="MOK45" s="579"/>
      <c r="MOL45" s="579"/>
      <c r="MOM45" s="579"/>
      <c r="MON45" s="579"/>
      <c r="MOO45" s="579"/>
      <c r="MOP45" s="579"/>
      <c r="MOQ45" s="579"/>
      <c r="MOR45" s="579"/>
      <c r="MOS45" s="579"/>
      <c r="MOT45" s="579"/>
      <c r="MOU45" s="579"/>
      <c r="MOV45" s="579"/>
      <c r="MOW45" s="579"/>
      <c r="MOX45" s="579"/>
      <c r="MOY45" s="579"/>
      <c r="MOZ45" s="579"/>
      <c r="MPA45" s="579"/>
      <c r="MPB45" s="579"/>
      <c r="MPC45" s="579"/>
      <c r="MPD45" s="579"/>
      <c r="MPE45" s="579"/>
      <c r="MPF45" s="579"/>
      <c r="MPG45" s="579"/>
      <c r="MPH45" s="579"/>
      <c r="MPI45" s="579"/>
      <c r="MPJ45" s="579"/>
      <c r="MPK45" s="579"/>
      <c r="MPL45" s="579"/>
      <c r="MPM45" s="579"/>
      <c r="MPN45" s="579"/>
      <c r="MPO45" s="579"/>
      <c r="MPP45" s="579"/>
      <c r="MPQ45" s="579"/>
      <c r="MPR45" s="579"/>
      <c r="MPS45" s="579"/>
      <c r="MPT45" s="579"/>
      <c r="MPU45" s="579"/>
      <c r="MPV45" s="579"/>
      <c r="MPW45" s="579"/>
      <c r="MPX45" s="579"/>
      <c r="MPY45" s="579"/>
      <c r="MPZ45" s="579"/>
      <c r="MQA45" s="579"/>
      <c r="MQB45" s="579"/>
      <c r="MQC45" s="579"/>
      <c r="MQD45" s="579"/>
      <c r="MQE45" s="579"/>
      <c r="MQF45" s="579"/>
      <c r="MQG45" s="579"/>
      <c r="MQH45" s="579"/>
      <c r="MQI45" s="579"/>
      <c r="MQJ45" s="579"/>
      <c r="MQK45" s="579"/>
      <c r="MQL45" s="579"/>
      <c r="MQM45" s="579"/>
      <c r="MQN45" s="579"/>
      <c r="MQO45" s="579"/>
      <c r="MQP45" s="579"/>
      <c r="MQQ45" s="579"/>
      <c r="MQR45" s="579"/>
      <c r="MQS45" s="579"/>
      <c r="MQT45" s="579"/>
      <c r="MQU45" s="579"/>
      <c r="MQV45" s="579"/>
      <c r="MQW45" s="579"/>
      <c r="MQX45" s="579"/>
      <c r="MQY45" s="579"/>
      <c r="MQZ45" s="579"/>
      <c r="MRA45" s="579"/>
      <c r="MRB45" s="579"/>
      <c r="MRC45" s="579"/>
      <c r="MRD45" s="579"/>
      <c r="MRE45" s="579"/>
      <c r="MRF45" s="579"/>
      <c r="MRG45" s="579"/>
      <c r="MRH45" s="579"/>
      <c r="MRI45" s="579"/>
      <c r="MRJ45" s="579"/>
      <c r="MRK45" s="579"/>
      <c r="MRL45" s="579"/>
      <c r="MRM45" s="579"/>
      <c r="MRN45" s="579"/>
      <c r="MRO45" s="579"/>
      <c r="MRP45" s="579"/>
      <c r="MRQ45" s="579"/>
      <c r="MRR45" s="579"/>
      <c r="MRS45" s="579"/>
      <c r="MRT45" s="579"/>
      <c r="MRU45" s="579"/>
      <c r="MRV45" s="579"/>
      <c r="MRW45" s="579"/>
      <c r="MRX45" s="579"/>
      <c r="MRY45" s="579"/>
      <c r="MRZ45" s="579"/>
      <c r="MSA45" s="579"/>
      <c r="MSB45" s="579"/>
      <c r="MSC45" s="579"/>
      <c r="MSD45" s="579"/>
      <c r="MSE45" s="579"/>
      <c r="MSF45" s="579"/>
      <c r="MSG45" s="579"/>
      <c r="MSH45" s="579"/>
      <c r="MSI45" s="579"/>
      <c r="MSJ45" s="579"/>
      <c r="MSK45" s="579"/>
      <c r="MSL45" s="579"/>
      <c r="MSM45" s="579"/>
      <c r="MSN45" s="579"/>
      <c r="MSO45" s="579"/>
      <c r="MSP45" s="579"/>
      <c r="MSQ45" s="579"/>
      <c r="MSR45" s="579"/>
      <c r="MSS45" s="579"/>
      <c r="MST45" s="579"/>
      <c r="MSU45" s="579"/>
      <c r="MSV45" s="579"/>
      <c r="MSW45" s="579"/>
      <c r="MSX45" s="579"/>
      <c r="MSY45" s="579"/>
      <c r="MSZ45" s="579"/>
      <c r="MTA45" s="579"/>
      <c r="MTB45" s="579"/>
      <c r="MTC45" s="579"/>
      <c r="MTD45" s="579"/>
      <c r="MTE45" s="579"/>
      <c r="MTF45" s="579"/>
      <c r="MTG45" s="579"/>
      <c r="MTH45" s="579"/>
      <c r="MTI45" s="579"/>
      <c r="MTJ45" s="579"/>
      <c r="MTK45" s="579"/>
      <c r="MTL45" s="579"/>
      <c r="MTM45" s="579"/>
      <c r="MTN45" s="579"/>
      <c r="MTO45" s="579"/>
      <c r="MTP45" s="579"/>
      <c r="MTQ45" s="579"/>
      <c r="MTR45" s="579"/>
      <c r="MTS45" s="579"/>
      <c r="MTT45" s="579"/>
      <c r="MTU45" s="579"/>
      <c r="MTV45" s="579"/>
      <c r="MTW45" s="579"/>
      <c r="MTX45" s="579"/>
      <c r="MTY45" s="579"/>
      <c r="MTZ45" s="579"/>
      <c r="MUA45" s="579"/>
      <c r="MUB45" s="579"/>
      <c r="MUC45" s="579"/>
      <c r="MUD45" s="579"/>
      <c r="MUE45" s="579"/>
      <c r="MUF45" s="579"/>
      <c r="MUG45" s="579"/>
      <c r="MUH45" s="579"/>
      <c r="MUI45" s="579"/>
      <c r="MUJ45" s="579"/>
      <c r="MUK45" s="579"/>
      <c r="MUL45" s="579"/>
      <c r="MUM45" s="579"/>
      <c r="MUN45" s="579"/>
      <c r="MUO45" s="579"/>
      <c r="MUP45" s="579"/>
      <c r="MUQ45" s="579"/>
      <c r="MUR45" s="579"/>
      <c r="MUS45" s="579"/>
      <c r="MUT45" s="579"/>
      <c r="MUU45" s="579"/>
      <c r="MUV45" s="579"/>
      <c r="MUW45" s="579"/>
      <c r="MUX45" s="579"/>
      <c r="MUY45" s="579"/>
      <c r="MUZ45" s="579"/>
      <c r="MVA45" s="579"/>
      <c r="MVB45" s="579"/>
      <c r="MVC45" s="579"/>
      <c r="MVD45" s="579"/>
      <c r="MVE45" s="579"/>
      <c r="MVF45" s="579"/>
      <c r="MVG45" s="579"/>
      <c r="MVH45" s="579"/>
      <c r="MVI45" s="579"/>
      <c r="MVJ45" s="579"/>
      <c r="MVK45" s="579"/>
      <c r="MVL45" s="579"/>
      <c r="MVM45" s="579"/>
      <c r="MVN45" s="579"/>
      <c r="MVO45" s="579"/>
      <c r="MVP45" s="579"/>
      <c r="MVQ45" s="579"/>
      <c r="MVR45" s="579"/>
      <c r="MVS45" s="579"/>
      <c r="MVT45" s="579"/>
      <c r="MVU45" s="579"/>
      <c r="MVV45" s="579"/>
      <c r="MVW45" s="579"/>
      <c r="MVX45" s="579"/>
      <c r="MVY45" s="579"/>
      <c r="MVZ45" s="579"/>
      <c r="MWA45" s="579"/>
      <c r="MWB45" s="579"/>
      <c r="MWC45" s="579"/>
      <c r="MWD45" s="579"/>
      <c r="MWE45" s="579"/>
      <c r="MWF45" s="579"/>
      <c r="MWG45" s="579"/>
      <c r="MWH45" s="579"/>
      <c r="MWI45" s="579"/>
      <c r="MWJ45" s="579"/>
      <c r="MWK45" s="579"/>
      <c r="MWL45" s="579"/>
      <c r="MWM45" s="579"/>
      <c r="MWN45" s="579"/>
      <c r="MWO45" s="579"/>
      <c r="MWP45" s="579"/>
      <c r="MWQ45" s="579"/>
      <c r="MWR45" s="579"/>
      <c r="MWS45" s="579"/>
      <c r="MWT45" s="579"/>
      <c r="MWU45" s="579"/>
      <c r="MWV45" s="579"/>
      <c r="MWW45" s="579"/>
      <c r="MWX45" s="579"/>
      <c r="MWY45" s="579"/>
      <c r="MWZ45" s="579"/>
      <c r="MXA45" s="579"/>
      <c r="MXB45" s="579"/>
      <c r="MXC45" s="579"/>
      <c r="MXD45" s="579"/>
      <c r="MXE45" s="579"/>
      <c r="MXF45" s="579"/>
      <c r="MXG45" s="579"/>
      <c r="MXH45" s="579"/>
      <c r="MXI45" s="579"/>
      <c r="MXJ45" s="579"/>
      <c r="MXK45" s="579"/>
      <c r="MXL45" s="579"/>
      <c r="MXM45" s="579"/>
      <c r="MXN45" s="579"/>
      <c r="MXO45" s="579"/>
      <c r="MXP45" s="579"/>
      <c r="MXQ45" s="579"/>
      <c r="MXR45" s="579"/>
      <c r="MXS45" s="579"/>
      <c r="MXT45" s="579"/>
      <c r="MXU45" s="579"/>
      <c r="MXV45" s="579"/>
      <c r="MXW45" s="579"/>
      <c r="MXX45" s="579"/>
      <c r="MXY45" s="579"/>
      <c r="MXZ45" s="579"/>
      <c r="MYA45" s="579"/>
      <c r="MYB45" s="579"/>
      <c r="MYC45" s="579"/>
      <c r="MYD45" s="579"/>
      <c r="MYE45" s="579"/>
      <c r="MYF45" s="579"/>
      <c r="MYG45" s="579"/>
      <c r="MYH45" s="579"/>
      <c r="MYI45" s="579"/>
      <c r="MYJ45" s="579"/>
      <c r="MYK45" s="579"/>
      <c r="MYL45" s="579"/>
      <c r="MYM45" s="579"/>
      <c r="MYN45" s="579"/>
      <c r="MYO45" s="579"/>
      <c r="MYP45" s="579"/>
      <c r="MYQ45" s="579"/>
      <c r="MYR45" s="579"/>
      <c r="MYS45" s="579"/>
      <c r="MYT45" s="579"/>
      <c r="MYU45" s="579"/>
      <c r="MYV45" s="579"/>
      <c r="MYW45" s="579"/>
      <c r="MYX45" s="579"/>
      <c r="MYY45" s="579"/>
      <c r="MYZ45" s="579"/>
      <c r="MZA45" s="579"/>
      <c r="MZB45" s="579"/>
      <c r="MZC45" s="579"/>
      <c r="MZD45" s="579"/>
      <c r="MZE45" s="579"/>
      <c r="MZF45" s="579"/>
      <c r="MZG45" s="579"/>
      <c r="MZH45" s="579"/>
      <c r="MZI45" s="579"/>
      <c r="MZJ45" s="579"/>
      <c r="MZK45" s="579"/>
      <c r="MZL45" s="579"/>
      <c r="MZM45" s="579"/>
      <c r="MZN45" s="579"/>
      <c r="MZO45" s="579"/>
      <c r="MZP45" s="579"/>
      <c r="MZQ45" s="579"/>
      <c r="MZR45" s="579"/>
      <c r="MZS45" s="579"/>
      <c r="MZT45" s="579"/>
      <c r="MZU45" s="579"/>
      <c r="MZV45" s="579"/>
      <c r="MZW45" s="579"/>
      <c r="MZX45" s="579"/>
      <c r="MZY45" s="579"/>
      <c r="MZZ45" s="579"/>
      <c r="NAA45" s="579"/>
      <c r="NAB45" s="579"/>
      <c r="NAC45" s="579"/>
      <c r="NAD45" s="579"/>
      <c r="NAE45" s="579"/>
      <c r="NAF45" s="579"/>
      <c r="NAG45" s="579"/>
      <c r="NAH45" s="579"/>
      <c r="NAI45" s="579"/>
      <c r="NAJ45" s="579"/>
      <c r="NAK45" s="579"/>
      <c r="NAL45" s="579"/>
      <c r="NAM45" s="579"/>
      <c r="NAN45" s="579"/>
      <c r="NAO45" s="579"/>
      <c r="NAP45" s="579"/>
      <c r="NAQ45" s="579"/>
      <c r="NAR45" s="579"/>
      <c r="NAS45" s="579"/>
      <c r="NAT45" s="579"/>
      <c r="NAU45" s="579"/>
      <c r="NAV45" s="579"/>
      <c r="NAW45" s="579"/>
      <c r="NAX45" s="579"/>
      <c r="NAY45" s="579"/>
      <c r="NAZ45" s="579"/>
      <c r="NBA45" s="579"/>
      <c r="NBB45" s="579"/>
      <c r="NBC45" s="579"/>
      <c r="NBD45" s="579"/>
      <c r="NBE45" s="579"/>
      <c r="NBF45" s="579"/>
      <c r="NBG45" s="579"/>
      <c r="NBH45" s="579"/>
      <c r="NBI45" s="579"/>
      <c r="NBJ45" s="579"/>
      <c r="NBK45" s="579"/>
      <c r="NBL45" s="579"/>
      <c r="NBM45" s="579"/>
      <c r="NBN45" s="579"/>
      <c r="NBO45" s="579"/>
      <c r="NBP45" s="579"/>
      <c r="NBQ45" s="579"/>
      <c r="NBR45" s="579"/>
      <c r="NBS45" s="579"/>
      <c r="NBT45" s="579"/>
      <c r="NBU45" s="579"/>
      <c r="NBV45" s="579"/>
      <c r="NBW45" s="579"/>
      <c r="NBX45" s="579"/>
      <c r="NBY45" s="579"/>
      <c r="NBZ45" s="579"/>
      <c r="NCA45" s="579"/>
      <c r="NCB45" s="579"/>
      <c r="NCC45" s="579"/>
      <c r="NCD45" s="579"/>
      <c r="NCE45" s="579"/>
      <c r="NCF45" s="579"/>
      <c r="NCG45" s="579"/>
      <c r="NCH45" s="579"/>
      <c r="NCI45" s="579"/>
      <c r="NCJ45" s="579"/>
      <c r="NCK45" s="579"/>
      <c r="NCL45" s="579"/>
      <c r="NCM45" s="579"/>
      <c r="NCN45" s="579"/>
      <c r="NCO45" s="579"/>
      <c r="NCP45" s="579"/>
      <c r="NCQ45" s="579"/>
      <c r="NCR45" s="579"/>
      <c r="NCS45" s="579"/>
      <c r="NCT45" s="579"/>
      <c r="NCU45" s="579"/>
      <c r="NCV45" s="579"/>
      <c r="NCW45" s="579"/>
      <c r="NCX45" s="579"/>
      <c r="NCY45" s="579"/>
      <c r="NCZ45" s="579"/>
      <c r="NDA45" s="579"/>
      <c r="NDB45" s="579"/>
      <c r="NDC45" s="579"/>
      <c r="NDD45" s="579"/>
      <c r="NDE45" s="579"/>
      <c r="NDF45" s="579"/>
      <c r="NDG45" s="579"/>
      <c r="NDH45" s="579"/>
      <c r="NDI45" s="579"/>
      <c r="NDJ45" s="579"/>
      <c r="NDK45" s="579"/>
      <c r="NDL45" s="579"/>
      <c r="NDM45" s="579"/>
      <c r="NDN45" s="579"/>
      <c r="NDO45" s="579"/>
      <c r="NDP45" s="579"/>
      <c r="NDQ45" s="579"/>
      <c r="NDR45" s="579"/>
      <c r="NDS45" s="579"/>
      <c r="NDT45" s="579"/>
      <c r="NDU45" s="579"/>
      <c r="NDV45" s="579"/>
      <c r="NDW45" s="579"/>
      <c r="NDX45" s="579"/>
      <c r="NDY45" s="579"/>
      <c r="NDZ45" s="579"/>
      <c r="NEA45" s="579"/>
      <c r="NEB45" s="579"/>
      <c r="NEC45" s="579"/>
      <c r="NED45" s="579"/>
      <c r="NEE45" s="579"/>
      <c r="NEF45" s="579"/>
      <c r="NEG45" s="579"/>
      <c r="NEH45" s="579"/>
      <c r="NEI45" s="579"/>
      <c r="NEJ45" s="579"/>
      <c r="NEK45" s="579"/>
      <c r="NEL45" s="579"/>
      <c r="NEM45" s="579"/>
      <c r="NEN45" s="579"/>
      <c r="NEO45" s="579"/>
      <c r="NEP45" s="579"/>
      <c r="NEQ45" s="579"/>
      <c r="NER45" s="579"/>
      <c r="NES45" s="579"/>
      <c r="NET45" s="579"/>
      <c r="NEU45" s="579"/>
      <c r="NEV45" s="579"/>
      <c r="NEW45" s="579"/>
      <c r="NEX45" s="579"/>
      <c r="NEY45" s="579"/>
      <c r="NEZ45" s="579"/>
      <c r="NFA45" s="579"/>
      <c r="NFB45" s="579"/>
      <c r="NFC45" s="579"/>
      <c r="NFD45" s="579"/>
      <c r="NFE45" s="579"/>
      <c r="NFF45" s="579"/>
      <c r="NFG45" s="579"/>
      <c r="NFH45" s="579"/>
      <c r="NFI45" s="579"/>
      <c r="NFJ45" s="579"/>
      <c r="NFK45" s="579"/>
      <c r="NFL45" s="579"/>
      <c r="NFM45" s="579"/>
      <c r="NFN45" s="579"/>
      <c r="NFO45" s="579"/>
      <c r="NFP45" s="579"/>
      <c r="NFQ45" s="579"/>
      <c r="NFR45" s="579"/>
      <c r="NFS45" s="579"/>
      <c r="NFT45" s="579"/>
      <c r="NFU45" s="579"/>
      <c r="NFV45" s="579"/>
      <c r="NFW45" s="579"/>
      <c r="NFX45" s="579"/>
      <c r="NFY45" s="579"/>
      <c r="NFZ45" s="579"/>
      <c r="NGA45" s="579"/>
      <c r="NGB45" s="579"/>
      <c r="NGC45" s="579"/>
      <c r="NGD45" s="579"/>
      <c r="NGE45" s="579"/>
      <c r="NGF45" s="579"/>
      <c r="NGG45" s="579"/>
      <c r="NGH45" s="579"/>
      <c r="NGI45" s="579"/>
      <c r="NGJ45" s="579"/>
      <c r="NGK45" s="579"/>
      <c r="NGL45" s="579"/>
      <c r="NGM45" s="579"/>
      <c r="NGN45" s="579"/>
      <c r="NGO45" s="579"/>
      <c r="NGP45" s="579"/>
      <c r="NGQ45" s="579"/>
      <c r="NGR45" s="579"/>
      <c r="NGS45" s="579"/>
      <c r="NGT45" s="579"/>
      <c r="NGU45" s="579"/>
      <c r="NGV45" s="579"/>
      <c r="NGW45" s="579"/>
      <c r="NGX45" s="579"/>
      <c r="NGY45" s="579"/>
      <c r="NGZ45" s="579"/>
      <c r="NHA45" s="579"/>
      <c r="NHB45" s="579"/>
      <c r="NHC45" s="579"/>
      <c r="NHD45" s="579"/>
      <c r="NHE45" s="579"/>
      <c r="NHF45" s="579"/>
      <c r="NHG45" s="579"/>
      <c r="NHH45" s="579"/>
      <c r="NHI45" s="579"/>
      <c r="NHJ45" s="579"/>
      <c r="NHK45" s="579"/>
      <c r="NHL45" s="579"/>
      <c r="NHM45" s="579"/>
      <c r="NHN45" s="579"/>
      <c r="NHO45" s="579"/>
      <c r="NHP45" s="579"/>
      <c r="NHQ45" s="579"/>
      <c r="NHR45" s="579"/>
      <c r="NHS45" s="579"/>
      <c r="NHT45" s="579"/>
      <c r="NHU45" s="579"/>
      <c r="NHV45" s="579"/>
      <c r="NHW45" s="579"/>
      <c r="NHX45" s="579"/>
      <c r="NHY45" s="579"/>
      <c r="NHZ45" s="579"/>
      <c r="NIA45" s="579"/>
      <c r="NIB45" s="579"/>
      <c r="NIC45" s="579"/>
      <c r="NID45" s="579"/>
      <c r="NIE45" s="579"/>
      <c r="NIF45" s="579"/>
      <c r="NIG45" s="579"/>
      <c r="NIH45" s="579"/>
      <c r="NII45" s="579"/>
      <c r="NIJ45" s="579"/>
      <c r="NIK45" s="579"/>
      <c r="NIL45" s="579"/>
      <c r="NIM45" s="579"/>
      <c r="NIN45" s="579"/>
      <c r="NIO45" s="579"/>
      <c r="NIP45" s="579"/>
      <c r="NIQ45" s="579"/>
      <c r="NIR45" s="579"/>
      <c r="NIS45" s="579"/>
      <c r="NIT45" s="579"/>
      <c r="NIU45" s="579"/>
      <c r="NIV45" s="579"/>
      <c r="NIW45" s="579"/>
      <c r="NIX45" s="579"/>
      <c r="NIY45" s="579"/>
      <c r="NIZ45" s="579"/>
      <c r="NJA45" s="579"/>
      <c r="NJB45" s="579"/>
      <c r="NJC45" s="579"/>
      <c r="NJD45" s="579"/>
      <c r="NJE45" s="579"/>
      <c r="NJF45" s="579"/>
      <c r="NJG45" s="579"/>
      <c r="NJH45" s="579"/>
      <c r="NJI45" s="579"/>
      <c r="NJJ45" s="579"/>
      <c r="NJK45" s="579"/>
      <c r="NJL45" s="579"/>
      <c r="NJM45" s="579"/>
      <c r="NJN45" s="579"/>
      <c r="NJO45" s="579"/>
      <c r="NJP45" s="579"/>
      <c r="NJQ45" s="579"/>
      <c r="NJR45" s="579"/>
      <c r="NJS45" s="579"/>
      <c r="NJT45" s="579"/>
      <c r="NJU45" s="579"/>
      <c r="NJV45" s="579"/>
      <c r="NJW45" s="579"/>
      <c r="NJX45" s="579"/>
      <c r="NJY45" s="579"/>
      <c r="NJZ45" s="579"/>
      <c r="NKA45" s="579"/>
      <c r="NKB45" s="579"/>
      <c r="NKC45" s="579"/>
      <c r="NKD45" s="579"/>
      <c r="NKE45" s="579"/>
      <c r="NKF45" s="579"/>
      <c r="NKG45" s="579"/>
      <c r="NKH45" s="579"/>
      <c r="NKI45" s="579"/>
      <c r="NKJ45" s="579"/>
      <c r="NKK45" s="579"/>
      <c r="NKL45" s="579"/>
      <c r="NKM45" s="579"/>
      <c r="NKN45" s="579"/>
      <c r="NKO45" s="579"/>
      <c r="NKP45" s="579"/>
      <c r="NKQ45" s="579"/>
      <c r="NKR45" s="579"/>
      <c r="NKS45" s="579"/>
      <c r="NKT45" s="579"/>
      <c r="NKU45" s="579"/>
      <c r="NKV45" s="579"/>
      <c r="NKW45" s="579"/>
      <c r="NKX45" s="579"/>
      <c r="NKY45" s="579"/>
      <c r="NKZ45" s="579"/>
      <c r="NLA45" s="579"/>
      <c r="NLB45" s="579"/>
      <c r="NLC45" s="579"/>
      <c r="NLD45" s="579"/>
      <c r="NLE45" s="579"/>
      <c r="NLF45" s="579"/>
      <c r="NLG45" s="579"/>
      <c r="NLH45" s="579"/>
      <c r="NLI45" s="579"/>
      <c r="NLJ45" s="579"/>
      <c r="NLK45" s="579"/>
      <c r="NLL45" s="579"/>
      <c r="NLM45" s="579"/>
      <c r="NLN45" s="579"/>
      <c r="NLO45" s="579"/>
      <c r="NLP45" s="579"/>
      <c r="NLQ45" s="579"/>
      <c r="NLR45" s="579"/>
      <c r="NLS45" s="579"/>
      <c r="NLT45" s="579"/>
      <c r="NLU45" s="579"/>
      <c r="NLV45" s="579"/>
      <c r="NLW45" s="579"/>
      <c r="NLX45" s="579"/>
      <c r="NLY45" s="579"/>
      <c r="NLZ45" s="579"/>
      <c r="NMA45" s="579"/>
      <c r="NMB45" s="579"/>
      <c r="NMC45" s="579"/>
      <c r="NMD45" s="579"/>
      <c r="NME45" s="579"/>
      <c r="NMF45" s="579"/>
      <c r="NMG45" s="579"/>
      <c r="NMH45" s="579"/>
      <c r="NMI45" s="579"/>
      <c r="NMJ45" s="579"/>
      <c r="NMK45" s="579"/>
      <c r="NML45" s="579"/>
      <c r="NMM45" s="579"/>
      <c r="NMN45" s="579"/>
      <c r="NMO45" s="579"/>
      <c r="NMP45" s="579"/>
      <c r="NMQ45" s="579"/>
      <c r="NMR45" s="579"/>
      <c r="NMS45" s="579"/>
      <c r="NMT45" s="579"/>
      <c r="NMU45" s="579"/>
      <c r="NMV45" s="579"/>
      <c r="NMW45" s="579"/>
      <c r="NMX45" s="579"/>
      <c r="NMY45" s="579"/>
      <c r="NMZ45" s="579"/>
      <c r="NNA45" s="579"/>
      <c r="NNB45" s="579"/>
      <c r="NNC45" s="579"/>
      <c r="NND45" s="579"/>
      <c r="NNE45" s="579"/>
      <c r="NNF45" s="579"/>
      <c r="NNG45" s="579"/>
      <c r="NNH45" s="579"/>
      <c r="NNI45" s="579"/>
      <c r="NNJ45" s="579"/>
      <c r="NNK45" s="579"/>
      <c r="NNL45" s="579"/>
      <c r="NNM45" s="579"/>
      <c r="NNN45" s="579"/>
      <c r="NNO45" s="579"/>
      <c r="NNP45" s="579"/>
      <c r="NNQ45" s="579"/>
      <c r="NNR45" s="579"/>
      <c r="NNS45" s="579"/>
      <c r="NNT45" s="579"/>
      <c r="NNU45" s="579"/>
      <c r="NNV45" s="579"/>
      <c r="NNW45" s="579"/>
      <c r="NNX45" s="579"/>
      <c r="NNY45" s="579"/>
      <c r="NNZ45" s="579"/>
      <c r="NOA45" s="579"/>
      <c r="NOB45" s="579"/>
      <c r="NOC45" s="579"/>
      <c r="NOD45" s="579"/>
      <c r="NOE45" s="579"/>
      <c r="NOF45" s="579"/>
      <c r="NOG45" s="579"/>
      <c r="NOH45" s="579"/>
      <c r="NOI45" s="579"/>
      <c r="NOJ45" s="579"/>
      <c r="NOK45" s="579"/>
      <c r="NOL45" s="579"/>
      <c r="NOM45" s="579"/>
      <c r="NON45" s="579"/>
      <c r="NOO45" s="579"/>
      <c r="NOP45" s="579"/>
      <c r="NOQ45" s="579"/>
      <c r="NOR45" s="579"/>
      <c r="NOS45" s="579"/>
      <c r="NOT45" s="579"/>
      <c r="NOU45" s="579"/>
      <c r="NOV45" s="579"/>
      <c r="NOW45" s="579"/>
      <c r="NOX45" s="579"/>
      <c r="NOY45" s="579"/>
      <c r="NOZ45" s="579"/>
      <c r="NPA45" s="579"/>
      <c r="NPB45" s="579"/>
      <c r="NPC45" s="579"/>
      <c r="NPD45" s="579"/>
      <c r="NPE45" s="579"/>
      <c r="NPF45" s="579"/>
      <c r="NPG45" s="579"/>
      <c r="NPH45" s="579"/>
      <c r="NPI45" s="579"/>
      <c r="NPJ45" s="579"/>
      <c r="NPK45" s="579"/>
      <c r="NPL45" s="579"/>
      <c r="NPM45" s="579"/>
      <c r="NPN45" s="579"/>
      <c r="NPO45" s="579"/>
      <c r="NPP45" s="579"/>
      <c r="NPQ45" s="579"/>
      <c r="NPR45" s="579"/>
      <c r="NPS45" s="579"/>
      <c r="NPT45" s="579"/>
      <c r="NPU45" s="579"/>
      <c r="NPV45" s="579"/>
      <c r="NPW45" s="579"/>
      <c r="NPX45" s="579"/>
      <c r="NPY45" s="579"/>
      <c r="NPZ45" s="579"/>
      <c r="NQA45" s="579"/>
      <c r="NQB45" s="579"/>
      <c r="NQC45" s="579"/>
      <c r="NQD45" s="579"/>
      <c r="NQE45" s="579"/>
      <c r="NQF45" s="579"/>
      <c r="NQG45" s="579"/>
      <c r="NQH45" s="579"/>
      <c r="NQI45" s="579"/>
      <c r="NQJ45" s="579"/>
      <c r="NQK45" s="579"/>
      <c r="NQL45" s="579"/>
      <c r="NQM45" s="579"/>
      <c r="NQN45" s="579"/>
      <c r="NQO45" s="579"/>
      <c r="NQP45" s="579"/>
      <c r="NQQ45" s="579"/>
      <c r="NQR45" s="579"/>
      <c r="NQS45" s="579"/>
      <c r="NQT45" s="579"/>
      <c r="NQU45" s="579"/>
      <c r="NQV45" s="579"/>
      <c r="NQW45" s="579"/>
      <c r="NQX45" s="579"/>
      <c r="NQY45" s="579"/>
      <c r="NQZ45" s="579"/>
      <c r="NRA45" s="579"/>
      <c r="NRB45" s="579"/>
      <c r="NRC45" s="579"/>
      <c r="NRD45" s="579"/>
      <c r="NRE45" s="579"/>
      <c r="NRF45" s="579"/>
      <c r="NRG45" s="579"/>
      <c r="NRH45" s="579"/>
      <c r="NRI45" s="579"/>
      <c r="NRJ45" s="579"/>
      <c r="NRK45" s="579"/>
      <c r="NRL45" s="579"/>
      <c r="NRM45" s="579"/>
      <c r="NRN45" s="579"/>
      <c r="NRO45" s="579"/>
      <c r="NRP45" s="579"/>
      <c r="NRQ45" s="579"/>
      <c r="NRR45" s="579"/>
      <c r="NRS45" s="579"/>
      <c r="NRT45" s="579"/>
      <c r="NRU45" s="579"/>
      <c r="NRV45" s="579"/>
      <c r="NRW45" s="579"/>
      <c r="NRX45" s="579"/>
      <c r="NRY45" s="579"/>
      <c r="NRZ45" s="579"/>
      <c r="NSA45" s="579"/>
      <c r="NSB45" s="579"/>
      <c r="NSC45" s="579"/>
      <c r="NSD45" s="579"/>
      <c r="NSE45" s="579"/>
      <c r="NSF45" s="579"/>
      <c r="NSG45" s="579"/>
      <c r="NSH45" s="579"/>
      <c r="NSI45" s="579"/>
      <c r="NSJ45" s="579"/>
      <c r="NSK45" s="579"/>
      <c r="NSL45" s="579"/>
      <c r="NSM45" s="579"/>
      <c r="NSN45" s="579"/>
      <c r="NSO45" s="579"/>
      <c r="NSP45" s="579"/>
      <c r="NSQ45" s="579"/>
      <c r="NSR45" s="579"/>
      <c r="NSS45" s="579"/>
      <c r="NST45" s="579"/>
      <c r="NSU45" s="579"/>
      <c r="NSV45" s="579"/>
      <c r="NSW45" s="579"/>
      <c r="NSX45" s="579"/>
      <c r="NSY45" s="579"/>
      <c r="NSZ45" s="579"/>
      <c r="NTA45" s="579"/>
      <c r="NTB45" s="579"/>
      <c r="NTC45" s="579"/>
      <c r="NTD45" s="579"/>
      <c r="NTE45" s="579"/>
      <c r="NTF45" s="579"/>
      <c r="NTG45" s="579"/>
      <c r="NTH45" s="579"/>
      <c r="NTI45" s="579"/>
      <c r="NTJ45" s="579"/>
      <c r="NTK45" s="579"/>
      <c r="NTL45" s="579"/>
      <c r="NTM45" s="579"/>
      <c r="NTN45" s="579"/>
      <c r="NTO45" s="579"/>
      <c r="NTP45" s="579"/>
      <c r="NTQ45" s="579"/>
      <c r="NTR45" s="579"/>
      <c r="NTS45" s="579"/>
      <c r="NTT45" s="579"/>
      <c r="NTU45" s="579"/>
      <c r="NTV45" s="579"/>
      <c r="NTW45" s="579"/>
      <c r="NTX45" s="579"/>
      <c r="NTY45" s="579"/>
      <c r="NTZ45" s="579"/>
      <c r="NUA45" s="579"/>
      <c r="NUB45" s="579"/>
      <c r="NUC45" s="579"/>
      <c r="NUD45" s="579"/>
      <c r="NUE45" s="579"/>
      <c r="NUF45" s="579"/>
      <c r="NUG45" s="579"/>
      <c r="NUH45" s="579"/>
      <c r="NUI45" s="579"/>
      <c r="NUJ45" s="579"/>
      <c r="NUK45" s="579"/>
      <c r="NUL45" s="579"/>
      <c r="NUM45" s="579"/>
      <c r="NUN45" s="579"/>
      <c r="NUO45" s="579"/>
      <c r="NUP45" s="579"/>
      <c r="NUQ45" s="579"/>
      <c r="NUR45" s="579"/>
      <c r="NUS45" s="579"/>
      <c r="NUT45" s="579"/>
      <c r="NUU45" s="579"/>
      <c r="NUV45" s="579"/>
      <c r="NUW45" s="579"/>
      <c r="NUX45" s="579"/>
      <c r="NUY45" s="579"/>
      <c r="NUZ45" s="579"/>
      <c r="NVA45" s="579"/>
      <c r="NVB45" s="579"/>
      <c r="NVC45" s="579"/>
      <c r="NVD45" s="579"/>
      <c r="NVE45" s="579"/>
      <c r="NVF45" s="579"/>
      <c r="NVG45" s="579"/>
      <c r="NVH45" s="579"/>
      <c r="NVI45" s="579"/>
      <c r="NVJ45" s="579"/>
      <c r="NVK45" s="579"/>
      <c r="NVL45" s="579"/>
      <c r="NVM45" s="579"/>
      <c r="NVN45" s="579"/>
      <c r="NVO45" s="579"/>
      <c r="NVP45" s="579"/>
      <c r="NVQ45" s="579"/>
      <c r="NVR45" s="579"/>
      <c r="NVS45" s="579"/>
      <c r="NVT45" s="579"/>
      <c r="NVU45" s="579"/>
      <c r="NVV45" s="579"/>
      <c r="NVW45" s="579"/>
      <c r="NVX45" s="579"/>
      <c r="NVY45" s="579"/>
      <c r="NVZ45" s="579"/>
      <c r="NWA45" s="579"/>
      <c r="NWB45" s="579"/>
      <c r="NWC45" s="579"/>
      <c r="NWD45" s="579"/>
      <c r="NWE45" s="579"/>
      <c r="NWF45" s="579"/>
      <c r="NWG45" s="579"/>
      <c r="NWH45" s="579"/>
      <c r="NWI45" s="579"/>
      <c r="NWJ45" s="579"/>
      <c r="NWK45" s="579"/>
      <c r="NWL45" s="579"/>
      <c r="NWM45" s="579"/>
      <c r="NWN45" s="579"/>
      <c r="NWO45" s="579"/>
      <c r="NWP45" s="579"/>
      <c r="NWQ45" s="579"/>
      <c r="NWR45" s="579"/>
      <c r="NWS45" s="579"/>
      <c r="NWT45" s="579"/>
      <c r="NWU45" s="579"/>
      <c r="NWV45" s="579"/>
      <c r="NWW45" s="579"/>
      <c r="NWX45" s="579"/>
      <c r="NWY45" s="579"/>
      <c r="NWZ45" s="579"/>
      <c r="NXA45" s="579"/>
      <c r="NXB45" s="579"/>
      <c r="NXC45" s="579"/>
      <c r="NXD45" s="579"/>
      <c r="NXE45" s="579"/>
      <c r="NXF45" s="579"/>
      <c r="NXG45" s="579"/>
      <c r="NXH45" s="579"/>
      <c r="NXI45" s="579"/>
      <c r="NXJ45" s="579"/>
      <c r="NXK45" s="579"/>
      <c r="NXL45" s="579"/>
      <c r="NXM45" s="579"/>
      <c r="NXN45" s="579"/>
      <c r="NXO45" s="579"/>
      <c r="NXP45" s="579"/>
      <c r="NXQ45" s="579"/>
      <c r="NXR45" s="579"/>
      <c r="NXS45" s="579"/>
      <c r="NXT45" s="579"/>
      <c r="NXU45" s="579"/>
      <c r="NXV45" s="579"/>
      <c r="NXW45" s="579"/>
      <c r="NXX45" s="579"/>
      <c r="NXY45" s="579"/>
      <c r="NXZ45" s="579"/>
      <c r="NYA45" s="579"/>
      <c r="NYB45" s="579"/>
      <c r="NYC45" s="579"/>
      <c r="NYD45" s="579"/>
      <c r="NYE45" s="579"/>
      <c r="NYF45" s="579"/>
      <c r="NYG45" s="579"/>
      <c r="NYH45" s="579"/>
      <c r="NYI45" s="579"/>
      <c r="NYJ45" s="579"/>
      <c r="NYK45" s="579"/>
      <c r="NYL45" s="579"/>
      <c r="NYM45" s="579"/>
      <c r="NYN45" s="579"/>
      <c r="NYO45" s="579"/>
      <c r="NYP45" s="579"/>
      <c r="NYQ45" s="579"/>
      <c r="NYR45" s="579"/>
      <c r="NYS45" s="579"/>
      <c r="NYT45" s="579"/>
      <c r="NYU45" s="579"/>
      <c r="NYV45" s="579"/>
      <c r="NYW45" s="579"/>
      <c r="NYX45" s="579"/>
      <c r="NYY45" s="579"/>
      <c r="NYZ45" s="579"/>
      <c r="NZA45" s="579"/>
      <c r="NZB45" s="579"/>
      <c r="NZC45" s="579"/>
      <c r="NZD45" s="579"/>
      <c r="NZE45" s="579"/>
      <c r="NZF45" s="579"/>
      <c r="NZG45" s="579"/>
      <c r="NZH45" s="579"/>
      <c r="NZI45" s="579"/>
      <c r="NZJ45" s="579"/>
      <c r="NZK45" s="579"/>
      <c r="NZL45" s="579"/>
      <c r="NZM45" s="579"/>
      <c r="NZN45" s="579"/>
      <c r="NZO45" s="579"/>
      <c r="NZP45" s="579"/>
      <c r="NZQ45" s="579"/>
      <c r="NZR45" s="579"/>
      <c r="NZS45" s="579"/>
      <c r="NZT45" s="579"/>
      <c r="NZU45" s="579"/>
      <c r="NZV45" s="579"/>
      <c r="NZW45" s="579"/>
      <c r="NZX45" s="579"/>
      <c r="NZY45" s="579"/>
      <c r="NZZ45" s="579"/>
      <c r="OAA45" s="579"/>
      <c r="OAB45" s="579"/>
      <c r="OAC45" s="579"/>
      <c r="OAD45" s="579"/>
      <c r="OAE45" s="579"/>
      <c r="OAF45" s="579"/>
      <c r="OAG45" s="579"/>
      <c r="OAH45" s="579"/>
      <c r="OAI45" s="579"/>
      <c r="OAJ45" s="579"/>
      <c r="OAK45" s="579"/>
      <c r="OAL45" s="579"/>
      <c r="OAM45" s="579"/>
      <c r="OAN45" s="579"/>
      <c r="OAO45" s="579"/>
      <c r="OAP45" s="579"/>
      <c r="OAQ45" s="579"/>
      <c r="OAR45" s="579"/>
      <c r="OAS45" s="579"/>
      <c r="OAT45" s="579"/>
      <c r="OAU45" s="579"/>
      <c r="OAV45" s="579"/>
      <c r="OAW45" s="579"/>
      <c r="OAX45" s="579"/>
      <c r="OAY45" s="579"/>
      <c r="OAZ45" s="579"/>
      <c r="OBA45" s="579"/>
      <c r="OBB45" s="579"/>
      <c r="OBC45" s="579"/>
      <c r="OBD45" s="579"/>
      <c r="OBE45" s="579"/>
      <c r="OBF45" s="579"/>
      <c r="OBG45" s="579"/>
      <c r="OBH45" s="579"/>
      <c r="OBI45" s="579"/>
      <c r="OBJ45" s="579"/>
      <c r="OBK45" s="579"/>
      <c r="OBL45" s="579"/>
      <c r="OBM45" s="579"/>
      <c r="OBN45" s="579"/>
      <c r="OBO45" s="579"/>
      <c r="OBP45" s="579"/>
      <c r="OBQ45" s="579"/>
      <c r="OBR45" s="579"/>
      <c r="OBS45" s="579"/>
      <c r="OBT45" s="579"/>
      <c r="OBU45" s="579"/>
      <c r="OBV45" s="579"/>
      <c r="OBW45" s="579"/>
      <c r="OBX45" s="579"/>
      <c r="OBY45" s="579"/>
      <c r="OBZ45" s="579"/>
      <c r="OCA45" s="579"/>
      <c r="OCB45" s="579"/>
      <c r="OCC45" s="579"/>
      <c r="OCD45" s="579"/>
      <c r="OCE45" s="579"/>
      <c r="OCF45" s="579"/>
      <c r="OCG45" s="579"/>
      <c r="OCH45" s="579"/>
      <c r="OCI45" s="579"/>
      <c r="OCJ45" s="579"/>
      <c r="OCK45" s="579"/>
      <c r="OCL45" s="579"/>
      <c r="OCM45" s="579"/>
      <c r="OCN45" s="579"/>
      <c r="OCO45" s="579"/>
      <c r="OCP45" s="579"/>
      <c r="OCQ45" s="579"/>
      <c r="OCR45" s="579"/>
      <c r="OCS45" s="579"/>
      <c r="OCT45" s="579"/>
      <c r="OCU45" s="579"/>
      <c r="OCV45" s="579"/>
      <c r="OCW45" s="579"/>
      <c r="OCX45" s="579"/>
      <c r="OCY45" s="579"/>
      <c r="OCZ45" s="579"/>
      <c r="ODA45" s="579"/>
      <c r="ODB45" s="579"/>
      <c r="ODC45" s="579"/>
      <c r="ODD45" s="579"/>
      <c r="ODE45" s="579"/>
      <c r="ODF45" s="579"/>
      <c r="ODG45" s="579"/>
      <c r="ODH45" s="579"/>
      <c r="ODI45" s="579"/>
      <c r="ODJ45" s="579"/>
      <c r="ODK45" s="579"/>
      <c r="ODL45" s="579"/>
      <c r="ODM45" s="579"/>
      <c r="ODN45" s="579"/>
      <c r="ODO45" s="579"/>
      <c r="ODP45" s="579"/>
      <c r="ODQ45" s="579"/>
      <c r="ODR45" s="579"/>
      <c r="ODS45" s="579"/>
      <c r="ODT45" s="579"/>
      <c r="ODU45" s="579"/>
      <c r="ODV45" s="579"/>
      <c r="ODW45" s="579"/>
      <c r="ODX45" s="579"/>
      <c r="ODY45" s="579"/>
      <c r="ODZ45" s="579"/>
      <c r="OEA45" s="579"/>
      <c r="OEB45" s="579"/>
      <c r="OEC45" s="579"/>
      <c r="OED45" s="579"/>
      <c r="OEE45" s="579"/>
      <c r="OEF45" s="579"/>
      <c r="OEG45" s="579"/>
      <c r="OEH45" s="579"/>
      <c r="OEI45" s="579"/>
      <c r="OEJ45" s="579"/>
      <c r="OEK45" s="579"/>
      <c r="OEL45" s="579"/>
      <c r="OEM45" s="579"/>
      <c r="OEN45" s="579"/>
      <c r="OEO45" s="579"/>
      <c r="OEP45" s="579"/>
      <c r="OEQ45" s="579"/>
      <c r="OER45" s="579"/>
      <c r="OES45" s="579"/>
      <c r="OET45" s="579"/>
      <c r="OEU45" s="579"/>
      <c r="OEV45" s="579"/>
      <c r="OEW45" s="579"/>
      <c r="OEX45" s="579"/>
      <c r="OEY45" s="579"/>
      <c r="OEZ45" s="579"/>
      <c r="OFA45" s="579"/>
      <c r="OFB45" s="579"/>
      <c r="OFC45" s="579"/>
      <c r="OFD45" s="579"/>
      <c r="OFE45" s="579"/>
      <c r="OFF45" s="579"/>
      <c r="OFG45" s="579"/>
      <c r="OFH45" s="579"/>
      <c r="OFI45" s="579"/>
      <c r="OFJ45" s="579"/>
      <c r="OFK45" s="579"/>
      <c r="OFL45" s="579"/>
      <c r="OFM45" s="579"/>
      <c r="OFN45" s="579"/>
      <c r="OFO45" s="579"/>
      <c r="OFP45" s="579"/>
      <c r="OFQ45" s="579"/>
      <c r="OFR45" s="579"/>
      <c r="OFS45" s="579"/>
      <c r="OFT45" s="579"/>
      <c r="OFU45" s="579"/>
      <c r="OFV45" s="579"/>
      <c r="OFW45" s="579"/>
      <c r="OFX45" s="579"/>
      <c r="OFY45" s="579"/>
      <c r="OFZ45" s="579"/>
      <c r="OGA45" s="579"/>
      <c r="OGB45" s="579"/>
      <c r="OGC45" s="579"/>
      <c r="OGD45" s="579"/>
      <c r="OGE45" s="579"/>
      <c r="OGF45" s="579"/>
      <c r="OGG45" s="579"/>
      <c r="OGH45" s="579"/>
      <c r="OGI45" s="579"/>
      <c r="OGJ45" s="579"/>
      <c r="OGK45" s="579"/>
      <c r="OGL45" s="579"/>
      <c r="OGM45" s="579"/>
      <c r="OGN45" s="579"/>
      <c r="OGO45" s="579"/>
      <c r="OGP45" s="579"/>
      <c r="OGQ45" s="579"/>
      <c r="OGR45" s="579"/>
      <c r="OGS45" s="579"/>
      <c r="OGT45" s="579"/>
      <c r="OGU45" s="579"/>
      <c r="OGV45" s="579"/>
      <c r="OGW45" s="579"/>
      <c r="OGX45" s="579"/>
      <c r="OGY45" s="579"/>
      <c r="OGZ45" s="579"/>
      <c r="OHA45" s="579"/>
      <c r="OHB45" s="579"/>
      <c r="OHC45" s="579"/>
      <c r="OHD45" s="579"/>
      <c r="OHE45" s="579"/>
      <c r="OHF45" s="579"/>
      <c r="OHG45" s="579"/>
      <c r="OHH45" s="579"/>
      <c r="OHI45" s="579"/>
      <c r="OHJ45" s="579"/>
      <c r="OHK45" s="579"/>
      <c r="OHL45" s="579"/>
      <c r="OHM45" s="579"/>
      <c r="OHN45" s="579"/>
      <c r="OHO45" s="579"/>
      <c r="OHP45" s="579"/>
      <c r="OHQ45" s="579"/>
      <c r="OHR45" s="579"/>
      <c r="OHS45" s="579"/>
      <c r="OHT45" s="579"/>
      <c r="OHU45" s="579"/>
      <c r="OHV45" s="579"/>
      <c r="OHW45" s="579"/>
      <c r="OHX45" s="579"/>
      <c r="OHY45" s="579"/>
      <c r="OHZ45" s="579"/>
      <c r="OIA45" s="579"/>
      <c r="OIB45" s="579"/>
      <c r="OIC45" s="579"/>
      <c r="OID45" s="579"/>
      <c r="OIE45" s="579"/>
      <c r="OIF45" s="579"/>
      <c r="OIG45" s="579"/>
      <c r="OIH45" s="579"/>
      <c r="OII45" s="579"/>
      <c r="OIJ45" s="579"/>
      <c r="OIK45" s="579"/>
      <c r="OIL45" s="579"/>
      <c r="OIM45" s="579"/>
      <c r="OIN45" s="579"/>
      <c r="OIO45" s="579"/>
      <c r="OIP45" s="579"/>
      <c r="OIQ45" s="579"/>
      <c r="OIR45" s="579"/>
      <c r="OIS45" s="579"/>
      <c r="OIT45" s="579"/>
      <c r="OIU45" s="579"/>
      <c r="OIV45" s="579"/>
      <c r="OIW45" s="579"/>
      <c r="OIX45" s="579"/>
      <c r="OIY45" s="579"/>
      <c r="OIZ45" s="579"/>
      <c r="OJA45" s="579"/>
      <c r="OJB45" s="579"/>
      <c r="OJC45" s="579"/>
      <c r="OJD45" s="579"/>
      <c r="OJE45" s="579"/>
      <c r="OJF45" s="579"/>
      <c r="OJG45" s="579"/>
      <c r="OJH45" s="579"/>
      <c r="OJI45" s="579"/>
      <c r="OJJ45" s="579"/>
      <c r="OJK45" s="579"/>
      <c r="OJL45" s="579"/>
      <c r="OJM45" s="579"/>
      <c r="OJN45" s="579"/>
      <c r="OJO45" s="579"/>
      <c r="OJP45" s="579"/>
      <c r="OJQ45" s="579"/>
      <c r="OJR45" s="579"/>
      <c r="OJS45" s="579"/>
      <c r="OJT45" s="579"/>
      <c r="OJU45" s="579"/>
      <c r="OJV45" s="579"/>
      <c r="OJW45" s="579"/>
      <c r="OJX45" s="579"/>
      <c r="OJY45" s="579"/>
      <c r="OJZ45" s="579"/>
      <c r="OKA45" s="579"/>
      <c r="OKB45" s="579"/>
      <c r="OKC45" s="579"/>
      <c r="OKD45" s="579"/>
      <c r="OKE45" s="579"/>
      <c r="OKF45" s="579"/>
      <c r="OKG45" s="579"/>
      <c r="OKH45" s="579"/>
      <c r="OKI45" s="579"/>
      <c r="OKJ45" s="579"/>
      <c r="OKK45" s="579"/>
      <c r="OKL45" s="579"/>
      <c r="OKM45" s="579"/>
      <c r="OKN45" s="579"/>
      <c r="OKO45" s="579"/>
      <c r="OKP45" s="579"/>
      <c r="OKQ45" s="579"/>
      <c r="OKR45" s="579"/>
      <c r="OKS45" s="579"/>
      <c r="OKT45" s="579"/>
      <c r="OKU45" s="579"/>
      <c r="OKV45" s="579"/>
      <c r="OKW45" s="579"/>
      <c r="OKX45" s="579"/>
      <c r="OKY45" s="579"/>
      <c r="OKZ45" s="579"/>
      <c r="OLA45" s="579"/>
      <c r="OLB45" s="579"/>
      <c r="OLC45" s="579"/>
      <c r="OLD45" s="579"/>
      <c r="OLE45" s="579"/>
      <c r="OLF45" s="579"/>
      <c r="OLG45" s="579"/>
      <c r="OLH45" s="579"/>
      <c r="OLI45" s="579"/>
      <c r="OLJ45" s="579"/>
      <c r="OLK45" s="579"/>
      <c r="OLL45" s="579"/>
      <c r="OLM45" s="579"/>
      <c r="OLN45" s="579"/>
      <c r="OLO45" s="579"/>
      <c r="OLP45" s="579"/>
      <c r="OLQ45" s="579"/>
      <c r="OLR45" s="579"/>
      <c r="OLS45" s="579"/>
      <c r="OLT45" s="579"/>
      <c r="OLU45" s="579"/>
      <c r="OLV45" s="579"/>
      <c r="OLW45" s="579"/>
      <c r="OLX45" s="579"/>
      <c r="OLY45" s="579"/>
      <c r="OLZ45" s="579"/>
      <c r="OMA45" s="579"/>
      <c r="OMB45" s="579"/>
      <c r="OMC45" s="579"/>
      <c r="OMD45" s="579"/>
      <c r="OME45" s="579"/>
      <c r="OMF45" s="579"/>
      <c r="OMG45" s="579"/>
      <c r="OMH45" s="579"/>
      <c r="OMI45" s="579"/>
      <c r="OMJ45" s="579"/>
      <c r="OMK45" s="579"/>
      <c r="OML45" s="579"/>
      <c r="OMM45" s="579"/>
      <c r="OMN45" s="579"/>
      <c r="OMO45" s="579"/>
      <c r="OMP45" s="579"/>
      <c r="OMQ45" s="579"/>
      <c r="OMR45" s="579"/>
      <c r="OMS45" s="579"/>
      <c r="OMT45" s="579"/>
      <c r="OMU45" s="579"/>
      <c r="OMV45" s="579"/>
      <c r="OMW45" s="579"/>
      <c r="OMX45" s="579"/>
      <c r="OMY45" s="579"/>
      <c r="OMZ45" s="579"/>
      <c r="ONA45" s="579"/>
      <c r="ONB45" s="579"/>
      <c r="ONC45" s="579"/>
      <c r="OND45" s="579"/>
      <c r="ONE45" s="579"/>
      <c r="ONF45" s="579"/>
      <c r="ONG45" s="579"/>
      <c r="ONH45" s="579"/>
      <c r="ONI45" s="579"/>
      <c r="ONJ45" s="579"/>
      <c r="ONK45" s="579"/>
      <c r="ONL45" s="579"/>
      <c r="ONM45" s="579"/>
      <c r="ONN45" s="579"/>
      <c r="ONO45" s="579"/>
      <c r="ONP45" s="579"/>
      <c r="ONQ45" s="579"/>
      <c r="ONR45" s="579"/>
      <c r="ONS45" s="579"/>
      <c r="ONT45" s="579"/>
      <c r="ONU45" s="579"/>
      <c r="ONV45" s="579"/>
      <c r="ONW45" s="579"/>
      <c r="ONX45" s="579"/>
      <c r="ONY45" s="579"/>
      <c r="ONZ45" s="579"/>
      <c r="OOA45" s="579"/>
      <c r="OOB45" s="579"/>
      <c r="OOC45" s="579"/>
      <c r="OOD45" s="579"/>
      <c r="OOE45" s="579"/>
      <c r="OOF45" s="579"/>
      <c r="OOG45" s="579"/>
      <c r="OOH45" s="579"/>
      <c r="OOI45" s="579"/>
      <c r="OOJ45" s="579"/>
      <c r="OOK45" s="579"/>
      <c r="OOL45" s="579"/>
      <c r="OOM45" s="579"/>
      <c r="OON45" s="579"/>
      <c r="OOO45" s="579"/>
      <c r="OOP45" s="579"/>
      <c r="OOQ45" s="579"/>
      <c r="OOR45" s="579"/>
      <c r="OOS45" s="579"/>
      <c r="OOT45" s="579"/>
      <c r="OOU45" s="579"/>
      <c r="OOV45" s="579"/>
      <c r="OOW45" s="579"/>
      <c r="OOX45" s="579"/>
      <c r="OOY45" s="579"/>
      <c r="OOZ45" s="579"/>
      <c r="OPA45" s="579"/>
      <c r="OPB45" s="579"/>
      <c r="OPC45" s="579"/>
      <c r="OPD45" s="579"/>
      <c r="OPE45" s="579"/>
      <c r="OPF45" s="579"/>
      <c r="OPG45" s="579"/>
      <c r="OPH45" s="579"/>
      <c r="OPI45" s="579"/>
      <c r="OPJ45" s="579"/>
      <c r="OPK45" s="579"/>
      <c r="OPL45" s="579"/>
      <c r="OPM45" s="579"/>
      <c r="OPN45" s="579"/>
      <c r="OPO45" s="579"/>
      <c r="OPP45" s="579"/>
      <c r="OPQ45" s="579"/>
      <c r="OPR45" s="579"/>
      <c r="OPS45" s="579"/>
      <c r="OPT45" s="579"/>
      <c r="OPU45" s="579"/>
      <c r="OPV45" s="579"/>
      <c r="OPW45" s="579"/>
      <c r="OPX45" s="579"/>
      <c r="OPY45" s="579"/>
      <c r="OPZ45" s="579"/>
      <c r="OQA45" s="579"/>
      <c r="OQB45" s="579"/>
      <c r="OQC45" s="579"/>
      <c r="OQD45" s="579"/>
      <c r="OQE45" s="579"/>
      <c r="OQF45" s="579"/>
      <c r="OQG45" s="579"/>
      <c r="OQH45" s="579"/>
      <c r="OQI45" s="579"/>
      <c r="OQJ45" s="579"/>
      <c r="OQK45" s="579"/>
      <c r="OQL45" s="579"/>
      <c r="OQM45" s="579"/>
      <c r="OQN45" s="579"/>
      <c r="OQO45" s="579"/>
      <c r="OQP45" s="579"/>
      <c r="OQQ45" s="579"/>
      <c r="OQR45" s="579"/>
      <c r="OQS45" s="579"/>
      <c r="OQT45" s="579"/>
      <c r="OQU45" s="579"/>
      <c r="OQV45" s="579"/>
      <c r="OQW45" s="579"/>
      <c r="OQX45" s="579"/>
      <c r="OQY45" s="579"/>
      <c r="OQZ45" s="579"/>
      <c r="ORA45" s="579"/>
      <c r="ORB45" s="579"/>
      <c r="ORC45" s="579"/>
      <c r="ORD45" s="579"/>
      <c r="ORE45" s="579"/>
      <c r="ORF45" s="579"/>
      <c r="ORG45" s="579"/>
      <c r="ORH45" s="579"/>
      <c r="ORI45" s="579"/>
      <c r="ORJ45" s="579"/>
      <c r="ORK45" s="579"/>
      <c r="ORL45" s="579"/>
      <c r="ORM45" s="579"/>
      <c r="ORN45" s="579"/>
      <c r="ORO45" s="579"/>
      <c r="ORP45" s="579"/>
      <c r="ORQ45" s="579"/>
      <c r="ORR45" s="579"/>
      <c r="ORS45" s="579"/>
      <c r="ORT45" s="579"/>
      <c r="ORU45" s="579"/>
      <c r="ORV45" s="579"/>
      <c r="ORW45" s="579"/>
      <c r="ORX45" s="579"/>
      <c r="ORY45" s="579"/>
      <c r="ORZ45" s="579"/>
      <c r="OSA45" s="579"/>
      <c r="OSB45" s="579"/>
      <c r="OSC45" s="579"/>
      <c r="OSD45" s="579"/>
      <c r="OSE45" s="579"/>
      <c r="OSF45" s="579"/>
      <c r="OSG45" s="579"/>
      <c r="OSH45" s="579"/>
      <c r="OSI45" s="579"/>
      <c r="OSJ45" s="579"/>
      <c r="OSK45" s="579"/>
      <c r="OSL45" s="579"/>
      <c r="OSM45" s="579"/>
      <c r="OSN45" s="579"/>
      <c r="OSO45" s="579"/>
      <c r="OSP45" s="579"/>
      <c r="OSQ45" s="579"/>
      <c r="OSR45" s="579"/>
      <c r="OSS45" s="579"/>
      <c r="OST45" s="579"/>
      <c r="OSU45" s="579"/>
      <c r="OSV45" s="579"/>
      <c r="OSW45" s="579"/>
      <c r="OSX45" s="579"/>
      <c r="OSY45" s="579"/>
      <c r="OSZ45" s="579"/>
      <c r="OTA45" s="579"/>
      <c r="OTB45" s="579"/>
      <c r="OTC45" s="579"/>
      <c r="OTD45" s="579"/>
      <c r="OTE45" s="579"/>
      <c r="OTF45" s="579"/>
      <c r="OTG45" s="579"/>
      <c r="OTH45" s="579"/>
      <c r="OTI45" s="579"/>
      <c r="OTJ45" s="579"/>
      <c r="OTK45" s="579"/>
      <c r="OTL45" s="579"/>
      <c r="OTM45" s="579"/>
      <c r="OTN45" s="579"/>
      <c r="OTO45" s="579"/>
      <c r="OTP45" s="579"/>
      <c r="OTQ45" s="579"/>
      <c r="OTR45" s="579"/>
      <c r="OTS45" s="579"/>
      <c r="OTT45" s="579"/>
      <c r="OTU45" s="579"/>
      <c r="OTV45" s="579"/>
      <c r="OTW45" s="579"/>
      <c r="OTX45" s="579"/>
      <c r="OTY45" s="579"/>
      <c r="OTZ45" s="579"/>
      <c r="OUA45" s="579"/>
      <c r="OUB45" s="579"/>
      <c r="OUC45" s="579"/>
      <c r="OUD45" s="579"/>
      <c r="OUE45" s="579"/>
      <c r="OUF45" s="579"/>
      <c r="OUG45" s="579"/>
      <c r="OUH45" s="579"/>
      <c r="OUI45" s="579"/>
      <c r="OUJ45" s="579"/>
      <c r="OUK45" s="579"/>
      <c r="OUL45" s="579"/>
      <c r="OUM45" s="579"/>
      <c r="OUN45" s="579"/>
      <c r="OUO45" s="579"/>
      <c r="OUP45" s="579"/>
      <c r="OUQ45" s="579"/>
      <c r="OUR45" s="579"/>
      <c r="OUS45" s="579"/>
      <c r="OUT45" s="579"/>
      <c r="OUU45" s="579"/>
      <c r="OUV45" s="579"/>
      <c r="OUW45" s="579"/>
      <c r="OUX45" s="579"/>
      <c r="OUY45" s="579"/>
      <c r="OUZ45" s="579"/>
      <c r="OVA45" s="579"/>
      <c r="OVB45" s="579"/>
      <c r="OVC45" s="579"/>
      <c r="OVD45" s="579"/>
      <c r="OVE45" s="579"/>
      <c r="OVF45" s="579"/>
      <c r="OVG45" s="579"/>
      <c r="OVH45" s="579"/>
      <c r="OVI45" s="579"/>
      <c r="OVJ45" s="579"/>
      <c r="OVK45" s="579"/>
      <c r="OVL45" s="579"/>
      <c r="OVM45" s="579"/>
      <c r="OVN45" s="579"/>
      <c r="OVO45" s="579"/>
      <c r="OVP45" s="579"/>
      <c r="OVQ45" s="579"/>
      <c r="OVR45" s="579"/>
      <c r="OVS45" s="579"/>
      <c r="OVT45" s="579"/>
      <c r="OVU45" s="579"/>
      <c r="OVV45" s="579"/>
      <c r="OVW45" s="579"/>
      <c r="OVX45" s="579"/>
      <c r="OVY45" s="579"/>
      <c r="OVZ45" s="579"/>
      <c r="OWA45" s="579"/>
      <c r="OWB45" s="579"/>
      <c r="OWC45" s="579"/>
      <c r="OWD45" s="579"/>
      <c r="OWE45" s="579"/>
      <c r="OWF45" s="579"/>
      <c r="OWG45" s="579"/>
      <c r="OWH45" s="579"/>
      <c r="OWI45" s="579"/>
      <c r="OWJ45" s="579"/>
      <c r="OWK45" s="579"/>
      <c r="OWL45" s="579"/>
      <c r="OWM45" s="579"/>
      <c r="OWN45" s="579"/>
      <c r="OWO45" s="579"/>
      <c r="OWP45" s="579"/>
      <c r="OWQ45" s="579"/>
      <c r="OWR45" s="579"/>
      <c r="OWS45" s="579"/>
      <c r="OWT45" s="579"/>
      <c r="OWU45" s="579"/>
      <c r="OWV45" s="579"/>
      <c r="OWW45" s="579"/>
      <c r="OWX45" s="579"/>
      <c r="OWY45" s="579"/>
      <c r="OWZ45" s="579"/>
      <c r="OXA45" s="579"/>
      <c r="OXB45" s="579"/>
      <c r="OXC45" s="579"/>
      <c r="OXD45" s="579"/>
      <c r="OXE45" s="579"/>
      <c r="OXF45" s="579"/>
      <c r="OXG45" s="579"/>
      <c r="OXH45" s="579"/>
      <c r="OXI45" s="579"/>
      <c r="OXJ45" s="579"/>
      <c r="OXK45" s="579"/>
      <c r="OXL45" s="579"/>
      <c r="OXM45" s="579"/>
      <c r="OXN45" s="579"/>
      <c r="OXO45" s="579"/>
      <c r="OXP45" s="579"/>
      <c r="OXQ45" s="579"/>
      <c r="OXR45" s="579"/>
      <c r="OXS45" s="579"/>
      <c r="OXT45" s="579"/>
      <c r="OXU45" s="579"/>
      <c r="OXV45" s="579"/>
      <c r="OXW45" s="579"/>
      <c r="OXX45" s="579"/>
      <c r="OXY45" s="579"/>
      <c r="OXZ45" s="579"/>
      <c r="OYA45" s="579"/>
      <c r="OYB45" s="579"/>
      <c r="OYC45" s="579"/>
      <c r="OYD45" s="579"/>
      <c r="OYE45" s="579"/>
      <c r="OYF45" s="579"/>
      <c r="OYG45" s="579"/>
      <c r="OYH45" s="579"/>
      <c r="OYI45" s="579"/>
      <c r="OYJ45" s="579"/>
      <c r="OYK45" s="579"/>
      <c r="OYL45" s="579"/>
      <c r="OYM45" s="579"/>
      <c r="OYN45" s="579"/>
      <c r="OYO45" s="579"/>
      <c r="OYP45" s="579"/>
      <c r="OYQ45" s="579"/>
      <c r="OYR45" s="579"/>
      <c r="OYS45" s="579"/>
      <c r="OYT45" s="579"/>
      <c r="OYU45" s="579"/>
      <c r="OYV45" s="579"/>
      <c r="OYW45" s="579"/>
      <c r="OYX45" s="579"/>
      <c r="OYY45" s="579"/>
      <c r="OYZ45" s="579"/>
      <c r="OZA45" s="579"/>
      <c r="OZB45" s="579"/>
      <c r="OZC45" s="579"/>
      <c r="OZD45" s="579"/>
      <c r="OZE45" s="579"/>
      <c r="OZF45" s="579"/>
      <c r="OZG45" s="579"/>
      <c r="OZH45" s="579"/>
      <c r="OZI45" s="579"/>
      <c r="OZJ45" s="579"/>
      <c r="OZK45" s="579"/>
      <c r="OZL45" s="579"/>
      <c r="OZM45" s="579"/>
      <c r="OZN45" s="579"/>
      <c r="OZO45" s="579"/>
      <c r="OZP45" s="579"/>
      <c r="OZQ45" s="579"/>
      <c r="OZR45" s="579"/>
      <c r="OZS45" s="579"/>
      <c r="OZT45" s="579"/>
      <c r="OZU45" s="579"/>
      <c r="OZV45" s="579"/>
      <c r="OZW45" s="579"/>
      <c r="OZX45" s="579"/>
      <c r="OZY45" s="579"/>
      <c r="OZZ45" s="579"/>
      <c r="PAA45" s="579"/>
      <c r="PAB45" s="579"/>
      <c r="PAC45" s="579"/>
      <c r="PAD45" s="579"/>
      <c r="PAE45" s="579"/>
      <c r="PAF45" s="579"/>
      <c r="PAG45" s="579"/>
      <c r="PAH45" s="579"/>
      <c r="PAI45" s="579"/>
      <c r="PAJ45" s="579"/>
      <c r="PAK45" s="579"/>
      <c r="PAL45" s="579"/>
      <c r="PAM45" s="579"/>
      <c r="PAN45" s="579"/>
      <c r="PAO45" s="579"/>
      <c r="PAP45" s="579"/>
      <c r="PAQ45" s="579"/>
      <c r="PAR45" s="579"/>
      <c r="PAS45" s="579"/>
      <c r="PAT45" s="579"/>
      <c r="PAU45" s="579"/>
      <c r="PAV45" s="579"/>
      <c r="PAW45" s="579"/>
      <c r="PAX45" s="579"/>
      <c r="PAY45" s="579"/>
      <c r="PAZ45" s="579"/>
      <c r="PBA45" s="579"/>
      <c r="PBB45" s="579"/>
      <c r="PBC45" s="579"/>
      <c r="PBD45" s="579"/>
      <c r="PBE45" s="579"/>
      <c r="PBF45" s="579"/>
      <c r="PBG45" s="579"/>
      <c r="PBH45" s="579"/>
      <c r="PBI45" s="579"/>
      <c r="PBJ45" s="579"/>
      <c r="PBK45" s="579"/>
      <c r="PBL45" s="579"/>
      <c r="PBM45" s="579"/>
      <c r="PBN45" s="579"/>
      <c r="PBO45" s="579"/>
      <c r="PBP45" s="579"/>
      <c r="PBQ45" s="579"/>
      <c r="PBR45" s="579"/>
      <c r="PBS45" s="579"/>
      <c r="PBT45" s="579"/>
      <c r="PBU45" s="579"/>
      <c r="PBV45" s="579"/>
      <c r="PBW45" s="579"/>
      <c r="PBX45" s="579"/>
      <c r="PBY45" s="579"/>
      <c r="PBZ45" s="579"/>
      <c r="PCA45" s="579"/>
      <c r="PCB45" s="579"/>
      <c r="PCC45" s="579"/>
      <c r="PCD45" s="579"/>
      <c r="PCE45" s="579"/>
      <c r="PCF45" s="579"/>
      <c r="PCG45" s="579"/>
      <c r="PCH45" s="579"/>
      <c r="PCI45" s="579"/>
      <c r="PCJ45" s="579"/>
      <c r="PCK45" s="579"/>
      <c r="PCL45" s="579"/>
      <c r="PCM45" s="579"/>
      <c r="PCN45" s="579"/>
      <c r="PCO45" s="579"/>
      <c r="PCP45" s="579"/>
      <c r="PCQ45" s="579"/>
      <c r="PCR45" s="579"/>
      <c r="PCS45" s="579"/>
      <c r="PCT45" s="579"/>
      <c r="PCU45" s="579"/>
      <c r="PCV45" s="579"/>
      <c r="PCW45" s="579"/>
      <c r="PCX45" s="579"/>
      <c r="PCY45" s="579"/>
      <c r="PCZ45" s="579"/>
      <c r="PDA45" s="579"/>
      <c r="PDB45" s="579"/>
      <c r="PDC45" s="579"/>
      <c r="PDD45" s="579"/>
      <c r="PDE45" s="579"/>
      <c r="PDF45" s="579"/>
      <c r="PDG45" s="579"/>
      <c r="PDH45" s="579"/>
      <c r="PDI45" s="579"/>
      <c r="PDJ45" s="579"/>
      <c r="PDK45" s="579"/>
      <c r="PDL45" s="579"/>
      <c r="PDM45" s="579"/>
      <c r="PDN45" s="579"/>
      <c r="PDO45" s="579"/>
      <c r="PDP45" s="579"/>
      <c r="PDQ45" s="579"/>
      <c r="PDR45" s="579"/>
      <c r="PDS45" s="579"/>
      <c r="PDT45" s="579"/>
      <c r="PDU45" s="579"/>
      <c r="PDV45" s="579"/>
      <c r="PDW45" s="579"/>
      <c r="PDX45" s="579"/>
      <c r="PDY45" s="579"/>
      <c r="PDZ45" s="579"/>
      <c r="PEA45" s="579"/>
      <c r="PEB45" s="579"/>
      <c r="PEC45" s="579"/>
      <c r="PED45" s="579"/>
      <c r="PEE45" s="579"/>
      <c r="PEF45" s="579"/>
      <c r="PEG45" s="579"/>
      <c r="PEH45" s="579"/>
      <c r="PEI45" s="579"/>
      <c r="PEJ45" s="579"/>
      <c r="PEK45" s="579"/>
      <c r="PEL45" s="579"/>
      <c r="PEM45" s="579"/>
      <c r="PEN45" s="579"/>
      <c r="PEO45" s="579"/>
      <c r="PEP45" s="579"/>
      <c r="PEQ45" s="579"/>
      <c r="PER45" s="579"/>
      <c r="PES45" s="579"/>
      <c r="PET45" s="579"/>
      <c r="PEU45" s="579"/>
      <c r="PEV45" s="579"/>
      <c r="PEW45" s="579"/>
      <c r="PEX45" s="579"/>
      <c r="PEY45" s="579"/>
      <c r="PEZ45" s="579"/>
      <c r="PFA45" s="579"/>
      <c r="PFB45" s="579"/>
      <c r="PFC45" s="579"/>
      <c r="PFD45" s="579"/>
      <c r="PFE45" s="579"/>
      <c r="PFF45" s="579"/>
      <c r="PFG45" s="579"/>
      <c r="PFH45" s="579"/>
      <c r="PFI45" s="579"/>
      <c r="PFJ45" s="579"/>
      <c r="PFK45" s="579"/>
      <c r="PFL45" s="579"/>
      <c r="PFM45" s="579"/>
      <c r="PFN45" s="579"/>
      <c r="PFO45" s="579"/>
      <c r="PFP45" s="579"/>
      <c r="PFQ45" s="579"/>
      <c r="PFR45" s="579"/>
      <c r="PFS45" s="579"/>
      <c r="PFT45" s="579"/>
      <c r="PFU45" s="579"/>
      <c r="PFV45" s="579"/>
      <c r="PFW45" s="579"/>
      <c r="PFX45" s="579"/>
      <c r="PFY45" s="579"/>
      <c r="PFZ45" s="579"/>
      <c r="PGA45" s="579"/>
      <c r="PGB45" s="579"/>
      <c r="PGC45" s="579"/>
      <c r="PGD45" s="579"/>
      <c r="PGE45" s="579"/>
      <c r="PGF45" s="579"/>
      <c r="PGG45" s="579"/>
      <c r="PGH45" s="579"/>
      <c r="PGI45" s="579"/>
      <c r="PGJ45" s="579"/>
      <c r="PGK45" s="579"/>
      <c r="PGL45" s="579"/>
      <c r="PGM45" s="579"/>
      <c r="PGN45" s="579"/>
      <c r="PGO45" s="579"/>
      <c r="PGP45" s="579"/>
      <c r="PGQ45" s="579"/>
      <c r="PGR45" s="579"/>
      <c r="PGS45" s="579"/>
      <c r="PGT45" s="579"/>
      <c r="PGU45" s="579"/>
      <c r="PGV45" s="579"/>
      <c r="PGW45" s="579"/>
      <c r="PGX45" s="579"/>
      <c r="PGY45" s="579"/>
      <c r="PGZ45" s="579"/>
      <c r="PHA45" s="579"/>
      <c r="PHB45" s="579"/>
      <c r="PHC45" s="579"/>
      <c r="PHD45" s="579"/>
      <c r="PHE45" s="579"/>
      <c r="PHF45" s="579"/>
      <c r="PHG45" s="579"/>
      <c r="PHH45" s="579"/>
      <c r="PHI45" s="579"/>
      <c r="PHJ45" s="579"/>
      <c r="PHK45" s="579"/>
      <c r="PHL45" s="579"/>
      <c r="PHM45" s="579"/>
      <c r="PHN45" s="579"/>
      <c r="PHO45" s="579"/>
      <c r="PHP45" s="579"/>
      <c r="PHQ45" s="579"/>
      <c r="PHR45" s="579"/>
      <c r="PHS45" s="579"/>
      <c r="PHT45" s="579"/>
      <c r="PHU45" s="579"/>
      <c r="PHV45" s="579"/>
      <c r="PHW45" s="579"/>
      <c r="PHX45" s="579"/>
      <c r="PHY45" s="579"/>
      <c r="PHZ45" s="579"/>
      <c r="PIA45" s="579"/>
      <c r="PIB45" s="579"/>
      <c r="PIC45" s="579"/>
      <c r="PID45" s="579"/>
      <c r="PIE45" s="579"/>
      <c r="PIF45" s="579"/>
      <c r="PIG45" s="579"/>
      <c r="PIH45" s="579"/>
      <c r="PII45" s="579"/>
      <c r="PIJ45" s="579"/>
      <c r="PIK45" s="579"/>
      <c r="PIL45" s="579"/>
      <c r="PIM45" s="579"/>
      <c r="PIN45" s="579"/>
      <c r="PIO45" s="579"/>
      <c r="PIP45" s="579"/>
      <c r="PIQ45" s="579"/>
      <c r="PIR45" s="579"/>
      <c r="PIS45" s="579"/>
      <c r="PIT45" s="579"/>
      <c r="PIU45" s="579"/>
      <c r="PIV45" s="579"/>
      <c r="PIW45" s="579"/>
      <c r="PIX45" s="579"/>
      <c r="PIY45" s="579"/>
      <c r="PIZ45" s="579"/>
      <c r="PJA45" s="579"/>
      <c r="PJB45" s="579"/>
      <c r="PJC45" s="579"/>
      <c r="PJD45" s="579"/>
      <c r="PJE45" s="579"/>
      <c r="PJF45" s="579"/>
      <c r="PJG45" s="579"/>
      <c r="PJH45" s="579"/>
      <c r="PJI45" s="579"/>
      <c r="PJJ45" s="579"/>
      <c r="PJK45" s="579"/>
      <c r="PJL45" s="579"/>
      <c r="PJM45" s="579"/>
      <c r="PJN45" s="579"/>
      <c r="PJO45" s="579"/>
      <c r="PJP45" s="579"/>
      <c r="PJQ45" s="579"/>
      <c r="PJR45" s="579"/>
      <c r="PJS45" s="579"/>
      <c r="PJT45" s="579"/>
      <c r="PJU45" s="579"/>
      <c r="PJV45" s="579"/>
      <c r="PJW45" s="579"/>
      <c r="PJX45" s="579"/>
      <c r="PJY45" s="579"/>
      <c r="PJZ45" s="579"/>
      <c r="PKA45" s="579"/>
      <c r="PKB45" s="579"/>
      <c r="PKC45" s="579"/>
      <c r="PKD45" s="579"/>
      <c r="PKE45" s="579"/>
      <c r="PKF45" s="579"/>
      <c r="PKG45" s="579"/>
      <c r="PKH45" s="579"/>
      <c r="PKI45" s="579"/>
      <c r="PKJ45" s="579"/>
      <c r="PKK45" s="579"/>
      <c r="PKL45" s="579"/>
      <c r="PKM45" s="579"/>
      <c r="PKN45" s="579"/>
      <c r="PKO45" s="579"/>
      <c r="PKP45" s="579"/>
      <c r="PKQ45" s="579"/>
      <c r="PKR45" s="579"/>
      <c r="PKS45" s="579"/>
      <c r="PKT45" s="579"/>
      <c r="PKU45" s="579"/>
      <c r="PKV45" s="579"/>
      <c r="PKW45" s="579"/>
      <c r="PKX45" s="579"/>
      <c r="PKY45" s="579"/>
      <c r="PKZ45" s="579"/>
      <c r="PLA45" s="579"/>
      <c r="PLB45" s="579"/>
      <c r="PLC45" s="579"/>
      <c r="PLD45" s="579"/>
      <c r="PLE45" s="579"/>
      <c r="PLF45" s="579"/>
      <c r="PLG45" s="579"/>
      <c r="PLH45" s="579"/>
      <c r="PLI45" s="579"/>
      <c r="PLJ45" s="579"/>
      <c r="PLK45" s="579"/>
      <c r="PLL45" s="579"/>
      <c r="PLM45" s="579"/>
      <c r="PLN45" s="579"/>
      <c r="PLO45" s="579"/>
      <c r="PLP45" s="579"/>
      <c r="PLQ45" s="579"/>
      <c r="PLR45" s="579"/>
      <c r="PLS45" s="579"/>
      <c r="PLT45" s="579"/>
      <c r="PLU45" s="579"/>
      <c r="PLV45" s="579"/>
      <c r="PLW45" s="579"/>
      <c r="PLX45" s="579"/>
      <c r="PLY45" s="579"/>
      <c r="PLZ45" s="579"/>
      <c r="PMA45" s="579"/>
      <c r="PMB45" s="579"/>
      <c r="PMC45" s="579"/>
      <c r="PMD45" s="579"/>
      <c r="PME45" s="579"/>
      <c r="PMF45" s="579"/>
      <c r="PMG45" s="579"/>
      <c r="PMH45" s="579"/>
      <c r="PMI45" s="579"/>
      <c r="PMJ45" s="579"/>
      <c r="PMK45" s="579"/>
      <c r="PML45" s="579"/>
      <c r="PMM45" s="579"/>
      <c r="PMN45" s="579"/>
      <c r="PMO45" s="579"/>
      <c r="PMP45" s="579"/>
      <c r="PMQ45" s="579"/>
      <c r="PMR45" s="579"/>
      <c r="PMS45" s="579"/>
      <c r="PMT45" s="579"/>
      <c r="PMU45" s="579"/>
      <c r="PMV45" s="579"/>
      <c r="PMW45" s="579"/>
      <c r="PMX45" s="579"/>
      <c r="PMY45" s="579"/>
      <c r="PMZ45" s="579"/>
      <c r="PNA45" s="579"/>
      <c r="PNB45" s="579"/>
      <c r="PNC45" s="579"/>
      <c r="PND45" s="579"/>
      <c r="PNE45" s="579"/>
      <c r="PNF45" s="579"/>
      <c r="PNG45" s="579"/>
      <c r="PNH45" s="579"/>
      <c r="PNI45" s="579"/>
      <c r="PNJ45" s="579"/>
      <c r="PNK45" s="579"/>
      <c r="PNL45" s="579"/>
      <c r="PNM45" s="579"/>
      <c r="PNN45" s="579"/>
      <c r="PNO45" s="579"/>
      <c r="PNP45" s="579"/>
      <c r="PNQ45" s="579"/>
      <c r="PNR45" s="579"/>
      <c r="PNS45" s="579"/>
      <c r="PNT45" s="579"/>
      <c r="PNU45" s="579"/>
      <c r="PNV45" s="579"/>
      <c r="PNW45" s="579"/>
      <c r="PNX45" s="579"/>
      <c r="PNY45" s="579"/>
      <c r="PNZ45" s="579"/>
      <c r="POA45" s="579"/>
      <c r="POB45" s="579"/>
      <c r="POC45" s="579"/>
      <c r="POD45" s="579"/>
      <c r="POE45" s="579"/>
      <c r="POF45" s="579"/>
      <c r="POG45" s="579"/>
      <c r="POH45" s="579"/>
      <c r="POI45" s="579"/>
      <c r="POJ45" s="579"/>
      <c r="POK45" s="579"/>
      <c r="POL45" s="579"/>
      <c r="POM45" s="579"/>
      <c r="PON45" s="579"/>
      <c r="POO45" s="579"/>
      <c r="POP45" s="579"/>
      <c r="POQ45" s="579"/>
      <c r="POR45" s="579"/>
      <c r="POS45" s="579"/>
      <c r="POT45" s="579"/>
      <c r="POU45" s="579"/>
      <c r="POV45" s="579"/>
      <c r="POW45" s="579"/>
      <c r="POX45" s="579"/>
      <c r="POY45" s="579"/>
      <c r="POZ45" s="579"/>
      <c r="PPA45" s="579"/>
      <c r="PPB45" s="579"/>
      <c r="PPC45" s="579"/>
      <c r="PPD45" s="579"/>
      <c r="PPE45" s="579"/>
      <c r="PPF45" s="579"/>
      <c r="PPG45" s="579"/>
      <c r="PPH45" s="579"/>
      <c r="PPI45" s="579"/>
      <c r="PPJ45" s="579"/>
      <c r="PPK45" s="579"/>
      <c r="PPL45" s="579"/>
      <c r="PPM45" s="579"/>
      <c r="PPN45" s="579"/>
      <c r="PPO45" s="579"/>
      <c r="PPP45" s="579"/>
      <c r="PPQ45" s="579"/>
      <c r="PPR45" s="579"/>
      <c r="PPS45" s="579"/>
      <c r="PPT45" s="579"/>
      <c r="PPU45" s="579"/>
      <c r="PPV45" s="579"/>
      <c r="PPW45" s="579"/>
      <c r="PPX45" s="579"/>
      <c r="PPY45" s="579"/>
      <c r="PPZ45" s="579"/>
      <c r="PQA45" s="579"/>
      <c r="PQB45" s="579"/>
      <c r="PQC45" s="579"/>
      <c r="PQD45" s="579"/>
      <c r="PQE45" s="579"/>
      <c r="PQF45" s="579"/>
      <c r="PQG45" s="579"/>
      <c r="PQH45" s="579"/>
      <c r="PQI45" s="579"/>
      <c r="PQJ45" s="579"/>
      <c r="PQK45" s="579"/>
      <c r="PQL45" s="579"/>
      <c r="PQM45" s="579"/>
      <c r="PQN45" s="579"/>
      <c r="PQO45" s="579"/>
      <c r="PQP45" s="579"/>
      <c r="PQQ45" s="579"/>
      <c r="PQR45" s="579"/>
      <c r="PQS45" s="579"/>
      <c r="PQT45" s="579"/>
      <c r="PQU45" s="579"/>
      <c r="PQV45" s="579"/>
      <c r="PQW45" s="579"/>
      <c r="PQX45" s="579"/>
      <c r="PQY45" s="579"/>
      <c r="PQZ45" s="579"/>
      <c r="PRA45" s="579"/>
      <c r="PRB45" s="579"/>
      <c r="PRC45" s="579"/>
      <c r="PRD45" s="579"/>
      <c r="PRE45" s="579"/>
      <c r="PRF45" s="579"/>
      <c r="PRG45" s="579"/>
      <c r="PRH45" s="579"/>
      <c r="PRI45" s="579"/>
      <c r="PRJ45" s="579"/>
      <c r="PRK45" s="579"/>
      <c r="PRL45" s="579"/>
      <c r="PRM45" s="579"/>
      <c r="PRN45" s="579"/>
      <c r="PRO45" s="579"/>
      <c r="PRP45" s="579"/>
      <c r="PRQ45" s="579"/>
      <c r="PRR45" s="579"/>
      <c r="PRS45" s="579"/>
      <c r="PRT45" s="579"/>
      <c r="PRU45" s="579"/>
      <c r="PRV45" s="579"/>
      <c r="PRW45" s="579"/>
      <c r="PRX45" s="579"/>
      <c r="PRY45" s="579"/>
      <c r="PRZ45" s="579"/>
      <c r="PSA45" s="579"/>
      <c r="PSB45" s="579"/>
      <c r="PSC45" s="579"/>
      <c r="PSD45" s="579"/>
      <c r="PSE45" s="579"/>
      <c r="PSF45" s="579"/>
      <c r="PSG45" s="579"/>
      <c r="PSH45" s="579"/>
      <c r="PSI45" s="579"/>
      <c r="PSJ45" s="579"/>
      <c r="PSK45" s="579"/>
      <c r="PSL45" s="579"/>
      <c r="PSM45" s="579"/>
      <c r="PSN45" s="579"/>
      <c r="PSO45" s="579"/>
      <c r="PSP45" s="579"/>
      <c r="PSQ45" s="579"/>
      <c r="PSR45" s="579"/>
      <c r="PSS45" s="579"/>
      <c r="PST45" s="579"/>
      <c r="PSU45" s="579"/>
      <c r="PSV45" s="579"/>
      <c r="PSW45" s="579"/>
      <c r="PSX45" s="579"/>
      <c r="PSY45" s="579"/>
      <c r="PSZ45" s="579"/>
      <c r="PTA45" s="579"/>
      <c r="PTB45" s="579"/>
      <c r="PTC45" s="579"/>
      <c r="PTD45" s="579"/>
      <c r="PTE45" s="579"/>
      <c r="PTF45" s="579"/>
      <c r="PTG45" s="579"/>
      <c r="PTH45" s="579"/>
      <c r="PTI45" s="579"/>
      <c r="PTJ45" s="579"/>
      <c r="PTK45" s="579"/>
      <c r="PTL45" s="579"/>
      <c r="PTM45" s="579"/>
      <c r="PTN45" s="579"/>
      <c r="PTO45" s="579"/>
      <c r="PTP45" s="579"/>
      <c r="PTQ45" s="579"/>
      <c r="PTR45" s="579"/>
      <c r="PTS45" s="579"/>
      <c r="PTT45" s="579"/>
      <c r="PTU45" s="579"/>
      <c r="PTV45" s="579"/>
      <c r="PTW45" s="579"/>
      <c r="PTX45" s="579"/>
      <c r="PTY45" s="579"/>
      <c r="PTZ45" s="579"/>
      <c r="PUA45" s="579"/>
      <c r="PUB45" s="579"/>
      <c r="PUC45" s="579"/>
      <c r="PUD45" s="579"/>
      <c r="PUE45" s="579"/>
      <c r="PUF45" s="579"/>
      <c r="PUG45" s="579"/>
      <c r="PUH45" s="579"/>
      <c r="PUI45" s="579"/>
      <c r="PUJ45" s="579"/>
      <c r="PUK45" s="579"/>
      <c r="PUL45" s="579"/>
      <c r="PUM45" s="579"/>
      <c r="PUN45" s="579"/>
      <c r="PUO45" s="579"/>
      <c r="PUP45" s="579"/>
      <c r="PUQ45" s="579"/>
      <c r="PUR45" s="579"/>
      <c r="PUS45" s="579"/>
      <c r="PUT45" s="579"/>
      <c r="PUU45" s="579"/>
      <c r="PUV45" s="579"/>
      <c r="PUW45" s="579"/>
      <c r="PUX45" s="579"/>
      <c r="PUY45" s="579"/>
      <c r="PUZ45" s="579"/>
      <c r="PVA45" s="579"/>
      <c r="PVB45" s="579"/>
      <c r="PVC45" s="579"/>
      <c r="PVD45" s="579"/>
      <c r="PVE45" s="579"/>
      <c r="PVF45" s="579"/>
      <c r="PVG45" s="579"/>
      <c r="PVH45" s="579"/>
      <c r="PVI45" s="579"/>
      <c r="PVJ45" s="579"/>
      <c r="PVK45" s="579"/>
      <c r="PVL45" s="579"/>
      <c r="PVM45" s="579"/>
      <c r="PVN45" s="579"/>
      <c r="PVO45" s="579"/>
      <c r="PVP45" s="579"/>
      <c r="PVQ45" s="579"/>
      <c r="PVR45" s="579"/>
      <c r="PVS45" s="579"/>
      <c r="PVT45" s="579"/>
      <c r="PVU45" s="579"/>
      <c r="PVV45" s="579"/>
      <c r="PVW45" s="579"/>
      <c r="PVX45" s="579"/>
      <c r="PVY45" s="579"/>
      <c r="PVZ45" s="579"/>
      <c r="PWA45" s="579"/>
      <c r="PWB45" s="579"/>
      <c r="PWC45" s="579"/>
      <c r="PWD45" s="579"/>
      <c r="PWE45" s="579"/>
      <c r="PWF45" s="579"/>
      <c r="PWG45" s="579"/>
      <c r="PWH45" s="579"/>
      <c r="PWI45" s="579"/>
      <c r="PWJ45" s="579"/>
      <c r="PWK45" s="579"/>
      <c r="PWL45" s="579"/>
      <c r="PWM45" s="579"/>
      <c r="PWN45" s="579"/>
      <c r="PWO45" s="579"/>
      <c r="PWP45" s="579"/>
      <c r="PWQ45" s="579"/>
      <c r="PWR45" s="579"/>
      <c r="PWS45" s="579"/>
      <c r="PWT45" s="579"/>
      <c r="PWU45" s="579"/>
      <c r="PWV45" s="579"/>
      <c r="PWW45" s="579"/>
      <c r="PWX45" s="579"/>
      <c r="PWY45" s="579"/>
      <c r="PWZ45" s="579"/>
      <c r="PXA45" s="579"/>
      <c r="PXB45" s="579"/>
      <c r="PXC45" s="579"/>
      <c r="PXD45" s="579"/>
      <c r="PXE45" s="579"/>
      <c r="PXF45" s="579"/>
      <c r="PXG45" s="579"/>
      <c r="PXH45" s="579"/>
      <c r="PXI45" s="579"/>
      <c r="PXJ45" s="579"/>
      <c r="PXK45" s="579"/>
      <c r="PXL45" s="579"/>
      <c r="PXM45" s="579"/>
      <c r="PXN45" s="579"/>
      <c r="PXO45" s="579"/>
      <c r="PXP45" s="579"/>
      <c r="PXQ45" s="579"/>
      <c r="PXR45" s="579"/>
      <c r="PXS45" s="579"/>
      <c r="PXT45" s="579"/>
      <c r="PXU45" s="579"/>
      <c r="PXV45" s="579"/>
      <c r="PXW45" s="579"/>
      <c r="PXX45" s="579"/>
      <c r="PXY45" s="579"/>
      <c r="PXZ45" s="579"/>
      <c r="PYA45" s="579"/>
      <c r="PYB45" s="579"/>
      <c r="PYC45" s="579"/>
      <c r="PYD45" s="579"/>
      <c r="PYE45" s="579"/>
      <c r="PYF45" s="579"/>
      <c r="PYG45" s="579"/>
      <c r="PYH45" s="579"/>
      <c r="PYI45" s="579"/>
      <c r="PYJ45" s="579"/>
      <c r="PYK45" s="579"/>
      <c r="PYL45" s="579"/>
      <c r="PYM45" s="579"/>
      <c r="PYN45" s="579"/>
      <c r="PYO45" s="579"/>
      <c r="PYP45" s="579"/>
      <c r="PYQ45" s="579"/>
      <c r="PYR45" s="579"/>
      <c r="PYS45" s="579"/>
      <c r="PYT45" s="579"/>
      <c r="PYU45" s="579"/>
      <c r="PYV45" s="579"/>
      <c r="PYW45" s="579"/>
      <c r="PYX45" s="579"/>
      <c r="PYY45" s="579"/>
      <c r="PYZ45" s="579"/>
      <c r="PZA45" s="579"/>
      <c r="PZB45" s="579"/>
      <c r="PZC45" s="579"/>
      <c r="PZD45" s="579"/>
      <c r="PZE45" s="579"/>
      <c r="PZF45" s="579"/>
      <c r="PZG45" s="579"/>
      <c r="PZH45" s="579"/>
      <c r="PZI45" s="579"/>
      <c r="PZJ45" s="579"/>
      <c r="PZK45" s="579"/>
      <c r="PZL45" s="579"/>
      <c r="PZM45" s="579"/>
      <c r="PZN45" s="579"/>
      <c r="PZO45" s="579"/>
      <c r="PZP45" s="579"/>
      <c r="PZQ45" s="579"/>
      <c r="PZR45" s="579"/>
      <c r="PZS45" s="579"/>
      <c r="PZT45" s="579"/>
      <c r="PZU45" s="579"/>
      <c r="PZV45" s="579"/>
      <c r="PZW45" s="579"/>
      <c r="PZX45" s="579"/>
      <c r="PZY45" s="579"/>
      <c r="PZZ45" s="579"/>
      <c r="QAA45" s="579"/>
      <c r="QAB45" s="579"/>
      <c r="QAC45" s="579"/>
      <c r="QAD45" s="579"/>
      <c r="QAE45" s="579"/>
      <c r="QAF45" s="579"/>
      <c r="QAG45" s="579"/>
      <c r="QAH45" s="579"/>
      <c r="QAI45" s="579"/>
      <c r="QAJ45" s="579"/>
      <c r="QAK45" s="579"/>
      <c r="QAL45" s="579"/>
      <c r="QAM45" s="579"/>
      <c r="QAN45" s="579"/>
      <c r="QAO45" s="579"/>
      <c r="QAP45" s="579"/>
      <c r="QAQ45" s="579"/>
      <c r="QAR45" s="579"/>
      <c r="QAS45" s="579"/>
      <c r="QAT45" s="579"/>
      <c r="QAU45" s="579"/>
      <c r="QAV45" s="579"/>
      <c r="QAW45" s="579"/>
      <c r="QAX45" s="579"/>
      <c r="QAY45" s="579"/>
      <c r="QAZ45" s="579"/>
      <c r="QBA45" s="579"/>
      <c r="QBB45" s="579"/>
      <c r="QBC45" s="579"/>
      <c r="QBD45" s="579"/>
      <c r="QBE45" s="579"/>
      <c r="QBF45" s="579"/>
      <c r="QBG45" s="579"/>
      <c r="QBH45" s="579"/>
      <c r="QBI45" s="579"/>
      <c r="QBJ45" s="579"/>
      <c r="QBK45" s="579"/>
      <c r="QBL45" s="579"/>
      <c r="QBM45" s="579"/>
      <c r="QBN45" s="579"/>
      <c r="QBO45" s="579"/>
      <c r="QBP45" s="579"/>
      <c r="QBQ45" s="579"/>
      <c r="QBR45" s="579"/>
      <c r="QBS45" s="579"/>
      <c r="QBT45" s="579"/>
      <c r="QBU45" s="579"/>
      <c r="QBV45" s="579"/>
      <c r="QBW45" s="579"/>
      <c r="QBX45" s="579"/>
      <c r="QBY45" s="579"/>
      <c r="QBZ45" s="579"/>
      <c r="QCA45" s="579"/>
      <c r="QCB45" s="579"/>
      <c r="QCC45" s="579"/>
      <c r="QCD45" s="579"/>
      <c r="QCE45" s="579"/>
      <c r="QCF45" s="579"/>
      <c r="QCG45" s="579"/>
      <c r="QCH45" s="579"/>
      <c r="QCI45" s="579"/>
      <c r="QCJ45" s="579"/>
      <c r="QCK45" s="579"/>
      <c r="QCL45" s="579"/>
      <c r="QCM45" s="579"/>
      <c r="QCN45" s="579"/>
      <c r="QCO45" s="579"/>
      <c r="QCP45" s="579"/>
      <c r="QCQ45" s="579"/>
      <c r="QCR45" s="579"/>
      <c r="QCS45" s="579"/>
      <c r="QCT45" s="579"/>
      <c r="QCU45" s="579"/>
      <c r="QCV45" s="579"/>
      <c r="QCW45" s="579"/>
      <c r="QCX45" s="579"/>
      <c r="QCY45" s="579"/>
      <c r="QCZ45" s="579"/>
      <c r="QDA45" s="579"/>
      <c r="QDB45" s="579"/>
      <c r="QDC45" s="579"/>
      <c r="QDD45" s="579"/>
      <c r="QDE45" s="579"/>
      <c r="QDF45" s="579"/>
      <c r="QDG45" s="579"/>
      <c r="QDH45" s="579"/>
      <c r="QDI45" s="579"/>
      <c r="QDJ45" s="579"/>
      <c r="QDK45" s="579"/>
      <c r="QDL45" s="579"/>
      <c r="QDM45" s="579"/>
      <c r="QDN45" s="579"/>
      <c r="QDO45" s="579"/>
      <c r="QDP45" s="579"/>
      <c r="QDQ45" s="579"/>
      <c r="QDR45" s="579"/>
      <c r="QDS45" s="579"/>
      <c r="QDT45" s="579"/>
      <c r="QDU45" s="579"/>
      <c r="QDV45" s="579"/>
      <c r="QDW45" s="579"/>
      <c r="QDX45" s="579"/>
      <c r="QDY45" s="579"/>
      <c r="QDZ45" s="579"/>
      <c r="QEA45" s="579"/>
      <c r="QEB45" s="579"/>
      <c r="QEC45" s="579"/>
      <c r="QED45" s="579"/>
      <c r="QEE45" s="579"/>
      <c r="QEF45" s="579"/>
      <c r="QEG45" s="579"/>
      <c r="QEH45" s="579"/>
      <c r="QEI45" s="579"/>
      <c r="QEJ45" s="579"/>
      <c r="QEK45" s="579"/>
      <c r="QEL45" s="579"/>
      <c r="QEM45" s="579"/>
      <c r="QEN45" s="579"/>
      <c r="QEO45" s="579"/>
      <c r="QEP45" s="579"/>
      <c r="QEQ45" s="579"/>
      <c r="QER45" s="579"/>
      <c r="QES45" s="579"/>
      <c r="QET45" s="579"/>
      <c r="QEU45" s="579"/>
      <c r="QEV45" s="579"/>
      <c r="QEW45" s="579"/>
      <c r="QEX45" s="579"/>
      <c r="QEY45" s="579"/>
      <c r="QEZ45" s="579"/>
      <c r="QFA45" s="579"/>
      <c r="QFB45" s="579"/>
      <c r="QFC45" s="579"/>
      <c r="QFD45" s="579"/>
      <c r="QFE45" s="579"/>
      <c r="QFF45" s="579"/>
      <c r="QFG45" s="579"/>
      <c r="QFH45" s="579"/>
      <c r="QFI45" s="579"/>
      <c r="QFJ45" s="579"/>
      <c r="QFK45" s="579"/>
      <c r="QFL45" s="579"/>
      <c r="QFM45" s="579"/>
      <c r="QFN45" s="579"/>
      <c r="QFO45" s="579"/>
      <c r="QFP45" s="579"/>
      <c r="QFQ45" s="579"/>
      <c r="QFR45" s="579"/>
      <c r="QFS45" s="579"/>
      <c r="QFT45" s="579"/>
      <c r="QFU45" s="579"/>
      <c r="QFV45" s="579"/>
      <c r="QFW45" s="579"/>
      <c r="QFX45" s="579"/>
      <c r="QFY45" s="579"/>
      <c r="QFZ45" s="579"/>
      <c r="QGA45" s="579"/>
      <c r="QGB45" s="579"/>
      <c r="QGC45" s="579"/>
      <c r="QGD45" s="579"/>
      <c r="QGE45" s="579"/>
      <c r="QGF45" s="579"/>
      <c r="QGG45" s="579"/>
      <c r="QGH45" s="579"/>
      <c r="QGI45" s="579"/>
      <c r="QGJ45" s="579"/>
      <c r="QGK45" s="579"/>
      <c r="QGL45" s="579"/>
      <c r="QGM45" s="579"/>
      <c r="QGN45" s="579"/>
      <c r="QGO45" s="579"/>
      <c r="QGP45" s="579"/>
      <c r="QGQ45" s="579"/>
      <c r="QGR45" s="579"/>
      <c r="QGS45" s="579"/>
      <c r="QGT45" s="579"/>
      <c r="QGU45" s="579"/>
      <c r="QGV45" s="579"/>
      <c r="QGW45" s="579"/>
      <c r="QGX45" s="579"/>
      <c r="QGY45" s="579"/>
      <c r="QGZ45" s="579"/>
      <c r="QHA45" s="579"/>
      <c r="QHB45" s="579"/>
      <c r="QHC45" s="579"/>
      <c r="QHD45" s="579"/>
      <c r="QHE45" s="579"/>
      <c r="QHF45" s="579"/>
      <c r="QHG45" s="579"/>
      <c r="QHH45" s="579"/>
      <c r="QHI45" s="579"/>
      <c r="QHJ45" s="579"/>
      <c r="QHK45" s="579"/>
      <c r="QHL45" s="579"/>
      <c r="QHM45" s="579"/>
      <c r="QHN45" s="579"/>
      <c r="QHO45" s="579"/>
      <c r="QHP45" s="579"/>
      <c r="QHQ45" s="579"/>
      <c r="QHR45" s="579"/>
      <c r="QHS45" s="579"/>
      <c r="QHT45" s="579"/>
      <c r="QHU45" s="579"/>
      <c r="QHV45" s="579"/>
      <c r="QHW45" s="579"/>
      <c r="QHX45" s="579"/>
      <c r="QHY45" s="579"/>
      <c r="QHZ45" s="579"/>
      <c r="QIA45" s="579"/>
      <c r="QIB45" s="579"/>
      <c r="QIC45" s="579"/>
      <c r="QID45" s="579"/>
      <c r="QIE45" s="579"/>
      <c r="QIF45" s="579"/>
      <c r="QIG45" s="579"/>
      <c r="QIH45" s="579"/>
      <c r="QII45" s="579"/>
      <c r="QIJ45" s="579"/>
      <c r="QIK45" s="579"/>
      <c r="QIL45" s="579"/>
      <c r="QIM45" s="579"/>
      <c r="QIN45" s="579"/>
      <c r="QIO45" s="579"/>
      <c r="QIP45" s="579"/>
      <c r="QIQ45" s="579"/>
      <c r="QIR45" s="579"/>
      <c r="QIS45" s="579"/>
      <c r="QIT45" s="579"/>
      <c r="QIU45" s="579"/>
      <c r="QIV45" s="579"/>
      <c r="QIW45" s="579"/>
      <c r="QIX45" s="579"/>
      <c r="QIY45" s="579"/>
      <c r="QIZ45" s="579"/>
      <c r="QJA45" s="579"/>
      <c r="QJB45" s="579"/>
      <c r="QJC45" s="579"/>
      <c r="QJD45" s="579"/>
      <c r="QJE45" s="579"/>
      <c r="QJF45" s="579"/>
      <c r="QJG45" s="579"/>
      <c r="QJH45" s="579"/>
      <c r="QJI45" s="579"/>
      <c r="QJJ45" s="579"/>
      <c r="QJK45" s="579"/>
      <c r="QJL45" s="579"/>
      <c r="QJM45" s="579"/>
      <c r="QJN45" s="579"/>
      <c r="QJO45" s="579"/>
      <c r="QJP45" s="579"/>
      <c r="QJQ45" s="579"/>
      <c r="QJR45" s="579"/>
      <c r="QJS45" s="579"/>
      <c r="QJT45" s="579"/>
      <c r="QJU45" s="579"/>
      <c r="QJV45" s="579"/>
      <c r="QJW45" s="579"/>
      <c r="QJX45" s="579"/>
      <c r="QJY45" s="579"/>
      <c r="QJZ45" s="579"/>
      <c r="QKA45" s="579"/>
      <c r="QKB45" s="579"/>
      <c r="QKC45" s="579"/>
      <c r="QKD45" s="579"/>
      <c r="QKE45" s="579"/>
      <c r="QKF45" s="579"/>
      <c r="QKG45" s="579"/>
      <c r="QKH45" s="579"/>
      <c r="QKI45" s="579"/>
      <c r="QKJ45" s="579"/>
      <c r="QKK45" s="579"/>
      <c r="QKL45" s="579"/>
      <c r="QKM45" s="579"/>
      <c r="QKN45" s="579"/>
      <c r="QKO45" s="579"/>
      <c r="QKP45" s="579"/>
      <c r="QKQ45" s="579"/>
      <c r="QKR45" s="579"/>
      <c r="QKS45" s="579"/>
      <c r="QKT45" s="579"/>
      <c r="QKU45" s="579"/>
      <c r="QKV45" s="579"/>
      <c r="QKW45" s="579"/>
      <c r="QKX45" s="579"/>
      <c r="QKY45" s="579"/>
      <c r="QKZ45" s="579"/>
      <c r="QLA45" s="579"/>
      <c r="QLB45" s="579"/>
      <c r="QLC45" s="579"/>
      <c r="QLD45" s="579"/>
      <c r="QLE45" s="579"/>
      <c r="QLF45" s="579"/>
      <c r="QLG45" s="579"/>
      <c r="QLH45" s="579"/>
      <c r="QLI45" s="579"/>
      <c r="QLJ45" s="579"/>
      <c r="QLK45" s="579"/>
      <c r="QLL45" s="579"/>
      <c r="QLM45" s="579"/>
      <c r="QLN45" s="579"/>
      <c r="QLO45" s="579"/>
      <c r="QLP45" s="579"/>
      <c r="QLQ45" s="579"/>
      <c r="QLR45" s="579"/>
      <c r="QLS45" s="579"/>
      <c r="QLT45" s="579"/>
      <c r="QLU45" s="579"/>
      <c r="QLV45" s="579"/>
      <c r="QLW45" s="579"/>
      <c r="QLX45" s="579"/>
      <c r="QLY45" s="579"/>
      <c r="QLZ45" s="579"/>
      <c r="QMA45" s="579"/>
      <c r="QMB45" s="579"/>
      <c r="QMC45" s="579"/>
      <c r="QMD45" s="579"/>
      <c r="QME45" s="579"/>
      <c r="QMF45" s="579"/>
      <c r="QMG45" s="579"/>
      <c r="QMH45" s="579"/>
      <c r="QMI45" s="579"/>
      <c r="QMJ45" s="579"/>
      <c r="QMK45" s="579"/>
      <c r="QML45" s="579"/>
      <c r="QMM45" s="579"/>
      <c r="QMN45" s="579"/>
      <c r="QMO45" s="579"/>
      <c r="QMP45" s="579"/>
      <c r="QMQ45" s="579"/>
      <c r="QMR45" s="579"/>
      <c r="QMS45" s="579"/>
      <c r="QMT45" s="579"/>
      <c r="QMU45" s="579"/>
      <c r="QMV45" s="579"/>
      <c r="QMW45" s="579"/>
      <c r="QMX45" s="579"/>
      <c r="QMY45" s="579"/>
      <c r="QMZ45" s="579"/>
      <c r="QNA45" s="579"/>
      <c r="QNB45" s="579"/>
      <c r="QNC45" s="579"/>
      <c r="QND45" s="579"/>
      <c r="QNE45" s="579"/>
      <c r="QNF45" s="579"/>
      <c r="QNG45" s="579"/>
      <c r="QNH45" s="579"/>
      <c r="QNI45" s="579"/>
      <c r="QNJ45" s="579"/>
      <c r="QNK45" s="579"/>
      <c r="QNL45" s="579"/>
      <c r="QNM45" s="579"/>
      <c r="QNN45" s="579"/>
      <c r="QNO45" s="579"/>
      <c r="QNP45" s="579"/>
      <c r="QNQ45" s="579"/>
      <c r="QNR45" s="579"/>
      <c r="QNS45" s="579"/>
      <c r="QNT45" s="579"/>
      <c r="QNU45" s="579"/>
      <c r="QNV45" s="579"/>
      <c r="QNW45" s="579"/>
      <c r="QNX45" s="579"/>
      <c r="QNY45" s="579"/>
      <c r="QNZ45" s="579"/>
      <c r="QOA45" s="579"/>
      <c r="QOB45" s="579"/>
      <c r="QOC45" s="579"/>
      <c r="QOD45" s="579"/>
      <c r="QOE45" s="579"/>
      <c r="QOF45" s="579"/>
      <c r="QOG45" s="579"/>
      <c r="QOH45" s="579"/>
      <c r="QOI45" s="579"/>
      <c r="QOJ45" s="579"/>
      <c r="QOK45" s="579"/>
      <c r="QOL45" s="579"/>
      <c r="QOM45" s="579"/>
      <c r="QON45" s="579"/>
      <c r="QOO45" s="579"/>
      <c r="QOP45" s="579"/>
      <c r="QOQ45" s="579"/>
      <c r="QOR45" s="579"/>
      <c r="QOS45" s="579"/>
      <c r="QOT45" s="579"/>
      <c r="QOU45" s="579"/>
      <c r="QOV45" s="579"/>
      <c r="QOW45" s="579"/>
      <c r="QOX45" s="579"/>
      <c r="QOY45" s="579"/>
      <c r="QOZ45" s="579"/>
      <c r="QPA45" s="579"/>
      <c r="QPB45" s="579"/>
      <c r="QPC45" s="579"/>
      <c r="QPD45" s="579"/>
      <c r="QPE45" s="579"/>
      <c r="QPF45" s="579"/>
      <c r="QPG45" s="579"/>
      <c r="QPH45" s="579"/>
      <c r="QPI45" s="579"/>
      <c r="QPJ45" s="579"/>
      <c r="QPK45" s="579"/>
      <c r="QPL45" s="579"/>
      <c r="QPM45" s="579"/>
      <c r="QPN45" s="579"/>
      <c r="QPO45" s="579"/>
      <c r="QPP45" s="579"/>
      <c r="QPQ45" s="579"/>
      <c r="QPR45" s="579"/>
      <c r="QPS45" s="579"/>
      <c r="QPT45" s="579"/>
      <c r="QPU45" s="579"/>
      <c r="QPV45" s="579"/>
      <c r="QPW45" s="579"/>
      <c r="QPX45" s="579"/>
      <c r="QPY45" s="579"/>
      <c r="QPZ45" s="579"/>
      <c r="QQA45" s="579"/>
      <c r="QQB45" s="579"/>
      <c r="QQC45" s="579"/>
      <c r="QQD45" s="579"/>
      <c r="QQE45" s="579"/>
      <c r="QQF45" s="579"/>
      <c r="QQG45" s="579"/>
      <c r="QQH45" s="579"/>
      <c r="QQI45" s="579"/>
      <c r="QQJ45" s="579"/>
      <c r="QQK45" s="579"/>
      <c r="QQL45" s="579"/>
      <c r="QQM45" s="579"/>
      <c r="QQN45" s="579"/>
      <c r="QQO45" s="579"/>
      <c r="QQP45" s="579"/>
      <c r="QQQ45" s="579"/>
      <c r="QQR45" s="579"/>
      <c r="QQS45" s="579"/>
      <c r="QQT45" s="579"/>
      <c r="QQU45" s="579"/>
      <c r="QQV45" s="579"/>
      <c r="QQW45" s="579"/>
      <c r="QQX45" s="579"/>
      <c r="QQY45" s="579"/>
      <c r="QQZ45" s="579"/>
      <c r="QRA45" s="579"/>
      <c r="QRB45" s="579"/>
      <c r="QRC45" s="579"/>
      <c r="QRD45" s="579"/>
      <c r="QRE45" s="579"/>
      <c r="QRF45" s="579"/>
      <c r="QRG45" s="579"/>
      <c r="QRH45" s="579"/>
      <c r="QRI45" s="579"/>
      <c r="QRJ45" s="579"/>
      <c r="QRK45" s="579"/>
      <c r="QRL45" s="579"/>
      <c r="QRM45" s="579"/>
      <c r="QRN45" s="579"/>
      <c r="QRO45" s="579"/>
      <c r="QRP45" s="579"/>
      <c r="QRQ45" s="579"/>
      <c r="QRR45" s="579"/>
      <c r="QRS45" s="579"/>
      <c r="QRT45" s="579"/>
      <c r="QRU45" s="579"/>
      <c r="QRV45" s="579"/>
      <c r="QRW45" s="579"/>
      <c r="QRX45" s="579"/>
      <c r="QRY45" s="579"/>
      <c r="QRZ45" s="579"/>
      <c r="QSA45" s="579"/>
      <c r="QSB45" s="579"/>
      <c r="QSC45" s="579"/>
      <c r="QSD45" s="579"/>
      <c r="QSE45" s="579"/>
      <c r="QSF45" s="579"/>
      <c r="QSG45" s="579"/>
      <c r="QSH45" s="579"/>
      <c r="QSI45" s="579"/>
      <c r="QSJ45" s="579"/>
      <c r="QSK45" s="579"/>
      <c r="QSL45" s="579"/>
      <c r="QSM45" s="579"/>
      <c r="QSN45" s="579"/>
      <c r="QSO45" s="579"/>
      <c r="QSP45" s="579"/>
      <c r="QSQ45" s="579"/>
      <c r="QSR45" s="579"/>
      <c r="QSS45" s="579"/>
      <c r="QST45" s="579"/>
      <c r="QSU45" s="579"/>
      <c r="QSV45" s="579"/>
      <c r="QSW45" s="579"/>
      <c r="QSX45" s="579"/>
      <c r="QSY45" s="579"/>
      <c r="QSZ45" s="579"/>
      <c r="QTA45" s="579"/>
      <c r="QTB45" s="579"/>
      <c r="QTC45" s="579"/>
      <c r="QTD45" s="579"/>
      <c r="QTE45" s="579"/>
      <c r="QTF45" s="579"/>
      <c r="QTG45" s="579"/>
      <c r="QTH45" s="579"/>
      <c r="QTI45" s="579"/>
      <c r="QTJ45" s="579"/>
      <c r="QTK45" s="579"/>
      <c r="QTL45" s="579"/>
      <c r="QTM45" s="579"/>
      <c r="QTN45" s="579"/>
      <c r="QTO45" s="579"/>
      <c r="QTP45" s="579"/>
      <c r="QTQ45" s="579"/>
      <c r="QTR45" s="579"/>
      <c r="QTS45" s="579"/>
      <c r="QTT45" s="579"/>
      <c r="QTU45" s="579"/>
      <c r="QTV45" s="579"/>
      <c r="QTW45" s="579"/>
      <c r="QTX45" s="579"/>
      <c r="QTY45" s="579"/>
      <c r="QTZ45" s="579"/>
      <c r="QUA45" s="579"/>
      <c r="QUB45" s="579"/>
      <c r="QUC45" s="579"/>
      <c r="QUD45" s="579"/>
      <c r="QUE45" s="579"/>
      <c r="QUF45" s="579"/>
      <c r="QUG45" s="579"/>
      <c r="QUH45" s="579"/>
      <c r="QUI45" s="579"/>
      <c r="QUJ45" s="579"/>
      <c r="QUK45" s="579"/>
      <c r="QUL45" s="579"/>
      <c r="QUM45" s="579"/>
      <c r="QUN45" s="579"/>
      <c r="QUO45" s="579"/>
      <c r="QUP45" s="579"/>
      <c r="QUQ45" s="579"/>
      <c r="QUR45" s="579"/>
      <c r="QUS45" s="579"/>
      <c r="QUT45" s="579"/>
      <c r="QUU45" s="579"/>
      <c r="QUV45" s="579"/>
      <c r="QUW45" s="579"/>
      <c r="QUX45" s="579"/>
      <c r="QUY45" s="579"/>
      <c r="QUZ45" s="579"/>
      <c r="QVA45" s="579"/>
      <c r="QVB45" s="579"/>
      <c r="QVC45" s="579"/>
      <c r="QVD45" s="579"/>
      <c r="QVE45" s="579"/>
      <c r="QVF45" s="579"/>
      <c r="QVG45" s="579"/>
      <c r="QVH45" s="579"/>
      <c r="QVI45" s="579"/>
      <c r="QVJ45" s="579"/>
      <c r="QVK45" s="579"/>
      <c r="QVL45" s="579"/>
      <c r="QVM45" s="579"/>
      <c r="QVN45" s="579"/>
      <c r="QVO45" s="579"/>
      <c r="QVP45" s="579"/>
      <c r="QVQ45" s="579"/>
      <c r="QVR45" s="579"/>
      <c r="QVS45" s="579"/>
      <c r="QVT45" s="579"/>
      <c r="QVU45" s="579"/>
      <c r="QVV45" s="579"/>
      <c r="QVW45" s="579"/>
      <c r="QVX45" s="579"/>
      <c r="QVY45" s="579"/>
      <c r="QVZ45" s="579"/>
      <c r="QWA45" s="579"/>
      <c r="QWB45" s="579"/>
      <c r="QWC45" s="579"/>
      <c r="QWD45" s="579"/>
      <c r="QWE45" s="579"/>
      <c r="QWF45" s="579"/>
      <c r="QWG45" s="579"/>
      <c r="QWH45" s="579"/>
      <c r="QWI45" s="579"/>
      <c r="QWJ45" s="579"/>
      <c r="QWK45" s="579"/>
      <c r="QWL45" s="579"/>
      <c r="QWM45" s="579"/>
      <c r="QWN45" s="579"/>
      <c r="QWO45" s="579"/>
      <c r="QWP45" s="579"/>
      <c r="QWQ45" s="579"/>
      <c r="QWR45" s="579"/>
      <c r="QWS45" s="579"/>
      <c r="QWT45" s="579"/>
      <c r="QWU45" s="579"/>
      <c r="QWV45" s="579"/>
      <c r="QWW45" s="579"/>
      <c r="QWX45" s="579"/>
      <c r="QWY45" s="579"/>
      <c r="QWZ45" s="579"/>
      <c r="QXA45" s="579"/>
      <c r="QXB45" s="579"/>
      <c r="QXC45" s="579"/>
      <c r="QXD45" s="579"/>
      <c r="QXE45" s="579"/>
      <c r="QXF45" s="579"/>
      <c r="QXG45" s="579"/>
      <c r="QXH45" s="579"/>
      <c r="QXI45" s="579"/>
      <c r="QXJ45" s="579"/>
      <c r="QXK45" s="579"/>
      <c r="QXL45" s="579"/>
      <c r="QXM45" s="579"/>
      <c r="QXN45" s="579"/>
      <c r="QXO45" s="579"/>
      <c r="QXP45" s="579"/>
      <c r="QXQ45" s="579"/>
      <c r="QXR45" s="579"/>
      <c r="QXS45" s="579"/>
      <c r="QXT45" s="579"/>
      <c r="QXU45" s="579"/>
      <c r="QXV45" s="579"/>
      <c r="QXW45" s="579"/>
      <c r="QXX45" s="579"/>
      <c r="QXY45" s="579"/>
      <c r="QXZ45" s="579"/>
      <c r="QYA45" s="579"/>
      <c r="QYB45" s="579"/>
      <c r="QYC45" s="579"/>
      <c r="QYD45" s="579"/>
      <c r="QYE45" s="579"/>
      <c r="QYF45" s="579"/>
      <c r="QYG45" s="579"/>
      <c r="QYH45" s="579"/>
      <c r="QYI45" s="579"/>
      <c r="QYJ45" s="579"/>
      <c r="QYK45" s="579"/>
      <c r="QYL45" s="579"/>
      <c r="QYM45" s="579"/>
      <c r="QYN45" s="579"/>
      <c r="QYO45" s="579"/>
      <c r="QYP45" s="579"/>
      <c r="QYQ45" s="579"/>
      <c r="QYR45" s="579"/>
      <c r="QYS45" s="579"/>
      <c r="QYT45" s="579"/>
      <c r="QYU45" s="579"/>
      <c r="QYV45" s="579"/>
      <c r="QYW45" s="579"/>
      <c r="QYX45" s="579"/>
      <c r="QYY45" s="579"/>
      <c r="QYZ45" s="579"/>
      <c r="QZA45" s="579"/>
      <c r="QZB45" s="579"/>
      <c r="QZC45" s="579"/>
      <c r="QZD45" s="579"/>
      <c r="QZE45" s="579"/>
      <c r="QZF45" s="579"/>
      <c r="QZG45" s="579"/>
      <c r="QZH45" s="579"/>
      <c r="QZI45" s="579"/>
      <c r="QZJ45" s="579"/>
      <c r="QZK45" s="579"/>
      <c r="QZL45" s="579"/>
      <c r="QZM45" s="579"/>
      <c r="QZN45" s="579"/>
      <c r="QZO45" s="579"/>
      <c r="QZP45" s="579"/>
      <c r="QZQ45" s="579"/>
      <c r="QZR45" s="579"/>
      <c r="QZS45" s="579"/>
      <c r="QZT45" s="579"/>
      <c r="QZU45" s="579"/>
      <c r="QZV45" s="579"/>
      <c r="QZW45" s="579"/>
      <c r="QZX45" s="579"/>
      <c r="QZY45" s="579"/>
      <c r="QZZ45" s="579"/>
      <c r="RAA45" s="579"/>
      <c r="RAB45" s="579"/>
      <c r="RAC45" s="579"/>
      <c r="RAD45" s="579"/>
      <c r="RAE45" s="579"/>
      <c r="RAF45" s="579"/>
      <c r="RAG45" s="579"/>
      <c r="RAH45" s="579"/>
      <c r="RAI45" s="579"/>
      <c r="RAJ45" s="579"/>
      <c r="RAK45" s="579"/>
      <c r="RAL45" s="579"/>
      <c r="RAM45" s="579"/>
      <c r="RAN45" s="579"/>
      <c r="RAO45" s="579"/>
      <c r="RAP45" s="579"/>
      <c r="RAQ45" s="579"/>
      <c r="RAR45" s="579"/>
      <c r="RAS45" s="579"/>
      <c r="RAT45" s="579"/>
      <c r="RAU45" s="579"/>
      <c r="RAV45" s="579"/>
      <c r="RAW45" s="579"/>
      <c r="RAX45" s="579"/>
      <c r="RAY45" s="579"/>
      <c r="RAZ45" s="579"/>
      <c r="RBA45" s="579"/>
      <c r="RBB45" s="579"/>
      <c r="RBC45" s="579"/>
      <c r="RBD45" s="579"/>
      <c r="RBE45" s="579"/>
      <c r="RBF45" s="579"/>
      <c r="RBG45" s="579"/>
      <c r="RBH45" s="579"/>
      <c r="RBI45" s="579"/>
      <c r="RBJ45" s="579"/>
      <c r="RBK45" s="579"/>
      <c r="RBL45" s="579"/>
      <c r="RBM45" s="579"/>
      <c r="RBN45" s="579"/>
      <c r="RBO45" s="579"/>
      <c r="RBP45" s="579"/>
      <c r="RBQ45" s="579"/>
      <c r="RBR45" s="579"/>
      <c r="RBS45" s="579"/>
      <c r="RBT45" s="579"/>
      <c r="RBU45" s="579"/>
      <c r="RBV45" s="579"/>
      <c r="RBW45" s="579"/>
      <c r="RBX45" s="579"/>
      <c r="RBY45" s="579"/>
      <c r="RBZ45" s="579"/>
      <c r="RCA45" s="579"/>
      <c r="RCB45" s="579"/>
      <c r="RCC45" s="579"/>
      <c r="RCD45" s="579"/>
      <c r="RCE45" s="579"/>
      <c r="RCF45" s="579"/>
      <c r="RCG45" s="579"/>
      <c r="RCH45" s="579"/>
      <c r="RCI45" s="579"/>
      <c r="RCJ45" s="579"/>
      <c r="RCK45" s="579"/>
      <c r="RCL45" s="579"/>
      <c r="RCM45" s="579"/>
      <c r="RCN45" s="579"/>
      <c r="RCO45" s="579"/>
      <c r="RCP45" s="579"/>
      <c r="RCQ45" s="579"/>
      <c r="RCR45" s="579"/>
      <c r="RCS45" s="579"/>
      <c r="RCT45" s="579"/>
      <c r="RCU45" s="579"/>
      <c r="RCV45" s="579"/>
      <c r="RCW45" s="579"/>
      <c r="RCX45" s="579"/>
      <c r="RCY45" s="579"/>
      <c r="RCZ45" s="579"/>
      <c r="RDA45" s="579"/>
      <c r="RDB45" s="579"/>
      <c r="RDC45" s="579"/>
      <c r="RDD45" s="579"/>
      <c r="RDE45" s="579"/>
      <c r="RDF45" s="579"/>
      <c r="RDG45" s="579"/>
      <c r="RDH45" s="579"/>
      <c r="RDI45" s="579"/>
      <c r="RDJ45" s="579"/>
      <c r="RDK45" s="579"/>
      <c r="RDL45" s="579"/>
      <c r="RDM45" s="579"/>
      <c r="RDN45" s="579"/>
      <c r="RDO45" s="579"/>
      <c r="RDP45" s="579"/>
      <c r="RDQ45" s="579"/>
      <c r="RDR45" s="579"/>
      <c r="RDS45" s="579"/>
      <c r="RDT45" s="579"/>
      <c r="RDU45" s="579"/>
      <c r="RDV45" s="579"/>
      <c r="RDW45" s="579"/>
      <c r="RDX45" s="579"/>
      <c r="RDY45" s="579"/>
      <c r="RDZ45" s="579"/>
      <c r="REA45" s="579"/>
      <c r="REB45" s="579"/>
      <c r="REC45" s="579"/>
      <c r="RED45" s="579"/>
      <c r="REE45" s="579"/>
      <c r="REF45" s="579"/>
      <c r="REG45" s="579"/>
      <c r="REH45" s="579"/>
      <c r="REI45" s="579"/>
      <c r="REJ45" s="579"/>
      <c r="REK45" s="579"/>
      <c r="REL45" s="579"/>
      <c r="REM45" s="579"/>
      <c r="REN45" s="579"/>
      <c r="REO45" s="579"/>
      <c r="REP45" s="579"/>
      <c r="REQ45" s="579"/>
      <c r="RER45" s="579"/>
      <c r="RES45" s="579"/>
      <c r="RET45" s="579"/>
      <c r="REU45" s="579"/>
      <c r="REV45" s="579"/>
      <c r="REW45" s="579"/>
      <c r="REX45" s="579"/>
      <c r="REY45" s="579"/>
      <c r="REZ45" s="579"/>
      <c r="RFA45" s="579"/>
      <c r="RFB45" s="579"/>
      <c r="RFC45" s="579"/>
      <c r="RFD45" s="579"/>
      <c r="RFE45" s="579"/>
      <c r="RFF45" s="579"/>
      <c r="RFG45" s="579"/>
      <c r="RFH45" s="579"/>
      <c r="RFI45" s="579"/>
      <c r="RFJ45" s="579"/>
      <c r="RFK45" s="579"/>
      <c r="RFL45" s="579"/>
      <c r="RFM45" s="579"/>
      <c r="RFN45" s="579"/>
      <c r="RFO45" s="579"/>
      <c r="RFP45" s="579"/>
      <c r="RFQ45" s="579"/>
      <c r="RFR45" s="579"/>
      <c r="RFS45" s="579"/>
      <c r="RFT45" s="579"/>
      <c r="RFU45" s="579"/>
      <c r="RFV45" s="579"/>
      <c r="RFW45" s="579"/>
      <c r="RFX45" s="579"/>
      <c r="RFY45" s="579"/>
      <c r="RFZ45" s="579"/>
      <c r="RGA45" s="579"/>
      <c r="RGB45" s="579"/>
      <c r="RGC45" s="579"/>
      <c r="RGD45" s="579"/>
      <c r="RGE45" s="579"/>
      <c r="RGF45" s="579"/>
      <c r="RGG45" s="579"/>
      <c r="RGH45" s="579"/>
      <c r="RGI45" s="579"/>
      <c r="RGJ45" s="579"/>
      <c r="RGK45" s="579"/>
      <c r="RGL45" s="579"/>
      <c r="RGM45" s="579"/>
      <c r="RGN45" s="579"/>
      <c r="RGO45" s="579"/>
      <c r="RGP45" s="579"/>
      <c r="RGQ45" s="579"/>
      <c r="RGR45" s="579"/>
      <c r="RGS45" s="579"/>
      <c r="RGT45" s="579"/>
      <c r="RGU45" s="579"/>
      <c r="RGV45" s="579"/>
      <c r="RGW45" s="579"/>
      <c r="RGX45" s="579"/>
      <c r="RGY45" s="579"/>
      <c r="RGZ45" s="579"/>
      <c r="RHA45" s="579"/>
      <c r="RHB45" s="579"/>
      <c r="RHC45" s="579"/>
      <c r="RHD45" s="579"/>
      <c r="RHE45" s="579"/>
      <c r="RHF45" s="579"/>
      <c r="RHG45" s="579"/>
      <c r="RHH45" s="579"/>
      <c r="RHI45" s="579"/>
      <c r="RHJ45" s="579"/>
      <c r="RHK45" s="579"/>
      <c r="RHL45" s="579"/>
      <c r="RHM45" s="579"/>
      <c r="RHN45" s="579"/>
      <c r="RHO45" s="579"/>
      <c r="RHP45" s="579"/>
      <c r="RHQ45" s="579"/>
      <c r="RHR45" s="579"/>
      <c r="RHS45" s="579"/>
      <c r="RHT45" s="579"/>
      <c r="RHU45" s="579"/>
      <c r="RHV45" s="579"/>
      <c r="RHW45" s="579"/>
      <c r="RHX45" s="579"/>
      <c r="RHY45" s="579"/>
      <c r="RHZ45" s="579"/>
      <c r="RIA45" s="579"/>
      <c r="RIB45" s="579"/>
      <c r="RIC45" s="579"/>
      <c r="RID45" s="579"/>
      <c r="RIE45" s="579"/>
      <c r="RIF45" s="579"/>
      <c r="RIG45" s="579"/>
      <c r="RIH45" s="579"/>
      <c r="RII45" s="579"/>
      <c r="RIJ45" s="579"/>
      <c r="RIK45" s="579"/>
      <c r="RIL45" s="579"/>
      <c r="RIM45" s="579"/>
      <c r="RIN45" s="579"/>
      <c r="RIO45" s="579"/>
      <c r="RIP45" s="579"/>
      <c r="RIQ45" s="579"/>
      <c r="RIR45" s="579"/>
      <c r="RIS45" s="579"/>
      <c r="RIT45" s="579"/>
      <c r="RIU45" s="579"/>
      <c r="RIV45" s="579"/>
      <c r="RIW45" s="579"/>
      <c r="RIX45" s="579"/>
      <c r="RIY45" s="579"/>
      <c r="RIZ45" s="579"/>
      <c r="RJA45" s="579"/>
      <c r="RJB45" s="579"/>
      <c r="RJC45" s="579"/>
      <c r="RJD45" s="579"/>
      <c r="RJE45" s="579"/>
      <c r="RJF45" s="579"/>
      <c r="RJG45" s="579"/>
      <c r="RJH45" s="579"/>
      <c r="RJI45" s="579"/>
      <c r="RJJ45" s="579"/>
      <c r="RJK45" s="579"/>
      <c r="RJL45" s="579"/>
      <c r="RJM45" s="579"/>
      <c r="RJN45" s="579"/>
      <c r="RJO45" s="579"/>
      <c r="RJP45" s="579"/>
      <c r="RJQ45" s="579"/>
      <c r="RJR45" s="579"/>
      <c r="RJS45" s="579"/>
      <c r="RJT45" s="579"/>
      <c r="RJU45" s="579"/>
      <c r="RJV45" s="579"/>
      <c r="RJW45" s="579"/>
      <c r="RJX45" s="579"/>
      <c r="RJY45" s="579"/>
      <c r="RJZ45" s="579"/>
      <c r="RKA45" s="579"/>
      <c r="RKB45" s="579"/>
      <c r="RKC45" s="579"/>
      <c r="RKD45" s="579"/>
      <c r="RKE45" s="579"/>
      <c r="RKF45" s="579"/>
      <c r="RKG45" s="579"/>
      <c r="RKH45" s="579"/>
      <c r="RKI45" s="579"/>
      <c r="RKJ45" s="579"/>
      <c r="RKK45" s="579"/>
      <c r="RKL45" s="579"/>
      <c r="RKM45" s="579"/>
      <c r="RKN45" s="579"/>
      <c r="RKO45" s="579"/>
      <c r="RKP45" s="579"/>
      <c r="RKQ45" s="579"/>
      <c r="RKR45" s="579"/>
      <c r="RKS45" s="579"/>
      <c r="RKT45" s="579"/>
      <c r="RKU45" s="579"/>
      <c r="RKV45" s="579"/>
      <c r="RKW45" s="579"/>
      <c r="RKX45" s="579"/>
      <c r="RKY45" s="579"/>
      <c r="RKZ45" s="579"/>
      <c r="RLA45" s="579"/>
      <c r="RLB45" s="579"/>
      <c r="RLC45" s="579"/>
      <c r="RLD45" s="579"/>
      <c r="RLE45" s="579"/>
      <c r="RLF45" s="579"/>
      <c r="RLG45" s="579"/>
      <c r="RLH45" s="579"/>
      <c r="RLI45" s="579"/>
      <c r="RLJ45" s="579"/>
      <c r="RLK45" s="579"/>
      <c r="RLL45" s="579"/>
      <c r="RLM45" s="579"/>
      <c r="RLN45" s="579"/>
      <c r="RLO45" s="579"/>
      <c r="RLP45" s="579"/>
      <c r="RLQ45" s="579"/>
      <c r="RLR45" s="579"/>
      <c r="RLS45" s="579"/>
      <c r="RLT45" s="579"/>
      <c r="RLU45" s="579"/>
      <c r="RLV45" s="579"/>
      <c r="RLW45" s="579"/>
      <c r="RLX45" s="579"/>
      <c r="RLY45" s="579"/>
      <c r="RLZ45" s="579"/>
      <c r="RMA45" s="579"/>
      <c r="RMB45" s="579"/>
      <c r="RMC45" s="579"/>
      <c r="RMD45" s="579"/>
      <c r="RME45" s="579"/>
      <c r="RMF45" s="579"/>
      <c r="RMG45" s="579"/>
      <c r="RMH45" s="579"/>
      <c r="RMI45" s="579"/>
      <c r="RMJ45" s="579"/>
      <c r="RMK45" s="579"/>
      <c r="RML45" s="579"/>
      <c r="RMM45" s="579"/>
      <c r="RMN45" s="579"/>
      <c r="RMO45" s="579"/>
      <c r="RMP45" s="579"/>
      <c r="RMQ45" s="579"/>
      <c r="RMR45" s="579"/>
      <c r="RMS45" s="579"/>
      <c r="RMT45" s="579"/>
      <c r="RMU45" s="579"/>
      <c r="RMV45" s="579"/>
      <c r="RMW45" s="579"/>
      <c r="RMX45" s="579"/>
      <c r="RMY45" s="579"/>
      <c r="RMZ45" s="579"/>
      <c r="RNA45" s="579"/>
      <c r="RNB45" s="579"/>
      <c r="RNC45" s="579"/>
      <c r="RND45" s="579"/>
      <c r="RNE45" s="579"/>
      <c r="RNF45" s="579"/>
      <c r="RNG45" s="579"/>
      <c r="RNH45" s="579"/>
      <c r="RNI45" s="579"/>
      <c r="RNJ45" s="579"/>
      <c r="RNK45" s="579"/>
      <c r="RNL45" s="579"/>
      <c r="RNM45" s="579"/>
      <c r="RNN45" s="579"/>
      <c r="RNO45" s="579"/>
      <c r="RNP45" s="579"/>
      <c r="RNQ45" s="579"/>
      <c r="RNR45" s="579"/>
      <c r="RNS45" s="579"/>
      <c r="RNT45" s="579"/>
      <c r="RNU45" s="579"/>
      <c r="RNV45" s="579"/>
      <c r="RNW45" s="579"/>
      <c r="RNX45" s="579"/>
      <c r="RNY45" s="579"/>
      <c r="RNZ45" s="579"/>
      <c r="ROA45" s="579"/>
      <c r="ROB45" s="579"/>
      <c r="ROC45" s="579"/>
      <c r="ROD45" s="579"/>
      <c r="ROE45" s="579"/>
      <c r="ROF45" s="579"/>
      <c r="ROG45" s="579"/>
      <c r="ROH45" s="579"/>
      <c r="ROI45" s="579"/>
      <c r="ROJ45" s="579"/>
      <c r="ROK45" s="579"/>
      <c r="ROL45" s="579"/>
      <c r="ROM45" s="579"/>
      <c r="RON45" s="579"/>
      <c r="ROO45" s="579"/>
      <c r="ROP45" s="579"/>
      <c r="ROQ45" s="579"/>
      <c r="ROR45" s="579"/>
      <c r="ROS45" s="579"/>
      <c r="ROT45" s="579"/>
      <c r="ROU45" s="579"/>
      <c r="ROV45" s="579"/>
      <c r="ROW45" s="579"/>
      <c r="ROX45" s="579"/>
      <c r="ROY45" s="579"/>
      <c r="ROZ45" s="579"/>
      <c r="RPA45" s="579"/>
      <c r="RPB45" s="579"/>
      <c r="RPC45" s="579"/>
      <c r="RPD45" s="579"/>
      <c r="RPE45" s="579"/>
      <c r="RPF45" s="579"/>
      <c r="RPG45" s="579"/>
      <c r="RPH45" s="579"/>
      <c r="RPI45" s="579"/>
      <c r="RPJ45" s="579"/>
      <c r="RPK45" s="579"/>
      <c r="RPL45" s="579"/>
      <c r="RPM45" s="579"/>
      <c r="RPN45" s="579"/>
      <c r="RPO45" s="579"/>
      <c r="RPP45" s="579"/>
      <c r="RPQ45" s="579"/>
      <c r="RPR45" s="579"/>
      <c r="RPS45" s="579"/>
      <c r="RPT45" s="579"/>
      <c r="RPU45" s="579"/>
      <c r="RPV45" s="579"/>
      <c r="RPW45" s="579"/>
      <c r="RPX45" s="579"/>
      <c r="RPY45" s="579"/>
      <c r="RPZ45" s="579"/>
      <c r="RQA45" s="579"/>
      <c r="RQB45" s="579"/>
      <c r="RQC45" s="579"/>
      <c r="RQD45" s="579"/>
      <c r="RQE45" s="579"/>
      <c r="RQF45" s="579"/>
      <c r="RQG45" s="579"/>
      <c r="RQH45" s="579"/>
      <c r="RQI45" s="579"/>
      <c r="RQJ45" s="579"/>
      <c r="RQK45" s="579"/>
      <c r="RQL45" s="579"/>
      <c r="RQM45" s="579"/>
      <c r="RQN45" s="579"/>
      <c r="RQO45" s="579"/>
      <c r="RQP45" s="579"/>
      <c r="RQQ45" s="579"/>
      <c r="RQR45" s="579"/>
      <c r="RQS45" s="579"/>
      <c r="RQT45" s="579"/>
      <c r="RQU45" s="579"/>
      <c r="RQV45" s="579"/>
      <c r="RQW45" s="579"/>
      <c r="RQX45" s="579"/>
      <c r="RQY45" s="579"/>
      <c r="RQZ45" s="579"/>
      <c r="RRA45" s="579"/>
      <c r="RRB45" s="579"/>
      <c r="RRC45" s="579"/>
      <c r="RRD45" s="579"/>
      <c r="RRE45" s="579"/>
      <c r="RRF45" s="579"/>
      <c r="RRG45" s="579"/>
      <c r="RRH45" s="579"/>
      <c r="RRI45" s="579"/>
      <c r="RRJ45" s="579"/>
      <c r="RRK45" s="579"/>
      <c r="RRL45" s="579"/>
      <c r="RRM45" s="579"/>
      <c r="RRN45" s="579"/>
      <c r="RRO45" s="579"/>
      <c r="RRP45" s="579"/>
      <c r="RRQ45" s="579"/>
      <c r="RRR45" s="579"/>
      <c r="RRS45" s="579"/>
      <c r="RRT45" s="579"/>
      <c r="RRU45" s="579"/>
      <c r="RRV45" s="579"/>
      <c r="RRW45" s="579"/>
      <c r="RRX45" s="579"/>
      <c r="RRY45" s="579"/>
      <c r="RRZ45" s="579"/>
      <c r="RSA45" s="579"/>
      <c r="RSB45" s="579"/>
      <c r="RSC45" s="579"/>
      <c r="RSD45" s="579"/>
      <c r="RSE45" s="579"/>
      <c r="RSF45" s="579"/>
      <c r="RSG45" s="579"/>
      <c r="RSH45" s="579"/>
      <c r="RSI45" s="579"/>
      <c r="RSJ45" s="579"/>
      <c r="RSK45" s="579"/>
      <c r="RSL45" s="579"/>
      <c r="RSM45" s="579"/>
      <c r="RSN45" s="579"/>
      <c r="RSO45" s="579"/>
      <c r="RSP45" s="579"/>
      <c r="RSQ45" s="579"/>
      <c r="RSR45" s="579"/>
      <c r="RSS45" s="579"/>
      <c r="RST45" s="579"/>
      <c r="RSU45" s="579"/>
      <c r="RSV45" s="579"/>
      <c r="RSW45" s="579"/>
      <c r="RSX45" s="579"/>
      <c r="RSY45" s="579"/>
      <c r="RSZ45" s="579"/>
      <c r="RTA45" s="579"/>
      <c r="RTB45" s="579"/>
      <c r="RTC45" s="579"/>
      <c r="RTD45" s="579"/>
      <c r="RTE45" s="579"/>
      <c r="RTF45" s="579"/>
      <c r="RTG45" s="579"/>
      <c r="RTH45" s="579"/>
      <c r="RTI45" s="579"/>
      <c r="RTJ45" s="579"/>
      <c r="RTK45" s="579"/>
      <c r="RTL45" s="579"/>
      <c r="RTM45" s="579"/>
      <c r="RTN45" s="579"/>
      <c r="RTO45" s="579"/>
      <c r="RTP45" s="579"/>
      <c r="RTQ45" s="579"/>
      <c r="RTR45" s="579"/>
      <c r="RTS45" s="579"/>
      <c r="RTT45" s="579"/>
      <c r="RTU45" s="579"/>
      <c r="RTV45" s="579"/>
      <c r="RTW45" s="579"/>
      <c r="RTX45" s="579"/>
      <c r="RTY45" s="579"/>
      <c r="RTZ45" s="579"/>
      <c r="RUA45" s="579"/>
      <c r="RUB45" s="579"/>
      <c r="RUC45" s="579"/>
      <c r="RUD45" s="579"/>
      <c r="RUE45" s="579"/>
      <c r="RUF45" s="579"/>
      <c r="RUG45" s="579"/>
      <c r="RUH45" s="579"/>
      <c r="RUI45" s="579"/>
      <c r="RUJ45" s="579"/>
      <c r="RUK45" s="579"/>
      <c r="RUL45" s="579"/>
      <c r="RUM45" s="579"/>
      <c r="RUN45" s="579"/>
      <c r="RUO45" s="579"/>
      <c r="RUP45" s="579"/>
      <c r="RUQ45" s="579"/>
      <c r="RUR45" s="579"/>
      <c r="RUS45" s="579"/>
      <c r="RUT45" s="579"/>
      <c r="RUU45" s="579"/>
      <c r="RUV45" s="579"/>
      <c r="RUW45" s="579"/>
      <c r="RUX45" s="579"/>
      <c r="RUY45" s="579"/>
      <c r="RUZ45" s="579"/>
      <c r="RVA45" s="579"/>
      <c r="RVB45" s="579"/>
      <c r="RVC45" s="579"/>
      <c r="RVD45" s="579"/>
      <c r="RVE45" s="579"/>
      <c r="RVF45" s="579"/>
      <c r="RVG45" s="579"/>
      <c r="RVH45" s="579"/>
      <c r="RVI45" s="579"/>
      <c r="RVJ45" s="579"/>
      <c r="RVK45" s="579"/>
      <c r="RVL45" s="579"/>
      <c r="RVM45" s="579"/>
      <c r="RVN45" s="579"/>
      <c r="RVO45" s="579"/>
      <c r="RVP45" s="579"/>
      <c r="RVQ45" s="579"/>
      <c r="RVR45" s="579"/>
      <c r="RVS45" s="579"/>
      <c r="RVT45" s="579"/>
      <c r="RVU45" s="579"/>
      <c r="RVV45" s="579"/>
      <c r="RVW45" s="579"/>
      <c r="RVX45" s="579"/>
      <c r="RVY45" s="579"/>
      <c r="RVZ45" s="579"/>
      <c r="RWA45" s="579"/>
      <c r="RWB45" s="579"/>
      <c r="RWC45" s="579"/>
      <c r="RWD45" s="579"/>
      <c r="RWE45" s="579"/>
      <c r="RWF45" s="579"/>
      <c r="RWG45" s="579"/>
      <c r="RWH45" s="579"/>
      <c r="RWI45" s="579"/>
      <c r="RWJ45" s="579"/>
      <c r="RWK45" s="579"/>
      <c r="RWL45" s="579"/>
      <c r="RWM45" s="579"/>
      <c r="RWN45" s="579"/>
      <c r="RWO45" s="579"/>
      <c r="RWP45" s="579"/>
      <c r="RWQ45" s="579"/>
      <c r="RWR45" s="579"/>
      <c r="RWS45" s="579"/>
      <c r="RWT45" s="579"/>
      <c r="RWU45" s="579"/>
      <c r="RWV45" s="579"/>
      <c r="RWW45" s="579"/>
      <c r="RWX45" s="579"/>
      <c r="RWY45" s="579"/>
      <c r="RWZ45" s="579"/>
      <c r="RXA45" s="579"/>
      <c r="RXB45" s="579"/>
      <c r="RXC45" s="579"/>
      <c r="RXD45" s="579"/>
      <c r="RXE45" s="579"/>
      <c r="RXF45" s="579"/>
      <c r="RXG45" s="579"/>
      <c r="RXH45" s="579"/>
      <c r="RXI45" s="579"/>
      <c r="RXJ45" s="579"/>
      <c r="RXK45" s="579"/>
      <c r="RXL45" s="579"/>
      <c r="RXM45" s="579"/>
      <c r="RXN45" s="579"/>
      <c r="RXO45" s="579"/>
      <c r="RXP45" s="579"/>
      <c r="RXQ45" s="579"/>
      <c r="RXR45" s="579"/>
      <c r="RXS45" s="579"/>
      <c r="RXT45" s="579"/>
      <c r="RXU45" s="579"/>
      <c r="RXV45" s="579"/>
      <c r="RXW45" s="579"/>
      <c r="RXX45" s="579"/>
      <c r="RXY45" s="579"/>
      <c r="RXZ45" s="579"/>
      <c r="RYA45" s="579"/>
      <c r="RYB45" s="579"/>
      <c r="RYC45" s="579"/>
      <c r="RYD45" s="579"/>
      <c r="RYE45" s="579"/>
      <c r="RYF45" s="579"/>
      <c r="RYG45" s="579"/>
      <c r="RYH45" s="579"/>
      <c r="RYI45" s="579"/>
      <c r="RYJ45" s="579"/>
      <c r="RYK45" s="579"/>
      <c r="RYL45" s="579"/>
      <c r="RYM45" s="579"/>
      <c r="RYN45" s="579"/>
      <c r="RYO45" s="579"/>
      <c r="RYP45" s="579"/>
      <c r="RYQ45" s="579"/>
      <c r="RYR45" s="579"/>
      <c r="RYS45" s="579"/>
      <c r="RYT45" s="579"/>
      <c r="RYU45" s="579"/>
      <c r="RYV45" s="579"/>
      <c r="RYW45" s="579"/>
      <c r="RYX45" s="579"/>
      <c r="RYY45" s="579"/>
      <c r="RYZ45" s="579"/>
      <c r="RZA45" s="579"/>
      <c r="RZB45" s="579"/>
      <c r="RZC45" s="579"/>
      <c r="RZD45" s="579"/>
      <c r="RZE45" s="579"/>
      <c r="RZF45" s="579"/>
      <c r="RZG45" s="579"/>
      <c r="RZH45" s="579"/>
      <c r="RZI45" s="579"/>
      <c r="RZJ45" s="579"/>
      <c r="RZK45" s="579"/>
      <c r="RZL45" s="579"/>
      <c r="RZM45" s="579"/>
      <c r="RZN45" s="579"/>
      <c r="RZO45" s="579"/>
      <c r="RZP45" s="579"/>
      <c r="RZQ45" s="579"/>
      <c r="RZR45" s="579"/>
      <c r="RZS45" s="579"/>
      <c r="RZT45" s="579"/>
      <c r="RZU45" s="579"/>
      <c r="RZV45" s="579"/>
      <c r="RZW45" s="579"/>
      <c r="RZX45" s="579"/>
      <c r="RZY45" s="579"/>
      <c r="RZZ45" s="579"/>
      <c r="SAA45" s="579"/>
      <c r="SAB45" s="579"/>
      <c r="SAC45" s="579"/>
      <c r="SAD45" s="579"/>
      <c r="SAE45" s="579"/>
      <c r="SAF45" s="579"/>
      <c r="SAG45" s="579"/>
      <c r="SAH45" s="579"/>
      <c r="SAI45" s="579"/>
      <c r="SAJ45" s="579"/>
      <c r="SAK45" s="579"/>
      <c r="SAL45" s="579"/>
      <c r="SAM45" s="579"/>
      <c r="SAN45" s="579"/>
      <c r="SAO45" s="579"/>
      <c r="SAP45" s="579"/>
      <c r="SAQ45" s="579"/>
      <c r="SAR45" s="579"/>
      <c r="SAS45" s="579"/>
      <c r="SAT45" s="579"/>
      <c r="SAU45" s="579"/>
      <c r="SAV45" s="579"/>
      <c r="SAW45" s="579"/>
      <c r="SAX45" s="579"/>
      <c r="SAY45" s="579"/>
      <c r="SAZ45" s="579"/>
      <c r="SBA45" s="579"/>
      <c r="SBB45" s="579"/>
      <c r="SBC45" s="579"/>
      <c r="SBD45" s="579"/>
      <c r="SBE45" s="579"/>
      <c r="SBF45" s="579"/>
      <c r="SBG45" s="579"/>
      <c r="SBH45" s="579"/>
      <c r="SBI45" s="579"/>
      <c r="SBJ45" s="579"/>
      <c r="SBK45" s="579"/>
      <c r="SBL45" s="579"/>
      <c r="SBM45" s="579"/>
      <c r="SBN45" s="579"/>
      <c r="SBO45" s="579"/>
      <c r="SBP45" s="579"/>
      <c r="SBQ45" s="579"/>
      <c r="SBR45" s="579"/>
      <c r="SBS45" s="579"/>
      <c r="SBT45" s="579"/>
      <c r="SBU45" s="579"/>
      <c r="SBV45" s="579"/>
      <c r="SBW45" s="579"/>
      <c r="SBX45" s="579"/>
      <c r="SBY45" s="579"/>
      <c r="SBZ45" s="579"/>
      <c r="SCA45" s="579"/>
      <c r="SCB45" s="579"/>
      <c r="SCC45" s="579"/>
      <c r="SCD45" s="579"/>
      <c r="SCE45" s="579"/>
      <c r="SCF45" s="579"/>
      <c r="SCG45" s="579"/>
      <c r="SCH45" s="579"/>
      <c r="SCI45" s="579"/>
      <c r="SCJ45" s="579"/>
      <c r="SCK45" s="579"/>
      <c r="SCL45" s="579"/>
      <c r="SCM45" s="579"/>
      <c r="SCN45" s="579"/>
      <c r="SCO45" s="579"/>
      <c r="SCP45" s="579"/>
      <c r="SCQ45" s="579"/>
      <c r="SCR45" s="579"/>
      <c r="SCS45" s="579"/>
      <c r="SCT45" s="579"/>
      <c r="SCU45" s="579"/>
      <c r="SCV45" s="579"/>
      <c r="SCW45" s="579"/>
      <c r="SCX45" s="579"/>
      <c r="SCY45" s="579"/>
      <c r="SCZ45" s="579"/>
      <c r="SDA45" s="579"/>
      <c r="SDB45" s="579"/>
      <c r="SDC45" s="579"/>
      <c r="SDD45" s="579"/>
      <c r="SDE45" s="579"/>
      <c r="SDF45" s="579"/>
      <c r="SDG45" s="579"/>
      <c r="SDH45" s="579"/>
      <c r="SDI45" s="579"/>
      <c r="SDJ45" s="579"/>
      <c r="SDK45" s="579"/>
      <c r="SDL45" s="579"/>
      <c r="SDM45" s="579"/>
      <c r="SDN45" s="579"/>
      <c r="SDO45" s="579"/>
      <c r="SDP45" s="579"/>
      <c r="SDQ45" s="579"/>
      <c r="SDR45" s="579"/>
      <c r="SDS45" s="579"/>
      <c r="SDT45" s="579"/>
      <c r="SDU45" s="579"/>
      <c r="SDV45" s="579"/>
      <c r="SDW45" s="579"/>
      <c r="SDX45" s="579"/>
      <c r="SDY45" s="579"/>
      <c r="SDZ45" s="579"/>
      <c r="SEA45" s="579"/>
      <c r="SEB45" s="579"/>
      <c r="SEC45" s="579"/>
      <c r="SED45" s="579"/>
      <c r="SEE45" s="579"/>
      <c r="SEF45" s="579"/>
      <c r="SEG45" s="579"/>
      <c r="SEH45" s="579"/>
      <c r="SEI45" s="579"/>
      <c r="SEJ45" s="579"/>
      <c r="SEK45" s="579"/>
      <c r="SEL45" s="579"/>
      <c r="SEM45" s="579"/>
      <c r="SEN45" s="579"/>
      <c r="SEO45" s="579"/>
      <c r="SEP45" s="579"/>
      <c r="SEQ45" s="579"/>
      <c r="SER45" s="579"/>
      <c r="SES45" s="579"/>
      <c r="SET45" s="579"/>
      <c r="SEU45" s="579"/>
      <c r="SEV45" s="579"/>
      <c r="SEW45" s="579"/>
      <c r="SEX45" s="579"/>
      <c r="SEY45" s="579"/>
      <c r="SEZ45" s="579"/>
      <c r="SFA45" s="579"/>
      <c r="SFB45" s="579"/>
      <c r="SFC45" s="579"/>
      <c r="SFD45" s="579"/>
      <c r="SFE45" s="579"/>
      <c r="SFF45" s="579"/>
      <c r="SFG45" s="579"/>
      <c r="SFH45" s="579"/>
      <c r="SFI45" s="579"/>
      <c r="SFJ45" s="579"/>
      <c r="SFK45" s="579"/>
      <c r="SFL45" s="579"/>
      <c r="SFM45" s="579"/>
      <c r="SFN45" s="579"/>
      <c r="SFO45" s="579"/>
      <c r="SFP45" s="579"/>
      <c r="SFQ45" s="579"/>
      <c r="SFR45" s="579"/>
      <c r="SFS45" s="579"/>
      <c r="SFT45" s="579"/>
      <c r="SFU45" s="579"/>
      <c r="SFV45" s="579"/>
      <c r="SFW45" s="579"/>
      <c r="SFX45" s="579"/>
      <c r="SFY45" s="579"/>
      <c r="SFZ45" s="579"/>
      <c r="SGA45" s="579"/>
      <c r="SGB45" s="579"/>
      <c r="SGC45" s="579"/>
      <c r="SGD45" s="579"/>
      <c r="SGE45" s="579"/>
      <c r="SGF45" s="579"/>
      <c r="SGG45" s="579"/>
      <c r="SGH45" s="579"/>
      <c r="SGI45" s="579"/>
      <c r="SGJ45" s="579"/>
      <c r="SGK45" s="579"/>
      <c r="SGL45" s="579"/>
      <c r="SGM45" s="579"/>
      <c r="SGN45" s="579"/>
      <c r="SGO45" s="579"/>
      <c r="SGP45" s="579"/>
      <c r="SGQ45" s="579"/>
      <c r="SGR45" s="579"/>
      <c r="SGS45" s="579"/>
      <c r="SGT45" s="579"/>
      <c r="SGU45" s="579"/>
      <c r="SGV45" s="579"/>
      <c r="SGW45" s="579"/>
      <c r="SGX45" s="579"/>
      <c r="SGY45" s="579"/>
      <c r="SGZ45" s="579"/>
      <c r="SHA45" s="579"/>
      <c r="SHB45" s="579"/>
      <c r="SHC45" s="579"/>
      <c r="SHD45" s="579"/>
      <c r="SHE45" s="579"/>
      <c r="SHF45" s="579"/>
      <c r="SHG45" s="579"/>
      <c r="SHH45" s="579"/>
      <c r="SHI45" s="579"/>
      <c r="SHJ45" s="579"/>
      <c r="SHK45" s="579"/>
      <c r="SHL45" s="579"/>
      <c r="SHM45" s="579"/>
      <c r="SHN45" s="579"/>
      <c r="SHO45" s="579"/>
      <c r="SHP45" s="579"/>
      <c r="SHQ45" s="579"/>
      <c r="SHR45" s="579"/>
      <c r="SHS45" s="579"/>
      <c r="SHT45" s="579"/>
      <c r="SHU45" s="579"/>
      <c r="SHV45" s="579"/>
      <c r="SHW45" s="579"/>
      <c r="SHX45" s="579"/>
      <c r="SHY45" s="579"/>
      <c r="SHZ45" s="579"/>
      <c r="SIA45" s="579"/>
      <c r="SIB45" s="579"/>
      <c r="SIC45" s="579"/>
      <c r="SID45" s="579"/>
      <c r="SIE45" s="579"/>
      <c r="SIF45" s="579"/>
      <c r="SIG45" s="579"/>
      <c r="SIH45" s="579"/>
      <c r="SII45" s="579"/>
      <c r="SIJ45" s="579"/>
      <c r="SIK45" s="579"/>
      <c r="SIL45" s="579"/>
      <c r="SIM45" s="579"/>
      <c r="SIN45" s="579"/>
      <c r="SIO45" s="579"/>
      <c r="SIP45" s="579"/>
      <c r="SIQ45" s="579"/>
      <c r="SIR45" s="579"/>
      <c r="SIS45" s="579"/>
      <c r="SIT45" s="579"/>
      <c r="SIU45" s="579"/>
      <c r="SIV45" s="579"/>
      <c r="SIW45" s="579"/>
      <c r="SIX45" s="579"/>
      <c r="SIY45" s="579"/>
      <c r="SIZ45" s="579"/>
      <c r="SJA45" s="579"/>
      <c r="SJB45" s="579"/>
      <c r="SJC45" s="579"/>
      <c r="SJD45" s="579"/>
      <c r="SJE45" s="579"/>
      <c r="SJF45" s="579"/>
      <c r="SJG45" s="579"/>
      <c r="SJH45" s="579"/>
      <c r="SJI45" s="579"/>
      <c r="SJJ45" s="579"/>
      <c r="SJK45" s="579"/>
      <c r="SJL45" s="579"/>
      <c r="SJM45" s="579"/>
      <c r="SJN45" s="579"/>
      <c r="SJO45" s="579"/>
      <c r="SJP45" s="579"/>
      <c r="SJQ45" s="579"/>
      <c r="SJR45" s="579"/>
      <c r="SJS45" s="579"/>
      <c r="SJT45" s="579"/>
      <c r="SJU45" s="579"/>
      <c r="SJV45" s="579"/>
      <c r="SJW45" s="579"/>
      <c r="SJX45" s="579"/>
      <c r="SJY45" s="579"/>
      <c r="SJZ45" s="579"/>
      <c r="SKA45" s="579"/>
      <c r="SKB45" s="579"/>
      <c r="SKC45" s="579"/>
      <c r="SKD45" s="579"/>
      <c r="SKE45" s="579"/>
      <c r="SKF45" s="579"/>
      <c r="SKG45" s="579"/>
      <c r="SKH45" s="579"/>
      <c r="SKI45" s="579"/>
      <c r="SKJ45" s="579"/>
      <c r="SKK45" s="579"/>
      <c r="SKL45" s="579"/>
      <c r="SKM45" s="579"/>
      <c r="SKN45" s="579"/>
      <c r="SKO45" s="579"/>
      <c r="SKP45" s="579"/>
      <c r="SKQ45" s="579"/>
      <c r="SKR45" s="579"/>
      <c r="SKS45" s="579"/>
      <c r="SKT45" s="579"/>
      <c r="SKU45" s="579"/>
      <c r="SKV45" s="579"/>
      <c r="SKW45" s="579"/>
      <c r="SKX45" s="579"/>
      <c r="SKY45" s="579"/>
      <c r="SKZ45" s="579"/>
      <c r="SLA45" s="579"/>
      <c r="SLB45" s="579"/>
      <c r="SLC45" s="579"/>
      <c r="SLD45" s="579"/>
      <c r="SLE45" s="579"/>
      <c r="SLF45" s="579"/>
      <c r="SLG45" s="579"/>
      <c r="SLH45" s="579"/>
      <c r="SLI45" s="579"/>
      <c r="SLJ45" s="579"/>
      <c r="SLK45" s="579"/>
      <c r="SLL45" s="579"/>
      <c r="SLM45" s="579"/>
      <c r="SLN45" s="579"/>
      <c r="SLO45" s="579"/>
      <c r="SLP45" s="579"/>
      <c r="SLQ45" s="579"/>
      <c r="SLR45" s="579"/>
      <c r="SLS45" s="579"/>
      <c r="SLT45" s="579"/>
      <c r="SLU45" s="579"/>
      <c r="SLV45" s="579"/>
      <c r="SLW45" s="579"/>
      <c r="SLX45" s="579"/>
      <c r="SLY45" s="579"/>
      <c r="SLZ45" s="579"/>
      <c r="SMA45" s="579"/>
      <c r="SMB45" s="579"/>
      <c r="SMC45" s="579"/>
      <c r="SMD45" s="579"/>
      <c r="SME45" s="579"/>
      <c r="SMF45" s="579"/>
      <c r="SMG45" s="579"/>
      <c r="SMH45" s="579"/>
      <c r="SMI45" s="579"/>
      <c r="SMJ45" s="579"/>
      <c r="SMK45" s="579"/>
      <c r="SML45" s="579"/>
      <c r="SMM45" s="579"/>
      <c r="SMN45" s="579"/>
      <c r="SMO45" s="579"/>
      <c r="SMP45" s="579"/>
      <c r="SMQ45" s="579"/>
      <c r="SMR45" s="579"/>
      <c r="SMS45" s="579"/>
      <c r="SMT45" s="579"/>
      <c r="SMU45" s="579"/>
      <c r="SMV45" s="579"/>
      <c r="SMW45" s="579"/>
      <c r="SMX45" s="579"/>
      <c r="SMY45" s="579"/>
      <c r="SMZ45" s="579"/>
      <c r="SNA45" s="579"/>
      <c r="SNB45" s="579"/>
      <c r="SNC45" s="579"/>
      <c r="SND45" s="579"/>
      <c r="SNE45" s="579"/>
      <c r="SNF45" s="579"/>
      <c r="SNG45" s="579"/>
      <c r="SNH45" s="579"/>
      <c r="SNI45" s="579"/>
      <c r="SNJ45" s="579"/>
      <c r="SNK45" s="579"/>
      <c r="SNL45" s="579"/>
      <c r="SNM45" s="579"/>
      <c r="SNN45" s="579"/>
      <c r="SNO45" s="579"/>
      <c r="SNP45" s="579"/>
      <c r="SNQ45" s="579"/>
      <c r="SNR45" s="579"/>
      <c r="SNS45" s="579"/>
      <c r="SNT45" s="579"/>
      <c r="SNU45" s="579"/>
      <c r="SNV45" s="579"/>
      <c r="SNW45" s="579"/>
      <c r="SNX45" s="579"/>
      <c r="SNY45" s="579"/>
      <c r="SNZ45" s="579"/>
      <c r="SOA45" s="579"/>
      <c r="SOB45" s="579"/>
      <c r="SOC45" s="579"/>
      <c r="SOD45" s="579"/>
      <c r="SOE45" s="579"/>
      <c r="SOF45" s="579"/>
      <c r="SOG45" s="579"/>
      <c r="SOH45" s="579"/>
      <c r="SOI45" s="579"/>
      <c r="SOJ45" s="579"/>
      <c r="SOK45" s="579"/>
      <c r="SOL45" s="579"/>
      <c r="SOM45" s="579"/>
      <c r="SON45" s="579"/>
      <c r="SOO45" s="579"/>
      <c r="SOP45" s="579"/>
      <c r="SOQ45" s="579"/>
      <c r="SOR45" s="579"/>
      <c r="SOS45" s="579"/>
      <c r="SOT45" s="579"/>
      <c r="SOU45" s="579"/>
      <c r="SOV45" s="579"/>
      <c r="SOW45" s="579"/>
      <c r="SOX45" s="579"/>
      <c r="SOY45" s="579"/>
      <c r="SOZ45" s="579"/>
      <c r="SPA45" s="579"/>
      <c r="SPB45" s="579"/>
      <c r="SPC45" s="579"/>
      <c r="SPD45" s="579"/>
      <c r="SPE45" s="579"/>
      <c r="SPF45" s="579"/>
      <c r="SPG45" s="579"/>
      <c r="SPH45" s="579"/>
      <c r="SPI45" s="579"/>
      <c r="SPJ45" s="579"/>
      <c r="SPK45" s="579"/>
      <c r="SPL45" s="579"/>
      <c r="SPM45" s="579"/>
      <c r="SPN45" s="579"/>
      <c r="SPO45" s="579"/>
      <c r="SPP45" s="579"/>
      <c r="SPQ45" s="579"/>
      <c r="SPR45" s="579"/>
      <c r="SPS45" s="579"/>
      <c r="SPT45" s="579"/>
      <c r="SPU45" s="579"/>
      <c r="SPV45" s="579"/>
      <c r="SPW45" s="579"/>
      <c r="SPX45" s="579"/>
      <c r="SPY45" s="579"/>
      <c r="SPZ45" s="579"/>
      <c r="SQA45" s="579"/>
      <c r="SQB45" s="579"/>
      <c r="SQC45" s="579"/>
      <c r="SQD45" s="579"/>
      <c r="SQE45" s="579"/>
      <c r="SQF45" s="579"/>
      <c r="SQG45" s="579"/>
      <c r="SQH45" s="579"/>
      <c r="SQI45" s="579"/>
      <c r="SQJ45" s="579"/>
      <c r="SQK45" s="579"/>
      <c r="SQL45" s="579"/>
      <c r="SQM45" s="579"/>
      <c r="SQN45" s="579"/>
      <c r="SQO45" s="579"/>
      <c r="SQP45" s="579"/>
      <c r="SQQ45" s="579"/>
      <c r="SQR45" s="579"/>
      <c r="SQS45" s="579"/>
      <c r="SQT45" s="579"/>
      <c r="SQU45" s="579"/>
      <c r="SQV45" s="579"/>
      <c r="SQW45" s="579"/>
      <c r="SQX45" s="579"/>
      <c r="SQY45" s="579"/>
      <c r="SQZ45" s="579"/>
      <c r="SRA45" s="579"/>
      <c r="SRB45" s="579"/>
      <c r="SRC45" s="579"/>
      <c r="SRD45" s="579"/>
      <c r="SRE45" s="579"/>
      <c r="SRF45" s="579"/>
      <c r="SRG45" s="579"/>
      <c r="SRH45" s="579"/>
      <c r="SRI45" s="579"/>
      <c r="SRJ45" s="579"/>
      <c r="SRK45" s="579"/>
      <c r="SRL45" s="579"/>
      <c r="SRM45" s="579"/>
      <c r="SRN45" s="579"/>
      <c r="SRO45" s="579"/>
      <c r="SRP45" s="579"/>
      <c r="SRQ45" s="579"/>
      <c r="SRR45" s="579"/>
      <c r="SRS45" s="579"/>
      <c r="SRT45" s="579"/>
      <c r="SRU45" s="579"/>
      <c r="SRV45" s="579"/>
      <c r="SRW45" s="579"/>
      <c r="SRX45" s="579"/>
      <c r="SRY45" s="579"/>
      <c r="SRZ45" s="579"/>
      <c r="SSA45" s="579"/>
      <c r="SSB45" s="579"/>
      <c r="SSC45" s="579"/>
      <c r="SSD45" s="579"/>
      <c r="SSE45" s="579"/>
      <c r="SSF45" s="579"/>
      <c r="SSG45" s="579"/>
      <c r="SSH45" s="579"/>
      <c r="SSI45" s="579"/>
      <c r="SSJ45" s="579"/>
      <c r="SSK45" s="579"/>
      <c r="SSL45" s="579"/>
      <c r="SSM45" s="579"/>
      <c r="SSN45" s="579"/>
      <c r="SSO45" s="579"/>
      <c r="SSP45" s="579"/>
      <c r="SSQ45" s="579"/>
      <c r="SSR45" s="579"/>
      <c r="SSS45" s="579"/>
      <c r="SST45" s="579"/>
      <c r="SSU45" s="579"/>
      <c r="SSV45" s="579"/>
      <c r="SSW45" s="579"/>
      <c r="SSX45" s="579"/>
      <c r="SSY45" s="579"/>
      <c r="SSZ45" s="579"/>
      <c r="STA45" s="579"/>
      <c r="STB45" s="579"/>
      <c r="STC45" s="579"/>
      <c r="STD45" s="579"/>
      <c r="STE45" s="579"/>
      <c r="STF45" s="579"/>
      <c r="STG45" s="579"/>
      <c r="STH45" s="579"/>
      <c r="STI45" s="579"/>
      <c r="STJ45" s="579"/>
      <c r="STK45" s="579"/>
      <c r="STL45" s="579"/>
      <c r="STM45" s="579"/>
      <c r="STN45" s="579"/>
      <c r="STO45" s="579"/>
      <c r="STP45" s="579"/>
      <c r="STQ45" s="579"/>
      <c r="STR45" s="579"/>
      <c r="STS45" s="579"/>
      <c r="STT45" s="579"/>
      <c r="STU45" s="579"/>
      <c r="STV45" s="579"/>
      <c r="STW45" s="579"/>
      <c r="STX45" s="579"/>
      <c r="STY45" s="579"/>
      <c r="STZ45" s="579"/>
      <c r="SUA45" s="579"/>
      <c r="SUB45" s="579"/>
      <c r="SUC45" s="579"/>
      <c r="SUD45" s="579"/>
      <c r="SUE45" s="579"/>
      <c r="SUF45" s="579"/>
      <c r="SUG45" s="579"/>
      <c r="SUH45" s="579"/>
      <c r="SUI45" s="579"/>
      <c r="SUJ45" s="579"/>
      <c r="SUK45" s="579"/>
      <c r="SUL45" s="579"/>
      <c r="SUM45" s="579"/>
      <c r="SUN45" s="579"/>
      <c r="SUO45" s="579"/>
      <c r="SUP45" s="579"/>
      <c r="SUQ45" s="579"/>
      <c r="SUR45" s="579"/>
      <c r="SUS45" s="579"/>
      <c r="SUT45" s="579"/>
      <c r="SUU45" s="579"/>
      <c r="SUV45" s="579"/>
      <c r="SUW45" s="579"/>
      <c r="SUX45" s="579"/>
      <c r="SUY45" s="579"/>
      <c r="SUZ45" s="579"/>
      <c r="SVA45" s="579"/>
      <c r="SVB45" s="579"/>
      <c r="SVC45" s="579"/>
      <c r="SVD45" s="579"/>
      <c r="SVE45" s="579"/>
      <c r="SVF45" s="579"/>
      <c r="SVG45" s="579"/>
      <c r="SVH45" s="579"/>
      <c r="SVI45" s="579"/>
      <c r="SVJ45" s="579"/>
      <c r="SVK45" s="579"/>
      <c r="SVL45" s="579"/>
      <c r="SVM45" s="579"/>
      <c r="SVN45" s="579"/>
      <c r="SVO45" s="579"/>
      <c r="SVP45" s="579"/>
      <c r="SVQ45" s="579"/>
      <c r="SVR45" s="579"/>
      <c r="SVS45" s="579"/>
      <c r="SVT45" s="579"/>
      <c r="SVU45" s="579"/>
      <c r="SVV45" s="579"/>
      <c r="SVW45" s="579"/>
      <c r="SVX45" s="579"/>
      <c r="SVY45" s="579"/>
      <c r="SVZ45" s="579"/>
      <c r="SWA45" s="579"/>
      <c r="SWB45" s="579"/>
      <c r="SWC45" s="579"/>
      <c r="SWD45" s="579"/>
      <c r="SWE45" s="579"/>
      <c r="SWF45" s="579"/>
      <c r="SWG45" s="579"/>
      <c r="SWH45" s="579"/>
      <c r="SWI45" s="579"/>
      <c r="SWJ45" s="579"/>
      <c r="SWK45" s="579"/>
      <c r="SWL45" s="579"/>
      <c r="SWM45" s="579"/>
      <c r="SWN45" s="579"/>
      <c r="SWO45" s="579"/>
      <c r="SWP45" s="579"/>
      <c r="SWQ45" s="579"/>
      <c r="SWR45" s="579"/>
      <c r="SWS45" s="579"/>
      <c r="SWT45" s="579"/>
      <c r="SWU45" s="579"/>
      <c r="SWV45" s="579"/>
      <c r="SWW45" s="579"/>
      <c r="SWX45" s="579"/>
      <c r="SWY45" s="579"/>
      <c r="SWZ45" s="579"/>
      <c r="SXA45" s="579"/>
      <c r="SXB45" s="579"/>
      <c r="SXC45" s="579"/>
      <c r="SXD45" s="579"/>
      <c r="SXE45" s="579"/>
      <c r="SXF45" s="579"/>
      <c r="SXG45" s="579"/>
      <c r="SXH45" s="579"/>
      <c r="SXI45" s="579"/>
      <c r="SXJ45" s="579"/>
      <c r="SXK45" s="579"/>
      <c r="SXL45" s="579"/>
      <c r="SXM45" s="579"/>
      <c r="SXN45" s="579"/>
      <c r="SXO45" s="579"/>
      <c r="SXP45" s="579"/>
      <c r="SXQ45" s="579"/>
      <c r="SXR45" s="579"/>
      <c r="SXS45" s="579"/>
      <c r="SXT45" s="579"/>
      <c r="SXU45" s="579"/>
      <c r="SXV45" s="579"/>
      <c r="SXW45" s="579"/>
      <c r="SXX45" s="579"/>
      <c r="SXY45" s="579"/>
      <c r="SXZ45" s="579"/>
      <c r="SYA45" s="579"/>
      <c r="SYB45" s="579"/>
      <c r="SYC45" s="579"/>
      <c r="SYD45" s="579"/>
      <c r="SYE45" s="579"/>
      <c r="SYF45" s="579"/>
      <c r="SYG45" s="579"/>
      <c r="SYH45" s="579"/>
      <c r="SYI45" s="579"/>
      <c r="SYJ45" s="579"/>
      <c r="SYK45" s="579"/>
      <c r="SYL45" s="579"/>
      <c r="SYM45" s="579"/>
      <c r="SYN45" s="579"/>
      <c r="SYO45" s="579"/>
      <c r="SYP45" s="579"/>
      <c r="SYQ45" s="579"/>
      <c r="SYR45" s="579"/>
      <c r="SYS45" s="579"/>
      <c r="SYT45" s="579"/>
      <c r="SYU45" s="579"/>
      <c r="SYV45" s="579"/>
      <c r="SYW45" s="579"/>
      <c r="SYX45" s="579"/>
      <c r="SYY45" s="579"/>
      <c r="SYZ45" s="579"/>
      <c r="SZA45" s="579"/>
      <c r="SZB45" s="579"/>
      <c r="SZC45" s="579"/>
      <c r="SZD45" s="579"/>
      <c r="SZE45" s="579"/>
      <c r="SZF45" s="579"/>
      <c r="SZG45" s="579"/>
      <c r="SZH45" s="579"/>
      <c r="SZI45" s="579"/>
      <c r="SZJ45" s="579"/>
      <c r="SZK45" s="579"/>
      <c r="SZL45" s="579"/>
      <c r="SZM45" s="579"/>
      <c r="SZN45" s="579"/>
      <c r="SZO45" s="579"/>
      <c r="SZP45" s="579"/>
      <c r="SZQ45" s="579"/>
      <c r="SZR45" s="579"/>
      <c r="SZS45" s="579"/>
      <c r="SZT45" s="579"/>
      <c r="SZU45" s="579"/>
      <c r="SZV45" s="579"/>
      <c r="SZW45" s="579"/>
      <c r="SZX45" s="579"/>
      <c r="SZY45" s="579"/>
      <c r="SZZ45" s="579"/>
      <c r="TAA45" s="579"/>
      <c r="TAB45" s="579"/>
      <c r="TAC45" s="579"/>
      <c r="TAD45" s="579"/>
      <c r="TAE45" s="579"/>
      <c r="TAF45" s="579"/>
      <c r="TAG45" s="579"/>
      <c r="TAH45" s="579"/>
      <c r="TAI45" s="579"/>
      <c r="TAJ45" s="579"/>
      <c r="TAK45" s="579"/>
      <c r="TAL45" s="579"/>
      <c r="TAM45" s="579"/>
      <c r="TAN45" s="579"/>
      <c r="TAO45" s="579"/>
      <c r="TAP45" s="579"/>
      <c r="TAQ45" s="579"/>
      <c r="TAR45" s="579"/>
      <c r="TAS45" s="579"/>
      <c r="TAT45" s="579"/>
      <c r="TAU45" s="579"/>
      <c r="TAV45" s="579"/>
      <c r="TAW45" s="579"/>
      <c r="TAX45" s="579"/>
      <c r="TAY45" s="579"/>
      <c r="TAZ45" s="579"/>
      <c r="TBA45" s="579"/>
      <c r="TBB45" s="579"/>
      <c r="TBC45" s="579"/>
      <c r="TBD45" s="579"/>
      <c r="TBE45" s="579"/>
      <c r="TBF45" s="579"/>
      <c r="TBG45" s="579"/>
      <c r="TBH45" s="579"/>
      <c r="TBI45" s="579"/>
      <c r="TBJ45" s="579"/>
      <c r="TBK45" s="579"/>
      <c r="TBL45" s="579"/>
      <c r="TBM45" s="579"/>
      <c r="TBN45" s="579"/>
      <c r="TBO45" s="579"/>
      <c r="TBP45" s="579"/>
      <c r="TBQ45" s="579"/>
      <c r="TBR45" s="579"/>
      <c r="TBS45" s="579"/>
      <c r="TBT45" s="579"/>
      <c r="TBU45" s="579"/>
      <c r="TBV45" s="579"/>
      <c r="TBW45" s="579"/>
      <c r="TBX45" s="579"/>
      <c r="TBY45" s="579"/>
      <c r="TBZ45" s="579"/>
      <c r="TCA45" s="579"/>
      <c r="TCB45" s="579"/>
      <c r="TCC45" s="579"/>
      <c r="TCD45" s="579"/>
      <c r="TCE45" s="579"/>
      <c r="TCF45" s="579"/>
      <c r="TCG45" s="579"/>
      <c r="TCH45" s="579"/>
      <c r="TCI45" s="579"/>
      <c r="TCJ45" s="579"/>
      <c r="TCK45" s="579"/>
      <c r="TCL45" s="579"/>
      <c r="TCM45" s="579"/>
      <c r="TCN45" s="579"/>
      <c r="TCO45" s="579"/>
      <c r="TCP45" s="579"/>
      <c r="TCQ45" s="579"/>
      <c r="TCR45" s="579"/>
      <c r="TCS45" s="579"/>
      <c r="TCT45" s="579"/>
      <c r="TCU45" s="579"/>
      <c r="TCV45" s="579"/>
      <c r="TCW45" s="579"/>
      <c r="TCX45" s="579"/>
      <c r="TCY45" s="579"/>
      <c r="TCZ45" s="579"/>
      <c r="TDA45" s="579"/>
      <c r="TDB45" s="579"/>
      <c r="TDC45" s="579"/>
      <c r="TDD45" s="579"/>
      <c r="TDE45" s="579"/>
      <c r="TDF45" s="579"/>
      <c r="TDG45" s="579"/>
      <c r="TDH45" s="579"/>
      <c r="TDI45" s="579"/>
      <c r="TDJ45" s="579"/>
      <c r="TDK45" s="579"/>
      <c r="TDL45" s="579"/>
      <c r="TDM45" s="579"/>
      <c r="TDN45" s="579"/>
      <c r="TDO45" s="579"/>
      <c r="TDP45" s="579"/>
      <c r="TDQ45" s="579"/>
      <c r="TDR45" s="579"/>
      <c r="TDS45" s="579"/>
      <c r="TDT45" s="579"/>
      <c r="TDU45" s="579"/>
      <c r="TDV45" s="579"/>
      <c r="TDW45" s="579"/>
      <c r="TDX45" s="579"/>
      <c r="TDY45" s="579"/>
      <c r="TDZ45" s="579"/>
      <c r="TEA45" s="579"/>
      <c r="TEB45" s="579"/>
      <c r="TEC45" s="579"/>
      <c r="TED45" s="579"/>
      <c r="TEE45" s="579"/>
      <c r="TEF45" s="579"/>
      <c r="TEG45" s="579"/>
      <c r="TEH45" s="579"/>
      <c r="TEI45" s="579"/>
      <c r="TEJ45" s="579"/>
      <c r="TEK45" s="579"/>
      <c r="TEL45" s="579"/>
      <c r="TEM45" s="579"/>
      <c r="TEN45" s="579"/>
      <c r="TEO45" s="579"/>
      <c r="TEP45" s="579"/>
      <c r="TEQ45" s="579"/>
      <c r="TER45" s="579"/>
      <c r="TES45" s="579"/>
      <c r="TET45" s="579"/>
      <c r="TEU45" s="579"/>
      <c r="TEV45" s="579"/>
      <c r="TEW45" s="579"/>
      <c r="TEX45" s="579"/>
      <c r="TEY45" s="579"/>
      <c r="TEZ45" s="579"/>
      <c r="TFA45" s="579"/>
      <c r="TFB45" s="579"/>
      <c r="TFC45" s="579"/>
      <c r="TFD45" s="579"/>
      <c r="TFE45" s="579"/>
      <c r="TFF45" s="579"/>
      <c r="TFG45" s="579"/>
      <c r="TFH45" s="579"/>
      <c r="TFI45" s="579"/>
      <c r="TFJ45" s="579"/>
      <c r="TFK45" s="579"/>
      <c r="TFL45" s="579"/>
      <c r="TFM45" s="579"/>
      <c r="TFN45" s="579"/>
      <c r="TFO45" s="579"/>
      <c r="TFP45" s="579"/>
      <c r="TFQ45" s="579"/>
      <c r="TFR45" s="579"/>
      <c r="TFS45" s="579"/>
      <c r="TFT45" s="579"/>
      <c r="TFU45" s="579"/>
      <c r="TFV45" s="579"/>
      <c r="TFW45" s="579"/>
      <c r="TFX45" s="579"/>
      <c r="TFY45" s="579"/>
      <c r="TFZ45" s="579"/>
      <c r="TGA45" s="579"/>
      <c r="TGB45" s="579"/>
      <c r="TGC45" s="579"/>
      <c r="TGD45" s="579"/>
      <c r="TGE45" s="579"/>
      <c r="TGF45" s="579"/>
      <c r="TGG45" s="579"/>
      <c r="TGH45" s="579"/>
      <c r="TGI45" s="579"/>
      <c r="TGJ45" s="579"/>
      <c r="TGK45" s="579"/>
      <c r="TGL45" s="579"/>
      <c r="TGM45" s="579"/>
      <c r="TGN45" s="579"/>
      <c r="TGO45" s="579"/>
      <c r="TGP45" s="579"/>
      <c r="TGQ45" s="579"/>
      <c r="TGR45" s="579"/>
      <c r="TGS45" s="579"/>
      <c r="TGT45" s="579"/>
      <c r="TGU45" s="579"/>
      <c r="TGV45" s="579"/>
      <c r="TGW45" s="579"/>
      <c r="TGX45" s="579"/>
      <c r="TGY45" s="579"/>
      <c r="TGZ45" s="579"/>
      <c r="THA45" s="579"/>
      <c r="THB45" s="579"/>
      <c r="THC45" s="579"/>
      <c r="THD45" s="579"/>
      <c r="THE45" s="579"/>
      <c r="THF45" s="579"/>
      <c r="THG45" s="579"/>
      <c r="THH45" s="579"/>
      <c r="THI45" s="579"/>
      <c r="THJ45" s="579"/>
      <c r="THK45" s="579"/>
      <c r="THL45" s="579"/>
      <c r="THM45" s="579"/>
      <c r="THN45" s="579"/>
      <c r="THO45" s="579"/>
      <c r="THP45" s="579"/>
      <c r="THQ45" s="579"/>
      <c r="THR45" s="579"/>
      <c r="THS45" s="579"/>
      <c r="THT45" s="579"/>
      <c r="THU45" s="579"/>
      <c r="THV45" s="579"/>
      <c r="THW45" s="579"/>
      <c r="THX45" s="579"/>
      <c r="THY45" s="579"/>
      <c r="THZ45" s="579"/>
      <c r="TIA45" s="579"/>
      <c r="TIB45" s="579"/>
      <c r="TIC45" s="579"/>
      <c r="TID45" s="579"/>
      <c r="TIE45" s="579"/>
      <c r="TIF45" s="579"/>
      <c r="TIG45" s="579"/>
      <c r="TIH45" s="579"/>
      <c r="TII45" s="579"/>
      <c r="TIJ45" s="579"/>
      <c r="TIK45" s="579"/>
      <c r="TIL45" s="579"/>
      <c r="TIM45" s="579"/>
      <c r="TIN45" s="579"/>
      <c r="TIO45" s="579"/>
      <c r="TIP45" s="579"/>
      <c r="TIQ45" s="579"/>
      <c r="TIR45" s="579"/>
      <c r="TIS45" s="579"/>
      <c r="TIT45" s="579"/>
      <c r="TIU45" s="579"/>
      <c r="TIV45" s="579"/>
      <c r="TIW45" s="579"/>
      <c r="TIX45" s="579"/>
      <c r="TIY45" s="579"/>
      <c r="TIZ45" s="579"/>
      <c r="TJA45" s="579"/>
      <c r="TJB45" s="579"/>
      <c r="TJC45" s="579"/>
      <c r="TJD45" s="579"/>
      <c r="TJE45" s="579"/>
      <c r="TJF45" s="579"/>
      <c r="TJG45" s="579"/>
      <c r="TJH45" s="579"/>
      <c r="TJI45" s="579"/>
      <c r="TJJ45" s="579"/>
      <c r="TJK45" s="579"/>
      <c r="TJL45" s="579"/>
      <c r="TJM45" s="579"/>
      <c r="TJN45" s="579"/>
      <c r="TJO45" s="579"/>
      <c r="TJP45" s="579"/>
      <c r="TJQ45" s="579"/>
      <c r="TJR45" s="579"/>
      <c r="TJS45" s="579"/>
      <c r="TJT45" s="579"/>
      <c r="TJU45" s="579"/>
      <c r="TJV45" s="579"/>
      <c r="TJW45" s="579"/>
      <c r="TJX45" s="579"/>
      <c r="TJY45" s="579"/>
      <c r="TJZ45" s="579"/>
      <c r="TKA45" s="579"/>
      <c r="TKB45" s="579"/>
      <c r="TKC45" s="579"/>
      <c r="TKD45" s="579"/>
      <c r="TKE45" s="579"/>
      <c r="TKF45" s="579"/>
      <c r="TKG45" s="579"/>
      <c r="TKH45" s="579"/>
      <c r="TKI45" s="579"/>
      <c r="TKJ45" s="579"/>
      <c r="TKK45" s="579"/>
      <c r="TKL45" s="579"/>
      <c r="TKM45" s="579"/>
      <c r="TKN45" s="579"/>
      <c r="TKO45" s="579"/>
      <c r="TKP45" s="579"/>
      <c r="TKQ45" s="579"/>
      <c r="TKR45" s="579"/>
      <c r="TKS45" s="579"/>
      <c r="TKT45" s="579"/>
      <c r="TKU45" s="579"/>
      <c r="TKV45" s="579"/>
      <c r="TKW45" s="579"/>
      <c r="TKX45" s="579"/>
      <c r="TKY45" s="579"/>
      <c r="TKZ45" s="579"/>
      <c r="TLA45" s="579"/>
      <c r="TLB45" s="579"/>
      <c r="TLC45" s="579"/>
      <c r="TLD45" s="579"/>
      <c r="TLE45" s="579"/>
      <c r="TLF45" s="579"/>
      <c r="TLG45" s="579"/>
      <c r="TLH45" s="579"/>
      <c r="TLI45" s="579"/>
      <c r="TLJ45" s="579"/>
      <c r="TLK45" s="579"/>
      <c r="TLL45" s="579"/>
      <c r="TLM45" s="579"/>
      <c r="TLN45" s="579"/>
      <c r="TLO45" s="579"/>
      <c r="TLP45" s="579"/>
      <c r="TLQ45" s="579"/>
      <c r="TLR45" s="579"/>
      <c r="TLS45" s="579"/>
      <c r="TLT45" s="579"/>
      <c r="TLU45" s="579"/>
      <c r="TLV45" s="579"/>
      <c r="TLW45" s="579"/>
      <c r="TLX45" s="579"/>
      <c r="TLY45" s="579"/>
      <c r="TLZ45" s="579"/>
      <c r="TMA45" s="579"/>
      <c r="TMB45" s="579"/>
      <c r="TMC45" s="579"/>
      <c r="TMD45" s="579"/>
      <c r="TME45" s="579"/>
      <c r="TMF45" s="579"/>
      <c r="TMG45" s="579"/>
      <c r="TMH45" s="579"/>
      <c r="TMI45" s="579"/>
      <c r="TMJ45" s="579"/>
      <c r="TMK45" s="579"/>
      <c r="TML45" s="579"/>
      <c r="TMM45" s="579"/>
      <c r="TMN45" s="579"/>
      <c r="TMO45" s="579"/>
      <c r="TMP45" s="579"/>
      <c r="TMQ45" s="579"/>
      <c r="TMR45" s="579"/>
      <c r="TMS45" s="579"/>
      <c r="TMT45" s="579"/>
      <c r="TMU45" s="579"/>
      <c r="TMV45" s="579"/>
      <c r="TMW45" s="579"/>
      <c r="TMX45" s="579"/>
      <c r="TMY45" s="579"/>
      <c r="TMZ45" s="579"/>
      <c r="TNA45" s="579"/>
      <c r="TNB45" s="579"/>
      <c r="TNC45" s="579"/>
      <c r="TND45" s="579"/>
      <c r="TNE45" s="579"/>
      <c r="TNF45" s="579"/>
      <c r="TNG45" s="579"/>
      <c r="TNH45" s="579"/>
      <c r="TNI45" s="579"/>
      <c r="TNJ45" s="579"/>
      <c r="TNK45" s="579"/>
      <c r="TNL45" s="579"/>
      <c r="TNM45" s="579"/>
      <c r="TNN45" s="579"/>
      <c r="TNO45" s="579"/>
      <c r="TNP45" s="579"/>
      <c r="TNQ45" s="579"/>
      <c r="TNR45" s="579"/>
      <c r="TNS45" s="579"/>
      <c r="TNT45" s="579"/>
      <c r="TNU45" s="579"/>
      <c r="TNV45" s="579"/>
      <c r="TNW45" s="579"/>
      <c r="TNX45" s="579"/>
      <c r="TNY45" s="579"/>
      <c r="TNZ45" s="579"/>
      <c r="TOA45" s="579"/>
      <c r="TOB45" s="579"/>
      <c r="TOC45" s="579"/>
      <c r="TOD45" s="579"/>
      <c r="TOE45" s="579"/>
      <c r="TOF45" s="579"/>
      <c r="TOG45" s="579"/>
      <c r="TOH45" s="579"/>
      <c r="TOI45" s="579"/>
      <c r="TOJ45" s="579"/>
      <c r="TOK45" s="579"/>
      <c r="TOL45" s="579"/>
      <c r="TOM45" s="579"/>
      <c r="TON45" s="579"/>
      <c r="TOO45" s="579"/>
      <c r="TOP45" s="579"/>
      <c r="TOQ45" s="579"/>
      <c r="TOR45" s="579"/>
      <c r="TOS45" s="579"/>
      <c r="TOT45" s="579"/>
      <c r="TOU45" s="579"/>
      <c r="TOV45" s="579"/>
      <c r="TOW45" s="579"/>
      <c r="TOX45" s="579"/>
      <c r="TOY45" s="579"/>
      <c r="TOZ45" s="579"/>
      <c r="TPA45" s="579"/>
      <c r="TPB45" s="579"/>
      <c r="TPC45" s="579"/>
      <c r="TPD45" s="579"/>
      <c r="TPE45" s="579"/>
      <c r="TPF45" s="579"/>
      <c r="TPG45" s="579"/>
      <c r="TPH45" s="579"/>
      <c r="TPI45" s="579"/>
      <c r="TPJ45" s="579"/>
      <c r="TPK45" s="579"/>
      <c r="TPL45" s="579"/>
      <c r="TPM45" s="579"/>
      <c r="TPN45" s="579"/>
      <c r="TPO45" s="579"/>
      <c r="TPP45" s="579"/>
      <c r="TPQ45" s="579"/>
      <c r="TPR45" s="579"/>
      <c r="TPS45" s="579"/>
      <c r="TPT45" s="579"/>
      <c r="TPU45" s="579"/>
      <c r="TPV45" s="579"/>
      <c r="TPW45" s="579"/>
      <c r="TPX45" s="579"/>
      <c r="TPY45" s="579"/>
      <c r="TPZ45" s="579"/>
      <c r="TQA45" s="579"/>
      <c r="TQB45" s="579"/>
      <c r="TQC45" s="579"/>
      <c r="TQD45" s="579"/>
      <c r="TQE45" s="579"/>
      <c r="TQF45" s="579"/>
      <c r="TQG45" s="579"/>
      <c r="TQH45" s="579"/>
      <c r="TQI45" s="579"/>
      <c r="TQJ45" s="579"/>
      <c r="TQK45" s="579"/>
      <c r="TQL45" s="579"/>
      <c r="TQM45" s="579"/>
      <c r="TQN45" s="579"/>
      <c r="TQO45" s="579"/>
      <c r="TQP45" s="579"/>
      <c r="TQQ45" s="579"/>
      <c r="TQR45" s="579"/>
      <c r="TQS45" s="579"/>
      <c r="TQT45" s="579"/>
      <c r="TQU45" s="579"/>
      <c r="TQV45" s="579"/>
      <c r="TQW45" s="579"/>
      <c r="TQX45" s="579"/>
      <c r="TQY45" s="579"/>
      <c r="TQZ45" s="579"/>
      <c r="TRA45" s="579"/>
      <c r="TRB45" s="579"/>
      <c r="TRC45" s="579"/>
      <c r="TRD45" s="579"/>
      <c r="TRE45" s="579"/>
      <c r="TRF45" s="579"/>
      <c r="TRG45" s="579"/>
      <c r="TRH45" s="579"/>
      <c r="TRI45" s="579"/>
      <c r="TRJ45" s="579"/>
      <c r="TRK45" s="579"/>
      <c r="TRL45" s="579"/>
      <c r="TRM45" s="579"/>
      <c r="TRN45" s="579"/>
      <c r="TRO45" s="579"/>
      <c r="TRP45" s="579"/>
      <c r="TRQ45" s="579"/>
      <c r="TRR45" s="579"/>
      <c r="TRS45" s="579"/>
      <c r="TRT45" s="579"/>
      <c r="TRU45" s="579"/>
      <c r="TRV45" s="579"/>
      <c r="TRW45" s="579"/>
      <c r="TRX45" s="579"/>
      <c r="TRY45" s="579"/>
      <c r="TRZ45" s="579"/>
      <c r="TSA45" s="579"/>
      <c r="TSB45" s="579"/>
      <c r="TSC45" s="579"/>
      <c r="TSD45" s="579"/>
      <c r="TSE45" s="579"/>
      <c r="TSF45" s="579"/>
      <c r="TSG45" s="579"/>
      <c r="TSH45" s="579"/>
      <c r="TSI45" s="579"/>
      <c r="TSJ45" s="579"/>
      <c r="TSK45" s="579"/>
      <c r="TSL45" s="579"/>
      <c r="TSM45" s="579"/>
      <c r="TSN45" s="579"/>
      <c r="TSO45" s="579"/>
      <c r="TSP45" s="579"/>
      <c r="TSQ45" s="579"/>
      <c r="TSR45" s="579"/>
      <c r="TSS45" s="579"/>
      <c r="TST45" s="579"/>
      <c r="TSU45" s="579"/>
      <c r="TSV45" s="579"/>
      <c r="TSW45" s="579"/>
      <c r="TSX45" s="579"/>
      <c r="TSY45" s="579"/>
      <c r="TSZ45" s="579"/>
      <c r="TTA45" s="579"/>
      <c r="TTB45" s="579"/>
      <c r="TTC45" s="579"/>
      <c r="TTD45" s="579"/>
      <c r="TTE45" s="579"/>
      <c r="TTF45" s="579"/>
      <c r="TTG45" s="579"/>
      <c r="TTH45" s="579"/>
      <c r="TTI45" s="579"/>
      <c r="TTJ45" s="579"/>
      <c r="TTK45" s="579"/>
      <c r="TTL45" s="579"/>
      <c r="TTM45" s="579"/>
      <c r="TTN45" s="579"/>
      <c r="TTO45" s="579"/>
      <c r="TTP45" s="579"/>
      <c r="TTQ45" s="579"/>
      <c r="TTR45" s="579"/>
      <c r="TTS45" s="579"/>
      <c r="TTT45" s="579"/>
      <c r="TTU45" s="579"/>
      <c r="TTV45" s="579"/>
      <c r="TTW45" s="579"/>
      <c r="TTX45" s="579"/>
      <c r="TTY45" s="579"/>
      <c r="TTZ45" s="579"/>
      <c r="TUA45" s="579"/>
      <c r="TUB45" s="579"/>
      <c r="TUC45" s="579"/>
      <c r="TUD45" s="579"/>
      <c r="TUE45" s="579"/>
      <c r="TUF45" s="579"/>
      <c r="TUG45" s="579"/>
      <c r="TUH45" s="579"/>
      <c r="TUI45" s="579"/>
      <c r="TUJ45" s="579"/>
      <c r="TUK45" s="579"/>
      <c r="TUL45" s="579"/>
      <c r="TUM45" s="579"/>
      <c r="TUN45" s="579"/>
      <c r="TUO45" s="579"/>
      <c r="TUP45" s="579"/>
      <c r="TUQ45" s="579"/>
      <c r="TUR45" s="579"/>
      <c r="TUS45" s="579"/>
      <c r="TUT45" s="579"/>
      <c r="TUU45" s="579"/>
      <c r="TUV45" s="579"/>
      <c r="TUW45" s="579"/>
      <c r="TUX45" s="579"/>
      <c r="TUY45" s="579"/>
      <c r="TUZ45" s="579"/>
      <c r="TVA45" s="579"/>
      <c r="TVB45" s="579"/>
      <c r="TVC45" s="579"/>
      <c r="TVD45" s="579"/>
      <c r="TVE45" s="579"/>
      <c r="TVF45" s="579"/>
      <c r="TVG45" s="579"/>
      <c r="TVH45" s="579"/>
      <c r="TVI45" s="579"/>
      <c r="TVJ45" s="579"/>
      <c r="TVK45" s="579"/>
      <c r="TVL45" s="579"/>
      <c r="TVM45" s="579"/>
      <c r="TVN45" s="579"/>
      <c r="TVO45" s="579"/>
      <c r="TVP45" s="579"/>
      <c r="TVQ45" s="579"/>
      <c r="TVR45" s="579"/>
      <c r="TVS45" s="579"/>
      <c r="TVT45" s="579"/>
      <c r="TVU45" s="579"/>
      <c r="TVV45" s="579"/>
      <c r="TVW45" s="579"/>
      <c r="TVX45" s="579"/>
      <c r="TVY45" s="579"/>
      <c r="TVZ45" s="579"/>
      <c r="TWA45" s="579"/>
      <c r="TWB45" s="579"/>
      <c r="TWC45" s="579"/>
      <c r="TWD45" s="579"/>
      <c r="TWE45" s="579"/>
      <c r="TWF45" s="579"/>
      <c r="TWG45" s="579"/>
      <c r="TWH45" s="579"/>
      <c r="TWI45" s="579"/>
      <c r="TWJ45" s="579"/>
      <c r="TWK45" s="579"/>
      <c r="TWL45" s="579"/>
      <c r="TWM45" s="579"/>
      <c r="TWN45" s="579"/>
      <c r="TWO45" s="579"/>
      <c r="TWP45" s="579"/>
      <c r="TWQ45" s="579"/>
      <c r="TWR45" s="579"/>
      <c r="TWS45" s="579"/>
      <c r="TWT45" s="579"/>
      <c r="TWU45" s="579"/>
      <c r="TWV45" s="579"/>
      <c r="TWW45" s="579"/>
      <c r="TWX45" s="579"/>
      <c r="TWY45" s="579"/>
      <c r="TWZ45" s="579"/>
      <c r="TXA45" s="579"/>
      <c r="TXB45" s="579"/>
      <c r="TXC45" s="579"/>
      <c r="TXD45" s="579"/>
      <c r="TXE45" s="579"/>
      <c r="TXF45" s="579"/>
      <c r="TXG45" s="579"/>
      <c r="TXH45" s="579"/>
      <c r="TXI45" s="579"/>
      <c r="TXJ45" s="579"/>
      <c r="TXK45" s="579"/>
      <c r="TXL45" s="579"/>
      <c r="TXM45" s="579"/>
      <c r="TXN45" s="579"/>
      <c r="TXO45" s="579"/>
      <c r="TXP45" s="579"/>
      <c r="TXQ45" s="579"/>
      <c r="TXR45" s="579"/>
      <c r="TXS45" s="579"/>
      <c r="TXT45" s="579"/>
      <c r="TXU45" s="579"/>
      <c r="TXV45" s="579"/>
      <c r="TXW45" s="579"/>
      <c r="TXX45" s="579"/>
      <c r="TXY45" s="579"/>
      <c r="TXZ45" s="579"/>
      <c r="TYA45" s="579"/>
      <c r="TYB45" s="579"/>
      <c r="TYC45" s="579"/>
      <c r="TYD45" s="579"/>
      <c r="TYE45" s="579"/>
      <c r="TYF45" s="579"/>
      <c r="TYG45" s="579"/>
      <c r="TYH45" s="579"/>
      <c r="TYI45" s="579"/>
      <c r="TYJ45" s="579"/>
      <c r="TYK45" s="579"/>
      <c r="TYL45" s="579"/>
      <c r="TYM45" s="579"/>
      <c r="TYN45" s="579"/>
      <c r="TYO45" s="579"/>
      <c r="TYP45" s="579"/>
      <c r="TYQ45" s="579"/>
      <c r="TYR45" s="579"/>
      <c r="TYS45" s="579"/>
      <c r="TYT45" s="579"/>
      <c r="TYU45" s="579"/>
      <c r="TYV45" s="579"/>
      <c r="TYW45" s="579"/>
      <c r="TYX45" s="579"/>
      <c r="TYY45" s="579"/>
      <c r="TYZ45" s="579"/>
      <c r="TZA45" s="579"/>
      <c r="TZB45" s="579"/>
      <c r="TZC45" s="579"/>
      <c r="TZD45" s="579"/>
      <c r="TZE45" s="579"/>
      <c r="TZF45" s="579"/>
      <c r="TZG45" s="579"/>
      <c r="TZH45" s="579"/>
      <c r="TZI45" s="579"/>
      <c r="TZJ45" s="579"/>
      <c r="TZK45" s="579"/>
      <c r="TZL45" s="579"/>
      <c r="TZM45" s="579"/>
      <c r="TZN45" s="579"/>
      <c r="TZO45" s="579"/>
      <c r="TZP45" s="579"/>
      <c r="TZQ45" s="579"/>
      <c r="TZR45" s="579"/>
      <c r="TZS45" s="579"/>
      <c r="TZT45" s="579"/>
      <c r="TZU45" s="579"/>
      <c r="TZV45" s="579"/>
      <c r="TZW45" s="579"/>
      <c r="TZX45" s="579"/>
      <c r="TZY45" s="579"/>
      <c r="TZZ45" s="579"/>
      <c r="UAA45" s="579"/>
      <c r="UAB45" s="579"/>
      <c r="UAC45" s="579"/>
      <c r="UAD45" s="579"/>
      <c r="UAE45" s="579"/>
      <c r="UAF45" s="579"/>
      <c r="UAG45" s="579"/>
      <c r="UAH45" s="579"/>
      <c r="UAI45" s="579"/>
      <c r="UAJ45" s="579"/>
      <c r="UAK45" s="579"/>
      <c r="UAL45" s="579"/>
      <c r="UAM45" s="579"/>
      <c r="UAN45" s="579"/>
      <c r="UAO45" s="579"/>
      <c r="UAP45" s="579"/>
      <c r="UAQ45" s="579"/>
      <c r="UAR45" s="579"/>
      <c r="UAS45" s="579"/>
      <c r="UAT45" s="579"/>
      <c r="UAU45" s="579"/>
      <c r="UAV45" s="579"/>
      <c r="UAW45" s="579"/>
      <c r="UAX45" s="579"/>
      <c r="UAY45" s="579"/>
      <c r="UAZ45" s="579"/>
      <c r="UBA45" s="579"/>
      <c r="UBB45" s="579"/>
      <c r="UBC45" s="579"/>
      <c r="UBD45" s="579"/>
      <c r="UBE45" s="579"/>
      <c r="UBF45" s="579"/>
      <c r="UBG45" s="579"/>
      <c r="UBH45" s="579"/>
      <c r="UBI45" s="579"/>
      <c r="UBJ45" s="579"/>
      <c r="UBK45" s="579"/>
      <c r="UBL45" s="579"/>
      <c r="UBM45" s="579"/>
      <c r="UBN45" s="579"/>
      <c r="UBO45" s="579"/>
      <c r="UBP45" s="579"/>
      <c r="UBQ45" s="579"/>
      <c r="UBR45" s="579"/>
      <c r="UBS45" s="579"/>
      <c r="UBT45" s="579"/>
      <c r="UBU45" s="579"/>
      <c r="UBV45" s="579"/>
      <c r="UBW45" s="579"/>
      <c r="UBX45" s="579"/>
      <c r="UBY45" s="579"/>
      <c r="UBZ45" s="579"/>
      <c r="UCA45" s="579"/>
      <c r="UCB45" s="579"/>
      <c r="UCC45" s="579"/>
      <c r="UCD45" s="579"/>
      <c r="UCE45" s="579"/>
      <c r="UCF45" s="579"/>
      <c r="UCG45" s="579"/>
      <c r="UCH45" s="579"/>
      <c r="UCI45" s="579"/>
      <c r="UCJ45" s="579"/>
      <c r="UCK45" s="579"/>
      <c r="UCL45" s="579"/>
      <c r="UCM45" s="579"/>
      <c r="UCN45" s="579"/>
      <c r="UCO45" s="579"/>
      <c r="UCP45" s="579"/>
      <c r="UCQ45" s="579"/>
      <c r="UCR45" s="579"/>
      <c r="UCS45" s="579"/>
      <c r="UCT45" s="579"/>
      <c r="UCU45" s="579"/>
      <c r="UCV45" s="579"/>
      <c r="UCW45" s="579"/>
      <c r="UCX45" s="579"/>
      <c r="UCY45" s="579"/>
      <c r="UCZ45" s="579"/>
      <c r="UDA45" s="579"/>
      <c r="UDB45" s="579"/>
      <c r="UDC45" s="579"/>
      <c r="UDD45" s="579"/>
      <c r="UDE45" s="579"/>
      <c r="UDF45" s="579"/>
      <c r="UDG45" s="579"/>
      <c r="UDH45" s="579"/>
      <c r="UDI45" s="579"/>
      <c r="UDJ45" s="579"/>
      <c r="UDK45" s="579"/>
      <c r="UDL45" s="579"/>
      <c r="UDM45" s="579"/>
      <c r="UDN45" s="579"/>
      <c r="UDO45" s="579"/>
      <c r="UDP45" s="579"/>
      <c r="UDQ45" s="579"/>
      <c r="UDR45" s="579"/>
      <c r="UDS45" s="579"/>
      <c r="UDT45" s="579"/>
      <c r="UDU45" s="579"/>
      <c r="UDV45" s="579"/>
      <c r="UDW45" s="579"/>
      <c r="UDX45" s="579"/>
      <c r="UDY45" s="579"/>
      <c r="UDZ45" s="579"/>
      <c r="UEA45" s="579"/>
      <c r="UEB45" s="579"/>
      <c r="UEC45" s="579"/>
      <c r="UED45" s="579"/>
      <c r="UEE45" s="579"/>
      <c r="UEF45" s="579"/>
      <c r="UEG45" s="579"/>
      <c r="UEH45" s="579"/>
      <c r="UEI45" s="579"/>
      <c r="UEJ45" s="579"/>
      <c r="UEK45" s="579"/>
      <c r="UEL45" s="579"/>
      <c r="UEM45" s="579"/>
      <c r="UEN45" s="579"/>
      <c r="UEO45" s="579"/>
      <c r="UEP45" s="579"/>
      <c r="UEQ45" s="579"/>
      <c r="UER45" s="579"/>
      <c r="UES45" s="579"/>
      <c r="UET45" s="579"/>
      <c r="UEU45" s="579"/>
      <c r="UEV45" s="579"/>
      <c r="UEW45" s="579"/>
      <c r="UEX45" s="579"/>
      <c r="UEY45" s="579"/>
      <c r="UEZ45" s="579"/>
      <c r="UFA45" s="579"/>
      <c r="UFB45" s="579"/>
      <c r="UFC45" s="579"/>
      <c r="UFD45" s="579"/>
      <c r="UFE45" s="579"/>
      <c r="UFF45" s="579"/>
      <c r="UFG45" s="579"/>
      <c r="UFH45" s="579"/>
      <c r="UFI45" s="579"/>
      <c r="UFJ45" s="579"/>
      <c r="UFK45" s="579"/>
      <c r="UFL45" s="579"/>
      <c r="UFM45" s="579"/>
      <c r="UFN45" s="579"/>
      <c r="UFO45" s="579"/>
      <c r="UFP45" s="579"/>
      <c r="UFQ45" s="579"/>
      <c r="UFR45" s="579"/>
      <c r="UFS45" s="579"/>
      <c r="UFT45" s="579"/>
      <c r="UFU45" s="579"/>
      <c r="UFV45" s="579"/>
      <c r="UFW45" s="579"/>
      <c r="UFX45" s="579"/>
      <c r="UFY45" s="579"/>
      <c r="UFZ45" s="579"/>
      <c r="UGA45" s="579"/>
      <c r="UGB45" s="579"/>
      <c r="UGC45" s="579"/>
      <c r="UGD45" s="579"/>
      <c r="UGE45" s="579"/>
      <c r="UGF45" s="579"/>
      <c r="UGG45" s="579"/>
      <c r="UGH45" s="579"/>
      <c r="UGI45" s="579"/>
      <c r="UGJ45" s="579"/>
      <c r="UGK45" s="579"/>
      <c r="UGL45" s="579"/>
      <c r="UGM45" s="579"/>
      <c r="UGN45" s="579"/>
      <c r="UGO45" s="579"/>
      <c r="UGP45" s="579"/>
      <c r="UGQ45" s="579"/>
      <c r="UGR45" s="579"/>
      <c r="UGS45" s="579"/>
      <c r="UGT45" s="579"/>
      <c r="UGU45" s="579"/>
      <c r="UGV45" s="579"/>
      <c r="UGW45" s="579"/>
      <c r="UGX45" s="579"/>
      <c r="UGY45" s="579"/>
      <c r="UGZ45" s="579"/>
      <c r="UHA45" s="579"/>
      <c r="UHB45" s="579"/>
      <c r="UHC45" s="579"/>
      <c r="UHD45" s="579"/>
      <c r="UHE45" s="579"/>
      <c r="UHF45" s="579"/>
      <c r="UHG45" s="579"/>
      <c r="UHH45" s="579"/>
      <c r="UHI45" s="579"/>
      <c r="UHJ45" s="579"/>
      <c r="UHK45" s="579"/>
      <c r="UHL45" s="579"/>
      <c r="UHM45" s="579"/>
      <c r="UHN45" s="579"/>
      <c r="UHO45" s="579"/>
      <c r="UHP45" s="579"/>
      <c r="UHQ45" s="579"/>
      <c r="UHR45" s="579"/>
      <c r="UHS45" s="579"/>
      <c r="UHT45" s="579"/>
      <c r="UHU45" s="579"/>
      <c r="UHV45" s="579"/>
      <c r="UHW45" s="579"/>
      <c r="UHX45" s="579"/>
      <c r="UHY45" s="579"/>
      <c r="UHZ45" s="579"/>
      <c r="UIA45" s="579"/>
      <c r="UIB45" s="579"/>
      <c r="UIC45" s="579"/>
      <c r="UID45" s="579"/>
      <c r="UIE45" s="579"/>
      <c r="UIF45" s="579"/>
      <c r="UIG45" s="579"/>
      <c r="UIH45" s="579"/>
      <c r="UII45" s="579"/>
      <c r="UIJ45" s="579"/>
      <c r="UIK45" s="579"/>
      <c r="UIL45" s="579"/>
      <c r="UIM45" s="579"/>
      <c r="UIN45" s="579"/>
      <c r="UIO45" s="579"/>
      <c r="UIP45" s="579"/>
      <c r="UIQ45" s="579"/>
      <c r="UIR45" s="579"/>
      <c r="UIS45" s="579"/>
      <c r="UIT45" s="579"/>
      <c r="UIU45" s="579"/>
      <c r="UIV45" s="579"/>
      <c r="UIW45" s="579"/>
      <c r="UIX45" s="579"/>
      <c r="UIY45" s="579"/>
      <c r="UIZ45" s="579"/>
      <c r="UJA45" s="579"/>
      <c r="UJB45" s="579"/>
      <c r="UJC45" s="579"/>
      <c r="UJD45" s="579"/>
      <c r="UJE45" s="579"/>
      <c r="UJF45" s="579"/>
      <c r="UJG45" s="579"/>
      <c r="UJH45" s="579"/>
      <c r="UJI45" s="579"/>
      <c r="UJJ45" s="579"/>
      <c r="UJK45" s="579"/>
      <c r="UJL45" s="579"/>
      <c r="UJM45" s="579"/>
      <c r="UJN45" s="579"/>
      <c r="UJO45" s="579"/>
      <c r="UJP45" s="579"/>
      <c r="UJQ45" s="579"/>
      <c r="UJR45" s="579"/>
      <c r="UJS45" s="579"/>
      <c r="UJT45" s="579"/>
      <c r="UJU45" s="579"/>
      <c r="UJV45" s="579"/>
      <c r="UJW45" s="579"/>
      <c r="UJX45" s="579"/>
      <c r="UJY45" s="579"/>
      <c r="UJZ45" s="579"/>
      <c r="UKA45" s="579"/>
      <c r="UKB45" s="579"/>
      <c r="UKC45" s="579"/>
      <c r="UKD45" s="579"/>
      <c r="UKE45" s="579"/>
      <c r="UKF45" s="579"/>
      <c r="UKG45" s="579"/>
      <c r="UKH45" s="579"/>
      <c r="UKI45" s="579"/>
      <c r="UKJ45" s="579"/>
      <c r="UKK45" s="579"/>
      <c r="UKL45" s="579"/>
      <c r="UKM45" s="579"/>
      <c r="UKN45" s="579"/>
      <c r="UKO45" s="579"/>
      <c r="UKP45" s="579"/>
      <c r="UKQ45" s="579"/>
      <c r="UKR45" s="579"/>
      <c r="UKS45" s="579"/>
      <c r="UKT45" s="579"/>
      <c r="UKU45" s="579"/>
      <c r="UKV45" s="579"/>
      <c r="UKW45" s="579"/>
      <c r="UKX45" s="579"/>
      <c r="UKY45" s="579"/>
      <c r="UKZ45" s="579"/>
      <c r="ULA45" s="579"/>
      <c r="ULB45" s="579"/>
      <c r="ULC45" s="579"/>
      <c r="ULD45" s="579"/>
      <c r="ULE45" s="579"/>
      <c r="ULF45" s="579"/>
      <c r="ULG45" s="579"/>
      <c r="ULH45" s="579"/>
      <c r="ULI45" s="579"/>
      <c r="ULJ45" s="579"/>
      <c r="ULK45" s="579"/>
      <c r="ULL45" s="579"/>
      <c r="ULM45" s="579"/>
      <c r="ULN45" s="579"/>
      <c r="ULO45" s="579"/>
      <c r="ULP45" s="579"/>
      <c r="ULQ45" s="579"/>
      <c r="ULR45" s="579"/>
      <c r="ULS45" s="579"/>
      <c r="ULT45" s="579"/>
      <c r="ULU45" s="579"/>
      <c r="ULV45" s="579"/>
      <c r="ULW45" s="579"/>
      <c r="ULX45" s="579"/>
      <c r="ULY45" s="579"/>
      <c r="ULZ45" s="579"/>
      <c r="UMA45" s="579"/>
      <c r="UMB45" s="579"/>
      <c r="UMC45" s="579"/>
      <c r="UMD45" s="579"/>
      <c r="UME45" s="579"/>
      <c r="UMF45" s="579"/>
      <c r="UMG45" s="579"/>
      <c r="UMH45" s="579"/>
      <c r="UMI45" s="579"/>
      <c r="UMJ45" s="579"/>
      <c r="UMK45" s="579"/>
      <c r="UML45" s="579"/>
      <c r="UMM45" s="579"/>
      <c r="UMN45" s="579"/>
      <c r="UMO45" s="579"/>
      <c r="UMP45" s="579"/>
      <c r="UMQ45" s="579"/>
      <c r="UMR45" s="579"/>
      <c r="UMS45" s="579"/>
      <c r="UMT45" s="579"/>
      <c r="UMU45" s="579"/>
      <c r="UMV45" s="579"/>
      <c r="UMW45" s="579"/>
      <c r="UMX45" s="579"/>
      <c r="UMY45" s="579"/>
      <c r="UMZ45" s="579"/>
      <c r="UNA45" s="579"/>
      <c r="UNB45" s="579"/>
      <c r="UNC45" s="579"/>
      <c r="UND45" s="579"/>
      <c r="UNE45" s="579"/>
      <c r="UNF45" s="579"/>
      <c r="UNG45" s="579"/>
      <c r="UNH45" s="579"/>
      <c r="UNI45" s="579"/>
      <c r="UNJ45" s="579"/>
      <c r="UNK45" s="579"/>
      <c r="UNL45" s="579"/>
      <c r="UNM45" s="579"/>
      <c r="UNN45" s="579"/>
      <c r="UNO45" s="579"/>
      <c r="UNP45" s="579"/>
      <c r="UNQ45" s="579"/>
      <c r="UNR45" s="579"/>
      <c r="UNS45" s="579"/>
      <c r="UNT45" s="579"/>
      <c r="UNU45" s="579"/>
      <c r="UNV45" s="579"/>
      <c r="UNW45" s="579"/>
      <c r="UNX45" s="579"/>
      <c r="UNY45" s="579"/>
      <c r="UNZ45" s="579"/>
      <c r="UOA45" s="579"/>
      <c r="UOB45" s="579"/>
      <c r="UOC45" s="579"/>
      <c r="UOD45" s="579"/>
      <c r="UOE45" s="579"/>
      <c r="UOF45" s="579"/>
      <c r="UOG45" s="579"/>
      <c r="UOH45" s="579"/>
      <c r="UOI45" s="579"/>
      <c r="UOJ45" s="579"/>
      <c r="UOK45" s="579"/>
      <c r="UOL45" s="579"/>
      <c r="UOM45" s="579"/>
      <c r="UON45" s="579"/>
      <c r="UOO45" s="579"/>
      <c r="UOP45" s="579"/>
      <c r="UOQ45" s="579"/>
      <c r="UOR45" s="579"/>
      <c r="UOS45" s="579"/>
      <c r="UOT45" s="579"/>
      <c r="UOU45" s="579"/>
      <c r="UOV45" s="579"/>
      <c r="UOW45" s="579"/>
      <c r="UOX45" s="579"/>
      <c r="UOY45" s="579"/>
      <c r="UOZ45" s="579"/>
      <c r="UPA45" s="579"/>
      <c r="UPB45" s="579"/>
      <c r="UPC45" s="579"/>
      <c r="UPD45" s="579"/>
      <c r="UPE45" s="579"/>
      <c r="UPF45" s="579"/>
      <c r="UPG45" s="579"/>
      <c r="UPH45" s="579"/>
      <c r="UPI45" s="579"/>
      <c r="UPJ45" s="579"/>
      <c r="UPK45" s="579"/>
      <c r="UPL45" s="579"/>
      <c r="UPM45" s="579"/>
      <c r="UPN45" s="579"/>
      <c r="UPO45" s="579"/>
      <c r="UPP45" s="579"/>
      <c r="UPQ45" s="579"/>
      <c r="UPR45" s="579"/>
      <c r="UPS45" s="579"/>
      <c r="UPT45" s="579"/>
      <c r="UPU45" s="579"/>
      <c r="UPV45" s="579"/>
      <c r="UPW45" s="579"/>
      <c r="UPX45" s="579"/>
      <c r="UPY45" s="579"/>
      <c r="UPZ45" s="579"/>
      <c r="UQA45" s="579"/>
      <c r="UQB45" s="579"/>
      <c r="UQC45" s="579"/>
      <c r="UQD45" s="579"/>
      <c r="UQE45" s="579"/>
      <c r="UQF45" s="579"/>
      <c r="UQG45" s="579"/>
      <c r="UQH45" s="579"/>
      <c r="UQI45" s="579"/>
      <c r="UQJ45" s="579"/>
      <c r="UQK45" s="579"/>
      <c r="UQL45" s="579"/>
      <c r="UQM45" s="579"/>
      <c r="UQN45" s="579"/>
      <c r="UQO45" s="579"/>
      <c r="UQP45" s="579"/>
      <c r="UQQ45" s="579"/>
      <c r="UQR45" s="579"/>
      <c r="UQS45" s="579"/>
      <c r="UQT45" s="579"/>
      <c r="UQU45" s="579"/>
      <c r="UQV45" s="579"/>
      <c r="UQW45" s="579"/>
      <c r="UQX45" s="579"/>
      <c r="UQY45" s="579"/>
      <c r="UQZ45" s="579"/>
      <c r="URA45" s="579"/>
      <c r="URB45" s="579"/>
      <c r="URC45" s="579"/>
      <c r="URD45" s="579"/>
      <c r="URE45" s="579"/>
      <c r="URF45" s="579"/>
      <c r="URG45" s="579"/>
      <c r="URH45" s="579"/>
      <c r="URI45" s="579"/>
      <c r="URJ45" s="579"/>
      <c r="URK45" s="579"/>
      <c r="URL45" s="579"/>
      <c r="URM45" s="579"/>
      <c r="URN45" s="579"/>
      <c r="URO45" s="579"/>
      <c r="URP45" s="579"/>
      <c r="URQ45" s="579"/>
      <c r="URR45" s="579"/>
      <c r="URS45" s="579"/>
      <c r="URT45" s="579"/>
      <c r="URU45" s="579"/>
      <c r="URV45" s="579"/>
      <c r="URW45" s="579"/>
      <c r="URX45" s="579"/>
      <c r="URY45" s="579"/>
      <c r="URZ45" s="579"/>
      <c r="USA45" s="579"/>
      <c r="USB45" s="579"/>
      <c r="USC45" s="579"/>
      <c r="USD45" s="579"/>
      <c r="USE45" s="579"/>
      <c r="USF45" s="579"/>
      <c r="USG45" s="579"/>
      <c r="USH45" s="579"/>
      <c r="USI45" s="579"/>
      <c r="USJ45" s="579"/>
      <c r="USK45" s="579"/>
      <c r="USL45" s="579"/>
      <c r="USM45" s="579"/>
      <c r="USN45" s="579"/>
      <c r="USO45" s="579"/>
      <c r="USP45" s="579"/>
      <c r="USQ45" s="579"/>
      <c r="USR45" s="579"/>
      <c r="USS45" s="579"/>
      <c r="UST45" s="579"/>
      <c r="USU45" s="579"/>
      <c r="USV45" s="579"/>
      <c r="USW45" s="579"/>
      <c r="USX45" s="579"/>
      <c r="USY45" s="579"/>
      <c r="USZ45" s="579"/>
      <c r="UTA45" s="579"/>
      <c r="UTB45" s="579"/>
      <c r="UTC45" s="579"/>
      <c r="UTD45" s="579"/>
      <c r="UTE45" s="579"/>
      <c r="UTF45" s="579"/>
      <c r="UTG45" s="579"/>
      <c r="UTH45" s="579"/>
      <c r="UTI45" s="579"/>
      <c r="UTJ45" s="579"/>
      <c r="UTK45" s="579"/>
      <c r="UTL45" s="579"/>
      <c r="UTM45" s="579"/>
      <c r="UTN45" s="579"/>
      <c r="UTO45" s="579"/>
      <c r="UTP45" s="579"/>
      <c r="UTQ45" s="579"/>
      <c r="UTR45" s="579"/>
      <c r="UTS45" s="579"/>
      <c r="UTT45" s="579"/>
      <c r="UTU45" s="579"/>
      <c r="UTV45" s="579"/>
      <c r="UTW45" s="579"/>
      <c r="UTX45" s="579"/>
      <c r="UTY45" s="579"/>
      <c r="UTZ45" s="579"/>
      <c r="UUA45" s="579"/>
      <c r="UUB45" s="579"/>
      <c r="UUC45" s="579"/>
      <c r="UUD45" s="579"/>
      <c r="UUE45" s="579"/>
      <c r="UUF45" s="579"/>
      <c r="UUG45" s="579"/>
      <c r="UUH45" s="579"/>
      <c r="UUI45" s="579"/>
      <c r="UUJ45" s="579"/>
      <c r="UUK45" s="579"/>
      <c r="UUL45" s="579"/>
      <c r="UUM45" s="579"/>
      <c r="UUN45" s="579"/>
      <c r="UUO45" s="579"/>
      <c r="UUP45" s="579"/>
      <c r="UUQ45" s="579"/>
      <c r="UUR45" s="579"/>
      <c r="UUS45" s="579"/>
      <c r="UUT45" s="579"/>
      <c r="UUU45" s="579"/>
      <c r="UUV45" s="579"/>
      <c r="UUW45" s="579"/>
      <c r="UUX45" s="579"/>
      <c r="UUY45" s="579"/>
      <c r="UUZ45" s="579"/>
      <c r="UVA45" s="579"/>
      <c r="UVB45" s="579"/>
      <c r="UVC45" s="579"/>
      <c r="UVD45" s="579"/>
      <c r="UVE45" s="579"/>
      <c r="UVF45" s="579"/>
      <c r="UVG45" s="579"/>
      <c r="UVH45" s="579"/>
      <c r="UVI45" s="579"/>
      <c r="UVJ45" s="579"/>
      <c r="UVK45" s="579"/>
      <c r="UVL45" s="579"/>
      <c r="UVM45" s="579"/>
      <c r="UVN45" s="579"/>
      <c r="UVO45" s="579"/>
      <c r="UVP45" s="579"/>
      <c r="UVQ45" s="579"/>
      <c r="UVR45" s="579"/>
      <c r="UVS45" s="579"/>
      <c r="UVT45" s="579"/>
      <c r="UVU45" s="579"/>
      <c r="UVV45" s="579"/>
      <c r="UVW45" s="579"/>
      <c r="UVX45" s="579"/>
      <c r="UVY45" s="579"/>
      <c r="UVZ45" s="579"/>
      <c r="UWA45" s="579"/>
      <c r="UWB45" s="579"/>
      <c r="UWC45" s="579"/>
      <c r="UWD45" s="579"/>
      <c r="UWE45" s="579"/>
      <c r="UWF45" s="579"/>
      <c r="UWG45" s="579"/>
      <c r="UWH45" s="579"/>
      <c r="UWI45" s="579"/>
      <c r="UWJ45" s="579"/>
      <c r="UWK45" s="579"/>
      <c r="UWL45" s="579"/>
      <c r="UWM45" s="579"/>
      <c r="UWN45" s="579"/>
      <c r="UWO45" s="579"/>
      <c r="UWP45" s="579"/>
      <c r="UWQ45" s="579"/>
      <c r="UWR45" s="579"/>
      <c r="UWS45" s="579"/>
      <c r="UWT45" s="579"/>
      <c r="UWU45" s="579"/>
      <c r="UWV45" s="579"/>
      <c r="UWW45" s="579"/>
      <c r="UWX45" s="579"/>
      <c r="UWY45" s="579"/>
      <c r="UWZ45" s="579"/>
      <c r="UXA45" s="579"/>
      <c r="UXB45" s="579"/>
      <c r="UXC45" s="579"/>
      <c r="UXD45" s="579"/>
      <c r="UXE45" s="579"/>
      <c r="UXF45" s="579"/>
      <c r="UXG45" s="579"/>
      <c r="UXH45" s="579"/>
      <c r="UXI45" s="579"/>
      <c r="UXJ45" s="579"/>
      <c r="UXK45" s="579"/>
      <c r="UXL45" s="579"/>
      <c r="UXM45" s="579"/>
      <c r="UXN45" s="579"/>
      <c r="UXO45" s="579"/>
      <c r="UXP45" s="579"/>
      <c r="UXQ45" s="579"/>
      <c r="UXR45" s="579"/>
      <c r="UXS45" s="579"/>
      <c r="UXT45" s="579"/>
      <c r="UXU45" s="579"/>
      <c r="UXV45" s="579"/>
      <c r="UXW45" s="579"/>
      <c r="UXX45" s="579"/>
      <c r="UXY45" s="579"/>
      <c r="UXZ45" s="579"/>
      <c r="UYA45" s="579"/>
      <c r="UYB45" s="579"/>
      <c r="UYC45" s="579"/>
      <c r="UYD45" s="579"/>
      <c r="UYE45" s="579"/>
      <c r="UYF45" s="579"/>
      <c r="UYG45" s="579"/>
      <c r="UYH45" s="579"/>
      <c r="UYI45" s="579"/>
      <c r="UYJ45" s="579"/>
      <c r="UYK45" s="579"/>
      <c r="UYL45" s="579"/>
      <c r="UYM45" s="579"/>
      <c r="UYN45" s="579"/>
      <c r="UYO45" s="579"/>
      <c r="UYP45" s="579"/>
      <c r="UYQ45" s="579"/>
      <c r="UYR45" s="579"/>
      <c r="UYS45" s="579"/>
      <c r="UYT45" s="579"/>
      <c r="UYU45" s="579"/>
      <c r="UYV45" s="579"/>
      <c r="UYW45" s="579"/>
      <c r="UYX45" s="579"/>
      <c r="UYY45" s="579"/>
      <c r="UYZ45" s="579"/>
      <c r="UZA45" s="579"/>
      <c r="UZB45" s="579"/>
      <c r="UZC45" s="579"/>
      <c r="UZD45" s="579"/>
      <c r="UZE45" s="579"/>
      <c r="UZF45" s="579"/>
      <c r="UZG45" s="579"/>
      <c r="UZH45" s="579"/>
      <c r="UZI45" s="579"/>
      <c r="UZJ45" s="579"/>
      <c r="UZK45" s="579"/>
      <c r="UZL45" s="579"/>
      <c r="UZM45" s="579"/>
      <c r="UZN45" s="579"/>
      <c r="UZO45" s="579"/>
      <c r="UZP45" s="579"/>
      <c r="UZQ45" s="579"/>
      <c r="UZR45" s="579"/>
      <c r="UZS45" s="579"/>
      <c r="UZT45" s="579"/>
      <c r="UZU45" s="579"/>
      <c r="UZV45" s="579"/>
      <c r="UZW45" s="579"/>
      <c r="UZX45" s="579"/>
      <c r="UZY45" s="579"/>
      <c r="UZZ45" s="579"/>
      <c r="VAA45" s="579"/>
      <c r="VAB45" s="579"/>
      <c r="VAC45" s="579"/>
      <c r="VAD45" s="579"/>
      <c r="VAE45" s="579"/>
      <c r="VAF45" s="579"/>
      <c r="VAG45" s="579"/>
      <c r="VAH45" s="579"/>
      <c r="VAI45" s="579"/>
      <c r="VAJ45" s="579"/>
      <c r="VAK45" s="579"/>
      <c r="VAL45" s="579"/>
      <c r="VAM45" s="579"/>
      <c r="VAN45" s="579"/>
      <c r="VAO45" s="579"/>
      <c r="VAP45" s="579"/>
      <c r="VAQ45" s="579"/>
      <c r="VAR45" s="579"/>
      <c r="VAS45" s="579"/>
      <c r="VAT45" s="579"/>
      <c r="VAU45" s="579"/>
      <c r="VAV45" s="579"/>
      <c r="VAW45" s="579"/>
      <c r="VAX45" s="579"/>
      <c r="VAY45" s="579"/>
      <c r="VAZ45" s="579"/>
      <c r="VBA45" s="579"/>
      <c r="VBB45" s="579"/>
      <c r="VBC45" s="579"/>
      <c r="VBD45" s="579"/>
      <c r="VBE45" s="579"/>
      <c r="VBF45" s="579"/>
      <c r="VBG45" s="579"/>
      <c r="VBH45" s="579"/>
      <c r="VBI45" s="579"/>
      <c r="VBJ45" s="579"/>
      <c r="VBK45" s="579"/>
      <c r="VBL45" s="579"/>
      <c r="VBM45" s="579"/>
      <c r="VBN45" s="579"/>
      <c r="VBO45" s="579"/>
      <c r="VBP45" s="579"/>
      <c r="VBQ45" s="579"/>
      <c r="VBR45" s="579"/>
      <c r="VBS45" s="579"/>
      <c r="VBT45" s="579"/>
      <c r="VBU45" s="579"/>
      <c r="VBV45" s="579"/>
      <c r="VBW45" s="579"/>
      <c r="VBX45" s="579"/>
      <c r="VBY45" s="579"/>
      <c r="VBZ45" s="579"/>
      <c r="VCA45" s="579"/>
      <c r="VCB45" s="579"/>
      <c r="VCC45" s="579"/>
      <c r="VCD45" s="579"/>
      <c r="VCE45" s="579"/>
      <c r="VCF45" s="579"/>
      <c r="VCG45" s="579"/>
      <c r="VCH45" s="579"/>
      <c r="VCI45" s="579"/>
      <c r="VCJ45" s="579"/>
      <c r="VCK45" s="579"/>
      <c r="VCL45" s="579"/>
      <c r="VCM45" s="579"/>
      <c r="VCN45" s="579"/>
      <c r="VCO45" s="579"/>
      <c r="VCP45" s="579"/>
      <c r="VCQ45" s="579"/>
      <c r="VCR45" s="579"/>
      <c r="VCS45" s="579"/>
      <c r="VCT45" s="579"/>
      <c r="VCU45" s="579"/>
      <c r="VCV45" s="579"/>
      <c r="VCW45" s="579"/>
      <c r="VCX45" s="579"/>
      <c r="VCY45" s="579"/>
      <c r="VCZ45" s="579"/>
      <c r="VDA45" s="579"/>
      <c r="VDB45" s="579"/>
      <c r="VDC45" s="579"/>
      <c r="VDD45" s="579"/>
      <c r="VDE45" s="579"/>
      <c r="VDF45" s="579"/>
      <c r="VDG45" s="579"/>
      <c r="VDH45" s="579"/>
      <c r="VDI45" s="579"/>
      <c r="VDJ45" s="579"/>
      <c r="VDK45" s="579"/>
      <c r="VDL45" s="579"/>
      <c r="VDM45" s="579"/>
      <c r="VDN45" s="579"/>
      <c r="VDO45" s="579"/>
      <c r="VDP45" s="579"/>
      <c r="VDQ45" s="579"/>
      <c r="VDR45" s="579"/>
      <c r="VDS45" s="579"/>
      <c r="VDT45" s="579"/>
      <c r="VDU45" s="579"/>
      <c r="VDV45" s="579"/>
      <c r="VDW45" s="579"/>
      <c r="VDX45" s="579"/>
      <c r="VDY45" s="579"/>
      <c r="VDZ45" s="579"/>
      <c r="VEA45" s="579"/>
      <c r="VEB45" s="579"/>
      <c r="VEC45" s="579"/>
      <c r="VED45" s="579"/>
      <c r="VEE45" s="579"/>
      <c r="VEF45" s="579"/>
      <c r="VEG45" s="579"/>
      <c r="VEH45" s="579"/>
      <c r="VEI45" s="579"/>
      <c r="VEJ45" s="579"/>
      <c r="VEK45" s="579"/>
      <c r="VEL45" s="579"/>
      <c r="VEM45" s="579"/>
      <c r="VEN45" s="579"/>
      <c r="VEO45" s="579"/>
      <c r="VEP45" s="579"/>
      <c r="VEQ45" s="579"/>
      <c r="VER45" s="579"/>
      <c r="VES45" s="579"/>
      <c r="VET45" s="579"/>
      <c r="VEU45" s="579"/>
      <c r="VEV45" s="579"/>
      <c r="VEW45" s="579"/>
      <c r="VEX45" s="579"/>
      <c r="VEY45" s="579"/>
      <c r="VEZ45" s="579"/>
      <c r="VFA45" s="579"/>
      <c r="VFB45" s="579"/>
      <c r="VFC45" s="579"/>
      <c r="VFD45" s="579"/>
      <c r="VFE45" s="579"/>
      <c r="VFF45" s="579"/>
      <c r="VFG45" s="579"/>
      <c r="VFH45" s="579"/>
      <c r="VFI45" s="579"/>
      <c r="VFJ45" s="579"/>
      <c r="VFK45" s="579"/>
      <c r="VFL45" s="579"/>
      <c r="VFM45" s="579"/>
      <c r="VFN45" s="579"/>
      <c r="VFO45" s="579"/>
      <c r="VFP45" s="579"/>
      <c r="VFQ45" s="579"/>
      <c r="VFR45" s="579"/>
      <c r="VFS45" s="579"/>
      <c r="VFT45" s="579"/>
      <c r="VFU45" s="579"/>
      <c r="VFV45" s="579"/>
      <c r="VFW45" s="579"/>
      <c r="VFX45" s="579"/>
      <c r="VFY45" s="579"/>
      <c r="VFZ45" s="579"/>
      <c r="VGA45" s="579"/>
      <c r="VGB45" s="579"/>
      <c r="VGC45" s="579"/>
      <c r="VGD45" s="579"/>
      <c r="VGE45" s="579"/>
      <c r="VGF45" s="579"/>
      <c r="VGG45" s="579"/>
      <c r="VGH45" s="579"/>
      <c r="VGI45" s="579"/>
      <c r="VGJ45" s="579"/>
      <c r="VGK45" s="579"/>
      <c r="VGL45" s="579"/>
      <c r="VGM45" s="579"/>
      <c r="VGN45" s="579"/>
      <c r="VGO45" s="579"/>
      <c r="VGP45" s="579"/>
      <c r="VGQ45" s="579"/>
      <c r="VGR45" s="579"/>
      <c r="VGS45" s="579"/>
      <c r="VGT45" s="579"/>
      <c r="VGU45" s="579"/>
      <c r="VGV45" s="579"/>
      <c r="VGW45" s="579"/>
      <c r="VGX45" s="579"/>
      <c r="VGY45" s="579"/>
      <c r="VGZ45" s="579"/>
      <c r="VHA45" s="579"/>
      <c r="VHB45" s="579"/>
      <c r="VHC45" s="579"/>
      <c r="VHD45" s="579"/>
      <c r="VHE45" s="579"/>
      <c r="VHF45" s="579"/>
      <c r="VHG45" s="579"/>
      <c r="VHH45" s="579"/>
      <c r="VHI45" s="579"/>
      <c r="VHJ45" s="579"/>
      <c r="VHK45" s="579"/>
      <c r="VHL45" s="579"/>
      <c r="VHM45" s="579"/>
      <c r="VHN45" s="579"/>
      <c r="VHO45" s="579"/>
      <c r="VHP45" s="579"/>
      <c r="VHQ45" s="579"/>
      <c r="VHR45" s="579"/>
      <c r="VHS45" s="579"/>
      <c r="VHT45" s="579"/>
      <c r="VHU45" s="579"/>
      <c r="VHV45" s="579"/>
      <c r="VHW45" s="579"/>
      <c r="VHX45" s="579"/>
      <c r="VHY45" s="579"/>
      <c r="VHZ45" s="579"/>
      <c r="VIA45" s="579"/>
      <c r="VIB45" s="579"/>
      <c r="VIC45" s="579"/>
      <c r="VID45" s="579"/>
      <c r="VIE45" s="579"/>
      <c r="VIF45" s="579"/>
      <c r="VIG45" s="579"/>
      <c r="VIH45" s="579"/>
      <c r="VII45" s="579"/>
      <c r="VIJ45" s="579"/>
      <c r="VIK45" s="579"/>
      <c r="VIL45" s="579"/>
      <c r="VIM45" s="579"/>
      <c r="VIN45" s="579"/>
      <c r="VIO45" s="579"/>
      <c r="VIP45" s="579"/>
      <c r="VIQ45" s="579"/>
      <c r="VIR45" s="579"/>
      <c r="VIS45" s="579"/>
      <c r="VIT45" s="579"/>
      <c r="VIU45" s="579"/>
      <c r="VIV45" s="579"/>
      <c r="VIW45" s="579"/>
      <c r="VIX45" s="579"/>
      <c r="VIY45" s="579"/>
      <c r="VIZ45" s="579"/>
      <c r="VJA45" s="579"/>
      <c r="VJB45" s="579"/>
      <c r="VJC45" s="579"/>
      <c r="VJD45" s="579"/>
      <c r="VJE45" s="579"/>
      <c r="VJF45" s="579"/>
      <c r="VJG45" s="579"/>
      <c r="VJH45" s="579"/>
      <c r="VJI45" s="579"/>
      <c r="VJJ45" s="579"/>
      <c r="VJK45" s="579"/>
      <c r="VJL45" s="579"/>
      <c r="VJM45" s="579"/>
      <c r="VJN45" s="579"/>
      <c r="VJO45" s="579"/>
      <c r="VJP45" s="579"/>
      <c r="VJQ45" s="579"/>
      <c r="VJR45" s="579"/>
      <c r="VJS45" s="579"/>
      <c r="VJT45" s="579"/>
      <c r="VJU45" s="579"/>
      <c r="VJV45" s="579"/>
      <c r="VJW45" s="579"/>
      <c r="VJX45" s="579"/>
      <c r="VJY45" s="579"/>
      <c r="VJZ45" s="579"/>
      <c r="VKA45" s="579"/>
      <c r="VKB45" s="579"/>
      <c r="VKC45" s="579"/>
      <c r="VKD45" s="579"/>
      <c r="VKE45" s="579"/>
      <c r="VKF45" s="579"/>
      <c r="VKG45" s="579"/>
      <c r="VKH45" s="579"/>
      <c r="VKI45" s="579"/>
      <c r="VKJ45" s="579"/>
      <c r="VKK45" s="579"/>
      <c r="VKL45" s="579"/>
      <c r="VKM45" s="579"/>
      <c r="VKN45" s="579"/>
      <c r="VKO45" s="579"/>
      <c r="VKP45" s="579"/>
      <c r="VKQ45" s="579"/>
      <c r="VKR45" s="579"/>
      <c r="VKS45" s="579"/>
      <c r="VKT45" s="579"/>
      <c r="VKU45" s="579"/>
      <c r="VKV45" s="579"/>
      <c r="VKW45" s="579"/>
      <c r="VKX45" s="579"/>
      <c r="VKY45" s="579"/>
      <c r="VKZ45" s="579"/>
      <c r="VLA45" s="579"/>
      <c r="VLB45" s="579"/>
      <c r="VLC45" s="579"/>
      <c r="VLD45" s="579"/>
      <c r="VLE45" s="579"/>
      <c r="VLF45" s="579"/>
      <c r="VLG45" s="579"/>
      <c r="VLH45" s="579"/>
      <c r="VLI45" s="579"/>
      <c r="VLJ45" s="579"/>
      <c r="VLK45" s="579"/>
      <c r="VLL45" s="579"/>
      <c r="VLM45" s="579"/>
      <c r="VLN45" s="579"/>
      <c r="VLO45" s="579"/>
      <c r="VLP45" s="579"/>
      <c r="VLQ45" s="579"/>
      <c r="VLR45" s="579"/>
      <c r="VLS45" s="579"/>
      <c r="VLT45" s="579"/>
      <c r="VLU45" s="579"/>
      <c r="VLV45" s="579"/>
      <c r="VLW45" s="579"/>
      <c r="VLX45" s="579"/>
      <c r="VLY45" s="579"/>
      <c r="VLZ45" s="579"/>
      <c r="VMA45" s="579"/>
      <c r="VMB45" s="579"/>
      <c r="VMC45" s="579"/>
      <c r="VMD45" s="579"/>
      <c r="VME45" s="579"/>
      <c r="VMF45" s="579"/>
      <c r="VMG45" s="579"/>
      <c r="VMH45" s="579"/>
      <c r="VMI45" s="579"/>
      <c r="VMJ45" s="579"/>
      <c r="VMK45" s="579"/>
      <c r="VML45" s="579"/>
      <c r="VMM45" s="579"/>
      <c r="VMN45" s="579"/>
      <c r="VMO45" s="579"/>
      <c r="VMP45" s="579"/>
      <c r="VMQ45" s="579"/>
      <c r="VMR45" s="579"/>
      <c r="VMS45" s="579"/>
      <c r="VMT45" s="579"/>
      <c r="VMU45" s="579"/>
      <c r="VMV45" s="579"/>
      <c r="VMW45" s="579"/>
      <c r="VMX45" s="579"/>
      <c r="VMY45" s="579"/>
      <c r="VMZ45" s="579"/>
      <c r="VNA45" s="579"/>
      <c r="VNB45" s="579"/>
      <c r="VNC45" s="579"/>
      <c r="VND45" s="579"/>
      <c r="VNE45" s="579"/>
      <c r="VNF45" s="579"/>
      <c r="VNG45" s="579"/>
      <c r="VNH45" s="579"/>
      <c r="VNI45" s="579"/>
      <c r="VNJ45" s="579"/>
      <c r="VNK45" s="579"/>
      <c r="VNL45" s="579"/>
      <c r="VNM45" s="579"/>
      <c r="VNN45" s="579"/>
      <c r="VNO45" s="579"/>
      <c r="VNP45" s="579"/>
      <c r="VNQ45" s="579"/>
      <c r="VNR45" s="579"/>
      <c r="VNS45" s="579"/>
      <c r="VNT45" s="579"/>
      <c r="VNU45" s="579"/>
      <c r="VNV45" s="579"/>
      <c r="VNW45" s="579"/>
      <c r="VNX45" s="579"/>
      <c r="VNY45" s="579"/>
      <c r="VNZ45" s="579"/>
      <c r="VOA45" s="579"/>
      <c r="VOB45" s="579"/>
      <c r="VOC45" s="579"/>
      <c r="VOD45" s="579"/>
      <c r="VOE45" s="579"/>
      <c r="VOF45" s="579"/>
      <c r="VOG45" s="579"/>
      <c r="VOH45" s="579"/>
      <c r="VOI45" s="579"/>
      <c r="VOJ45" s="579"/>
      <c r="VOK45" s="579"/>
      <c r="VOL45" s="579"/>
      <c r="VOM45" s="579"/>
      <c r="VON45" s="579"/>
      <c r="VOO45" s="579"/>
      <c r="VOP45" s="579"/>
      <c r="VOQ45" s="579"/>
      <c r="VOR45" s="579"/>
      <c r="VOS45" s="579"/>
      <c r="VOT45" s="579"/>
      <c r="VOU45" s="579"/>
      <c r="VOV45" s="579"/>
      <c r="VOW45" s="579"/>
      <c r="VOX45" s="579"/>
      <c r="VOY45" s="579"/>
      <c r="VOZ45" s="579"/>
      <c r="VPA45" s="579"/>
      <c r="VPB45" s="579"/>
      <c r="VPC45" s="579"/>
      <c r="VPD45" s="579"/>
      <c r="VPE45" s="579"/>
      <c r="VPF45" s="579"/>
      <c r="VPG45" s="579"/>
      <c r="VPH45" s="579"/>
      <c r="VPI45" s="579"/>
      <c r="VPJ45" s="579"/>
      <c r="VPK45" s="579"/>
      <c r="VPL45" s="579"/>
      <c r="VPM45" s="579"/>
      <c r="VPN45" s="579"/>
      <c r="VPO45" s="579"/>
      <c r="VPP45" s="579"/>
      <c r="VPQ45" s="579"/>
      <c r="VPR45" s="579"/>
      <c r="VPS45" s="579"/>
      <c r="VPT45" s="579"/>
      <c r="VPU45" s="579"/>
      <c r="VPV45" s="579"/>
      <c r="VPW45" s="579"/>
      <c r="VPX45" s="579"/>
      <c r="VPY45" s="579"/>
      <c r="VPZ45" s="579"/>
      <c r="VQA45" s="579"/>
      <c r="VQB45" s="579"/>
      <c r="VQC45" s="579"/>
      <c r="VQD45" s="579"/>
      <c r="VQE45" s="579"/>
      <c r="VQF45" s="579"/>
      <c r="VQG45" s="579"/>
      <c r="VQH45" s="579"/>
      <c r="VQI45" s="579"/>
      <c r="VQJ45" s="579"/>
      <c r="VQK45" s="579"/>
      <c r="VQL45" s="579"/>
      <c r="VQM45" s="579"/>
      <c r="VQN45" s="579"/>
      <c r="VQO45" s="579"/>
      <c r="VQP45" s="579"/>
      <c r="VQQ45" s="579"/>
      <c r="VQR45" s="579"/>
      <c r="VQS45" s="579"/>
      <c r="VQT45" s="579"/>
      <c r="VQU45" s="579"/>
      <c r="VQV45" s="579"/>
      <c r="VQW45" s="579"/>
      <c r="VQX45" s="579"/>
      <c r="VQY45" s="579"/>
      <c r="VQZ45" s="579"/>
      <c r="VRA45" s="579"/>
      <c r="VRB45" s="579"/>
      <c r="VRC45" s="579"/>
      <c r="VRD45" s="579"/>
      <c r="VRE45" s="579"/>
      <c r="VRF45" s="579"/>
      <c r="VRG45" s="579"/>
      <c r="VRH45" s="579"/>
      <c r="VRI45" s="579"/>
      <c r="VRJ45" s="579"/>
      <c r="VRK45" s="579"/>
      <c r="VRL45" s="579"/>
      <c r="VRM45" s="579"/>
      <c r="VRN45" s="579"/>
      <c r="VRO45" s="579"/>
      <c r="VRP45" s="579"/>
      <c r="VRQ45" s="579"/>
      <c r="VRR45" s="579"/>
      <c r="VRS45" s="579"/>
      <c r="VRT45" s="579"/>
      <c r="VRU45" s="579"/>
      <c r="VRV45" s="579"/>
      <c r="VRW45" s="579"/>
      <c r="VRX45" s="579"/>
      <c r="VRY45" s="579"/>
      <c r="VRZ45" s="579"/>
      <c r="VSA45" s="579"/>
      <c r="VSB45" s="579"/>
      <c r="VSC45" s="579"/>
      <c r="VSD45" s="579"/>
      <c r="VSE45" s="579"/>
      <c r="VSF45" s="579"/>
      <c r="VSG45" s="579"/>
      <c r="VSH45" s="579"/>
      <c r="VSI45" s="579"/>
      <c r="VSJ45" s="579"/>
      <c r="VSK45" s="579"/>
      <c r="VSL45" s="579"/>
      <c r="VSM45" s="579"/>
      <c r="VSN45" s="579"/>
      <c r="VSO45" s="579"/>
      <c r="VSP45" s="579"/>
      <c r="VSQ45" s="579"/>
      <c r="VSR45" s="579"/>
      <c r="VSS45" s="579"/>
      <c r="VST45" s="579"/>
      <c r="VSU45" s="579"/>
      <c r="VSV45" s="579"/>
      <c r="VSW45" s="579"/>
      <c r="VSX45" s="579"/>
      <c r="VSY45" s="579"/>
      <c r="VSZ45" s="579"/>
      <c r="VTA45" s="579"/>
      <c r="VTB45" s="579"/>
      <c r="VTC45" s="579"/>
      <c r="VTD45" s="579"/>
      <c r="VTE45" s="579"/>
      <c r="VTF45" s="579"/>
      <c r="VTG45" s="579"/>
      <c r="VTH45" s="579"/>
      <c r="VTI45" s="579"/>
      <c r="VTJ45" s="579"/>
      <c r="VTK45" s="579"/>
      <c r="VTL45" s="579"/>
      <c r="VTM45" s="579"/>
      <c r="VTN45" s="579"/>
      <c r="VTO45" s="579"/>
      <c r="VTP45" s="579"/>
      <c r="VTQ45" s="579"/>
      <c r="VTR45" s="579"/>
      <c r="VTS45" s="579"/>
      <c r="VTT45" s="579"/>
      <c r="VTU45" s="579"/>
      <c r="VTV45" s="579"/>
      <c r="VTW45" s="579"/>
      <c r="VTX45" s="579"/>
      <c r="VTY45" s="579"/>
      <c r="VTZ45" s="579"/>
      <c r="VUA45" s="579"/>
      <c r="VUB45" s="579"/>
      <c r="VUC45" s="579"/>
      <c r="VUD45" s="579"/>
      <c r="VUE45" s="579"/>
      <c r="VUF45" s="579"/>
      <c r="VUG45" s="579"/>
      <c r="VUH45" s="579"/>
      <c r="VUI45" s="579"/>
      <c r="VUJ45" s="579"/>
      <c r="VUK45" s="579"/>
      <c r="VUL45" s="579"/>
      <c r="VUM45" s="579"/>
      <c r="VUN45" s="579"/>
      <c r="VUO45" s="579"/>
      <c r="VUP45" s="579"/>
      <c r="VUQ45" s="579"/>
      <c r="VUR45" s="579"/>
      <c r="VUS45" s="579"/>
      <c r="VUT45" s="579"/>
      <c r="VUU45" s="579"/>
      <c r="VUV45" s="579"/>
      <c r="VUW45" s="579"/>
      <c r="VUX45" s="579"/>
      <c r="VUY45" s="579"/>
      <c r="VUZ45" s="579"/>
      <c r="VVA45" s="579"/>
      <c r="VVB45" s="579"/>
      <c r="VVC45" s="579"/>
      <c r="VVD45" s="579"/>
      <c r="VVE45" s="579"/>
      <c r="VVF45" s="579"/>
      <c r="VVG45" s="579"/>
      <c r="VVH45" s="579"/>
      <c r="VVI45" s="579"/>
      <c r="VVJ45" s="579"/>
      <c r="VVK45" s="579"/>
      <c r="VVL45" s="579"/>
      <c r="VVM45" s="579"/>
      <c r="VVN45" s="579"/>
      <c r="VVO45" s="579"/>
      <c r="VVP45" s="579"/>
      <c r="VVQ45" s="579"/>
      <c r="VVR45" s="579"/>
      <c r="VVS45" s="579"/>
      <c r="VVT45" s="579"/>
      <c r="VVU45" s="579"/>
      <c r="VVV45" s="579"/>
      <c r="VVW45" s="579"/>
      <c r="VVX45" s="579"/>
      <c r="VVY45" s="579"/>
      <c r="VVZ45" s="579"/>
      <c r="VWA45" s="579"/>
      <c r="VWB45" s="579"/>
      <c r="VWC45" s="579"/>
      <c r="VWD45" s="579"/>
      <c r="VWE45" s="579"/>
      <c r="VWF45" s="579"/>
      <c r="VWG45" s="579"/>
      <c r="VWH45" s="579"/>
      <c r="VWI45" s="579"/>
      <c r="VWJ45" s="579"/>
      <c r="VWK45" s="579"/>
      <c r="VWL45" s="579"/>
      <c r="VWM45" s="579"/>
      <c r="VWN45" s="579"/>
      <c r="VWO45" s="579"/>
      <c r="VWP45" s="579"/>
      <c r="VWQ45" s="579"/>
      <c r="VWR45" s="579"/>
      <c r="VWS45" s="579"/>
      <c r="VWT45" s="579"/>
      <c r="VWU45" s="579"/>
      <c r="VWV45" s="579"/>
      <c r="VWW45" s="579"/>
      <c r="VWX45" s="579"/>
      <c r="VWY45" s="579"/>
      <c r="VWZ45" s="579"/>
      <c r="VXA45" s="579"/>
      <c r="VXB45" s="579"/>
      <c r="VXC45" s="579"/>
      <c r="VXD45" s="579"/>
      <c r="VXE45" s="579"/>
      <c r="VXF45" s="579"/>
      <c r="VXG45" s="579"/>
      <c r="VXH45" s="579"/>
      <c r="VXI45" s="579"/>
      <c r="VXJ45" s="579"/>
      <c r="VXK45" s="579"/>
      <c r="VXL45" s="579"/>
      <c r="VXM45" s="579"/>
      <c r="VXN45" s="579"/>
      <c r="VXO45" s="579"/>
      <c r="VXP45" s="579"/>
      <c r="VXQ45" s="579"/>
      <c r="VXR45" s="579"/>
      <c r="VXS45" s="579"/>
      <c r="VXT45" s="579"/>
      <c r="VXU45" s="579"/>
      <c r="VXV45" s="579"/>
      <c r="VXW45" s="579"/>
      <c r="VXX45" s="579"/>
      <c r="VXY45" s="579"/>
      <c r="VXZ45" s="579"/>
      <c r="VYA45" s="579"/>
      <c r="VYB45" s="579"/>
      <c r="VYC45" s="579"/>
      <c r="VYD45" s="579"/>
      <c r="VYE45" s="579"/>
      <c r="VYF45" s="579"/>
      <c r="VYG45" s="579"/>
      <c r="VYH45" s="579"/>
      <c r="VYI45" s="579"/>
      <c r="VYJ45" s="579"/>
      <c r="VYK45" s="579"/>
      <c r="VYL45" s="579"/>
      <c r="VYM45" s="579"/>
      <c r="VYN45" s="579"/>
      <c r="VYO45" s="579"/>
      <c r="VYP45" s="579"/>
      <c r="VYQ45" s="579"/>
      <c r="VYR45" s="579"/>
      <c r="VYS45" s="579"/>
      <c r="VYT45" s="579"/>
      <c r="VYU45" s="579"/>
      <c r="VYV45" s="579"/>
      <c r="VYW45" s="579"/>
      <c r="VYX45" s="579"/>
      <c r="VYY45" s="579"/>
      <c r="VYZ45" s="579"/>
      <c r="VZA45" s="579"/>
      <c r="VZB45" s="579"/>
      <c r="VZC45" s="579"/>
      <c r="VZD45" s="579"/>
      <c r="VZE45" s="579"/>
      <c r="VZF45" s="579"/>
      <c r="VZG45" s="579"/>
      <c r="VZH45" s="579"/>
      <c r="VZI45" s="579"/>
      <c r="VZJ45" s="579"/>
      <c r="VZK45" s="579"/>
      <c r="VZL45" s="579"/>
      <c r="VZM45" s="579"/>
      <c r="VZN45" s="579"/>
      <c r="VZO45" s="579"/>
      <c r="VZP45" s="579"/>
      <c r="VZQ45" s="579"/>
      <c r="VZR45" s="579"/>
      <c r="VZS45" s="579"/>
      <c r="VZT45" s="579"/>
      <c r="VZU45" s="579"/>
      <c r="VZV45" s="579"/>
      <c r="VZW45" s="579"/>
      <c r="VZX45" s="579"/>
      <c r="VZY45" s="579"/>
      <c r="VZZ45" s="579"/>
      <c r="WAA45" s="579"/>
      <c r="WAB45" s="579"/>
      <c r="WAC45" s="579"/>
      <c r="WAD45" s="579"/>
      <c r="WAE45" s="579"/>
      <c r="WAF45" s="579"/>
      <c r="WAG45" s="579"/>
      <c r="WAH45" s="579"/>
      <c r="WAI45" s="579"/>
      <c r="WAJ45" s="579"/>
      <c r="WAK45" s="579"/>
      <c r="WAL45" s="579"/>
      <c r="WAM45" s="579"/>
      <c r="WAN45" s="579"/>
      <c r="WAO45" s="579"/>
      <c r="WAP45" s="579"/>
      <c r="WAQ45" s="579"/>
      <c r="WAR45" s="579"/>
      <c r="WAS45" s="579"/>
      <c r="WAT45" s="579"/>
      <c r="WAU45" s="579"/>
      <c r="WAV45" s="579"/>
      <c r="WAW45" s="579"/>
      <c r="WAX45" s="579"/>
      <c r="WAY45" s="579"/>
      <c r="WAZ45" s="579"/>
      <c r="WBA45" s="579"/>
      <c r="WBB45" s="579"/>
      <c r="WBC45" s="579"/>
      <c r="WBD45" s="579"/>
      <c r="WBE45" s="579"/>
      <c r="WBF45" s="579"/>
      <c r="WBG45" s="579"/>
      <c r="WBH45" s="579"/>
      <c r="WBI45" s="579"/>
      <c r="WBJ45" s="579"/>
      <c r="WBK45" s="579"/>
      <c r="WBL45" s="579"/>
      <c r="WBM45" s="579"/>
      <c r="WBN45" s="579"/>
      <c r="WBO45" s="579"/>
      <c r="WBP45" s="579"/>
      <c r="WBQ45" s="579"/>
      <c r="WBR45" s="579"/>
      <c r="WBS45" s="579"/>
      <c r="WBT45" s="579"/>
      <c r="WBU45" s="579"/>
      <c r="WBV45" s="579"/>
      <c r="WBW45" s="579"/>
      <c r="WBX45" s="579"/>
      <c r="WBY45" s="579"/>
      <c r="WBZ45" s="579"/>
      <c r="WCA45" s="579"/>
      <c r="WCB45" s="579"/>
      <c r="WCC45" s="579"/>
      <c r="WCD45" s="579"/>
      <c r="WCE45" s="579"/>
      <c r="WCF45" s="579"/>
      <c r="WCG45" s="579"/>
      <c r="WCH45" s="579"/>
      <c r="WCI45" s="579"/>
      <c r="WCJ45" s="579"/>
      <c r="WCK45" s="579"/>
      <c r="WCL45" s="579"/>
      <c r="WCM45" s="579"/>
      <c r="WCN45" s="579"/>
      <c r="WCO45" s="579"/>
      <c r="WCP45" s="579"/>
      <c r="WCQ45" s="579"/>
      <c r="WCR45" s="579"/>
      <c r="WCS45" s="579"/>
      <c r="WCT45" s="579"/>
      <c r="WCU45" s="579"/>
      <c r="WCV45" s="579"/>
      <c r="WCW45" s="579"/>
      <c r="WCX45" s="579"/>
      <c r="WCY45" s="579"/>
      <c r="WCZ45" s="579"/>
      <c r="WDA45" s="579"/>
      <c r="WDB45" s="579"/>
      <c r="WDC45" s="579"/>
      <c r="WDD45" s="579"/>
      <c r="WDE45" s="579"/>
      <c r="WDF45" s="579"/>
      <c r="WDG45" s="579"/>
      <c r="WDH45" s="579"/>
      <c r="WDI45" s="579"/>
      <c r="WDJ45" s="579"/>
      <c r="WDK45" s="579"/>
      <c r="WDL45" s="579"/>
      <c r="WDM45" s="579"/>
      <c r="WDN45" s="579"/>
      <c r="WDO45" s="579"/>
      <c r="WDP45" s="579"/>
      <c r="WDQ45" s="579"/>
      <c r="WDR45" s="579"/>
      <c r="WDS45" s="579"/>
      <c r="WDT45" s="579"/>
      <c r="WDU45" s="579"/>
      <c r="WDV45" s="579"/>
      <c r="WDW45" s="579"/>
      <c r="WDX45" s="579"/>
      <c r="WDY45" s="579"/>
      <c r="WDZ45" s="579"/>
      <c r="WEA45" s="579"/>
      <c r="WEB45" s="579"/>
      <c r="WEC45" s="579"/>
      <c r="WED45" s="579"/>
      <c r="WEE45" s="579"/>
      <c r="WEF45" s="579"/>
      <c r="WEG45" s="579"/>
      <c r="WEH45" s="579"/>
      <c r="WEI45" s="579"/>
      <c r="WEJ45" s="579"/>
      <c r="WEK45" s="579"/>
      <c r="WEL45" s="579"/>
      <c r="WEM45" s="579"/>
      <c r="WEN45" s="579"/>
      <c r="WEO45" s="579"/>
      <c r="WEP45" s="579"/>
      <c r="WEQ45" s="579"/>
      <c r="WER45" s="579"/>
      <c r="WES45" s="579"/>
      <c r="WET45" s="579"/>
      <c r="WEU45" s="579"/>
      <c r="WEV45" s="579"/>
      <c r="WEW45" s="579"/>
      <c r="WEX45" s="579"/>
      <c r="WEY45" s="579"/>
      <c r="WEZ45" s="579"/>
      <c r="WFA45" s="579"/>
      <c r="WFB45" s="579"/>
      <c r="WFC45" s="579"/>
      <c r="WFD45" s="579"/>
      <c r="WFE45" s="579"/>
      <c r="WFF45" s="579"/>
      <c r="WFG45" s="579"/>
      <c r="WFH45" s="579"/>
      <c r="WFI45" s="579"/>
      <c r="WFJ45" s="579"/>
      <c r="WFK45" s="579"/>
      <c r="WFL45" s="579"/>
      <c r="WFM45" s="579"/>
      <c r="WFN45" s="579"/>
      <c r="WFO45" s="579"/>
      <c r="WFP45" s="579"/>
      <c r="WFQ45" s="579"/>
      <c r="WFR45" s="579"/>
      <c r="WFS45" s="579"/>
      <c r="WFT45" s="579"/>
      <c r="WFU45" s="579"/>
      <c r="WFV45" s="579"/>
      <c r="WFW45" s="579"/>
      <c r="WFX45" s="579"/>
      <c r="WFY45" s="579"/>
      <c r="WFZ45" s="579"/>
      <c r="WGA45" s="579"/>
      <c r="WGB45" s="579"/>
      <c r="WGC45" s="579"/>
      <c r="WGD45" s="579"/>
      <c r="WGE45" s="579"/>
      <c r="WGF45" s="579"/>
      <c r="WGG45" s="579"/>
      <c r="WGH45" s="579"/>
      <c r="WGI45" s="579"/>
      <c r="WGJ45" s="579"/>
      <c r="WGK45" s="579"/>
      <c r="WGL45" s="579"/>
      <c r="WGM45" s="579"/>
      <c r="WGN45" s="579"/>
      <c r="WGO45" s="579"/>
      <c r="WGP45" s="579"/>
      <c r="WGQ45" s="579"/>
      <c r="WGR45" s="579"/>
      <c r="WGS45" s="579"/>
      <c r="WGT45" s="579"/>
      <c r="WGU45" s="579"/>
      <c r="WGV45" s="579"/>
      <c r="WGW45" s="579"/>
      <c r="WGX45" s="579"/>
      <c r="WGY45" s="579"/>
      <c r="WGZ45" s="579"/>
      <c r="WHA45" s="579"/>
      <c r="WHB45" s="579"/>
      <c r="WHC45" s="579"/>
      <c r="WHD45" s="579"/>
      <c r="WHE45" s="579"/>
      <c r="WHF45" s="579"/>
      <c r="WHG45" s="579"/>
      <c r="WHH45" s="579"/>
      <c r="WHI45" s="579"/>
      <c r="WHJ45" s="579"/>
      <c r="WHK45" s="579"/>
      <c r="WHL45" s="579"/>
      <c r="WHM45" s="579"/>
      <c r="WHN45" s="579"/>
      <c r="WHO45" s="579"/>
      <c r="WHP45" s="579"/>
      <c r="WHQ45" s="579"/>
      <c r="WHR45" s="579"/>
      <c r="WHS45" s="579"/>
      <c r="WHT45" s="579"/>
      <c r="WHU45" s="579"/>
      <c r="WHV45" s="579"/>
      <c r="WHW45" s="579"/>
      <c r="WHX45" s="579"/>
      <c r="WHY45" s="579"/>
      <c r="WHZ45" s="579"/>
      <c r="WIA45" s="579"/>
      <c r="WIB45" s="579"/>
      <c r="WIC45" s="579"/>
      <c r="WID45" s="579"/>
      <c r="WIE45" s="579"/>
      <c r="WIF45" s="579"/>
      <c r="WIG45" s="579"/>
      <c r="WIH45" s="579"/>
      <c r="WII45" s="579"/>
      <c r="WIJ45" s="579"/>
      <c r="WIK45" s="579"/>
      <c r="WIL45" s="579"/>
      <c r="WIM45" s="579"/>
      <c r="WIN45" s="579"/>
      <c r="WIO45" s="579"/>
      <c r="WIP45" s="579"/>
      <c r="WIQ45" s="579"/>
      <c r="WIR45" s="579"/>
      <c r="WIS45" s="579"/>
      <c r="WIT45" s="579"/>
      <c r="WIU45" s="579"/>
      <c r="WIV45" s="579"/>
      <c r="WIW45" s="579"/>
      <c r="WIX45" s="579"/>
      <c r="WIY45" s="579"/>
      <c r="WIZ45" s="579"/>
      <c r="WJA45" s="579"/>
      <c r="WJB45" s="579"/>
      <c r="WJC45" s="579"/>
      <c r="WJD45" s="579"/>
      <c r="WJE45" s="579"/>
      <c r="WJF45" s="579"/>
      <c r="WJG45" s="579"/>
      <c r="WJH45" s="579"/>
      <c r="WJI45" s="579"/>
      <c r="WJJ45" s="579"/>
      <c r="WJK45" s="579"/>
      <c r="WJL45" s="579"/>
      <c r="WJM45" s="579"/>
      <c r="WJN45" s="579"/>
      <c r="WJO45" s="579"/>
      <c r="WJP45" s="579"/>
      <c r="WJQ45" s="579"/>
      <c r="WJR45" s="579"/>
      <c r="WJS45" s="579"/>
      <c r="WJT45" s="579"/>
      <c r="WJU45" s="579"/>
      <c r="WJV45" s="579"/>
      <c r="WJW45" s="579"/>
      <c r="WJX45" s="579"/>
      <c r="WJY45" s="579"/>
      <c r="WJZ45" s="579"/>
      <c r="WKA45" s="579"/>
      <c r="WKB45" s="579"/>
      <c r="WKC45" s="579"/>
      <c r="WKD45" s="579"/>
      <c r="WKE45" s="579"/>
      <c r="WKF45" s="579"/>
      <c r="WKG45" s="579"/>
      <c r="WKH45" s="579"/>
      <c r="WKI45" s="579"/>
      <c r="WKJ45" s="579"/>
      <c r="WKK45" s="579"/>
      <c r="WKL45" s="579"/>
      <c r="WKM45" s="579"/>
      <c r="WKN45" s="579"/>
      <c r="WKO45" s="579"/>
      <c r="WKP45" s="579"/>
      <c r="WKQ45" s="579"/>
      <c r="WKR45" s="579"/>
      <c r="WKS45" s="579"/>
      <c r="WKT45" s="579"/>
      <c r="WKU45" s="579"/>
      <c r="WKV45" s="579"/>
      <c r="WKW45" s="579"/>
      <c r="WKX45" s="579"/>
      <c r="WKY45" s="579"/>
      <c r="WKZ45" s="579"/>
      <c r="WLA45" s="579"/>
      <c r="WLB45" s="579"/>
      <c r="WLC45" s="579"/>
      <c r="WLD45" s="579"/>
      <c r="WLE45" s="579"/>
      <c r="WLF45" s="579"/>
      <c r="WLG45" s="579"/>
      <c r="WLH45" s="579"/>
      <c r="WLI45" s="579"/>
      <c r="WLJ45" s="579"/>
      <c r="WLK45" s="579"/>
      <c r="WLL45" s="579"/>
      <c r="WLM45" s="579"/>
      <c r="WLN45" s="579"/>
      <c r="WLO45" s="579"/>
      <c r="WLP45" s="579"/>
      <c r="WLQ45" s="579"/>
      <c r="WLR45" s="579"/>
      <c r="WLS45" s="579"/>
      <c r="WLT45" s="579"/>
      <c r="WLU45" s="579"/>
      <c r="WLV45" s="579"/>
      <c r="WLW45" s="579"/>
      <c r="WLX45" s="579"/>
      <c r="WLY45" s="579"/>
      <c r="WLZ45" s="579"/>
      <c r="WMA45" s="579"/>
      <c r="WMB45" s="579"/>
      <c r="WMC45" s="579"/>
      <c r="WMD45" s="579"/>
      <c r="WME45" s="579"/>
      <c r="WMF45" s="579"/>
      <c r="WMG45" s="579"/>
      <c r="WMH45" s="579"/>
      <c r="WMI45" s="579"/>
      <c r="WMJ45" s="579"/>
      <c r="WMK45" s="579"/>
      <c r="WML45" s="579"/>
      <c r="WMM45" s="579"/>
      <c r="WMN45" s="579"/>
      <c r="WMO45" s="579"/>
      <c r="WMP45" s="579"/>
      <c r="WMQ45" s="579"/>
      <c r="WMR45" s="579"/>
      <c r="WMS45" s="579"/>
      <c r="WMT45" s="579"/>
      <c r="WMU45" s="579"/>
      <c r="WMV45" s="579"/>
      <c r="WMW45" s="579"/>
      <c r="WMX45" s="579"/>
      <c r="WMY45" s="579"/>
      <c r="WMZ45" s="579"/>
      <c r="WNA45" s="579"/>
      <c r="WNB45" s="579"/>
      <c r="WNC45" s="579"/>
      <c r="WND45" s="579"/>
      <c r="WNE45" s="579"/>
      <c r="WNF45" s="579"/>
      <c r="WNG45" s="579"/>
      <c r="WNH45" s="579"/>
      <c r="WNI45" s="579"/>
      <c r="WNJ45" s="579"/>
      <c r="WNK45" s="579"/>
      <c r="WNL45" s="579"/>
      <c r="WNM45" s="579"/>
      <c r="WNN45" s="579"/>
      <c r="WNO45" s="579"/>
      <c r="WNP45" s="579"/>
      <c r="WNQ45" s="579"/>
      <c r="WNR45" s="579"/>
      <c r="WNS45" s="579"/>
      <c r="WNT45" s="579"/>
      <c r="WNU45" s="579"/>
      <c r="WNV45" s="579"/>
      <c r="WNW45" s="579"/>
      <c r="WNX45" s="579"/>
      <c r="WNY45" s="579"/>
      <c r="WNZ45" s="579"/>
      <c r="WOA45" s="579"/>
      <c r="WOB45" s="579"/>
      <c r="WOC45" s="579"/>
      <c r="WOD45" s="579"/>
      <c r="WOE45" s="579"/>
      <c r="WOF45" s="579"/>
      <c r="WOG45" s="579"/>
      <c r="WOH45" s="579"/>
      <c r="WOI45" s="579"/>
      <c r="WOJ45" s="579"/>
      <c r="WOK45" s="579"/>
      <c r="WOL45" s="579"/>
      <c r="WOM45" s="579"/>
      <c r="WON45" s="579"/>
      <c r="WOO45" s="579"/>
      <c r="WOP45" s="579"/>
      <c r="WOQ45" s="579"/>
      <c r="WOR45" s="579"/>
      <c r="WOS45" s="579"/>
      <c r="WOT45" s="579"/>
      <c r="WOU45" s="579"/>
      <c r="WOV45" s="579"/>
      <c r="WOW45" s="579"/>
      <c r="WOX45" s="579"/>
      <c r="WOY45" s="579"/>
      <c r="WOZ45" s="579"/>
      <c r="WPA45" s="579"/>
      <c r="WPB45" s="579"/>
      <c r="WPC45" s="579"/>
      <c r="WPD45" s="579"/>
      <c r="WPE45" s="579"/>
      <c r="WPF45" s="579"/>
      <c r="WPG45" s="579"/>
      <c r="WPH45" s="579"/>
      <c r="WPI45" s="579"/>
      <c r="WPJ45" s="579"/>
      <c r="WPK45" s="579"/>
      <c r="WPL45" s="579"/>
      <c r="WPM45" s="579"/>
      <c r="WPN45" s="579"/>
      <c r="WPO45" s="579"/>
      <c r="WPP45" s="579"/>
      <c r="WPQ45" s="579"/>
      <c r="WPR45" s="579"/>
      <c r="WPS45" s="579"/>
      <c r="WPT45" s="579"/>
      <c r="WPU45" s="579"/>
      <c r="WPV45" s="579"/>
      <c r="WPW45" s="579"/>
      <c r="WPX45" s="579"/>
      <c r="WPY45" s="579"/>
      <c r="WPZ45" s="579"/>
      <c r="WQA45" s="579"/>
      <c r="WQB45" s="579"/>
      <c r="WQC45" s="579"/>
      <c r="WQD45" s="579"/>
      <c r="WQE45" s="579"/>
      <c r="WQF45" s="579"/>
      <c r="WQG45" s="579"/>
      <c r="WQH45" s="579"/>
      <c r="WQI45" s="579"/>
      <c r="WQJ45" s="579"/>
      <c r="WQK45" s="579"/>
      <c r="WQL45" s="579"/>
      <c r="WQM45" s="579"/>
      <c r="WQN45" s="579"/>
      <c r="WQO45" s="579"/>
      <c r="WQP45" s="579"/>
      <c r="WQQ45" s="579"/>
      <c r="WQR45" s="579"/>
      <c r="WQS45" s="579"/>
      <c r="WQT45" s="579"/>
      <c r="WQU45" s="579"/>
      <c r="WQV45" s="579"/>
      <c r="WQW45" s="579"/>
      <c r="WQX45" s="579"/>
      <c r="WQY45" s="579"/>
      <c r="WQZ45" s="579"/>
      <c r="WRA45" s="579"/>
      <c r="WRB45" s="579"/>
      <c r="WRC45" s="579"/>
      <c r="WRD45" s="579"/>
      <c r="WRE45" s="579"/>
      <c r="WRF45" s="579"/>
      <c r="WRG45" s="579"/>
      <c r="WRH45" s="579"/>
      <c r="WRI45" s="579"/>
      <c r="WRJ45" s="579"/>
      <c r="WRK45" s="579"/>
      <c r="WRL45" s="579"/>
      <c r="WRM45" s="579"/>
      <c r="WRN45" s="579"/>
      <c r="WRO45" s="579"/>
      <c r="WRP45" s="579"/>
      <c r="WRQ45" s="579"/>
      <c r="WRR45" s="579"/>
      <c r="WRS45" s="579"/>
      <c r="WRT45" s="579"/>
      <c r="WRU45" s="579"/>
      <c r="WRV45" s="579"/>
      <c r="WRW45" s="579"/>
      <c r="WRX45" s="579"/>
      <c r="WRY45" s="579"/>
      <c r="WRZ45" s="579"/>
      <c r="WSA45" s="579"/>
      <c r="WSB45" s="579"/>
      <c r="WSC45" s="579"/>
      <c r="WSD45" s="579"/>
      <c r="WSE45" s="579"/>
      <c r="WSF45" s="579"/>
      <c r="WSG45" s="579"/>
      <c r="WSH45" s="579"/>
      <c r="WSI45" s="579"/>
      <c r="WSJ45" s="579"/>
      <c r="WSK45" s="579"/>
      <c r="WSL45" s="579"/>
      <c r="WSM45" s="579"/>
      <c r="WSN45" s="579"/>
      <c r="WSO45" s="579"/>
      <c r="WSP45" s="579"/>
      <c r="WSQ45" s="579"/>
      <c r="WSR45" s="579"/>
      <c r="WSS45" s="579"/>
      <c r="WST45" s="579"/>
      <c r="WSU45" s="579"/>
      <c r="WSV45" s="579"/>
      <c r="WSW45" s="579"/>
      <c r="WSX45" s="579"/>
      <c r="WSY45" s="579"/>
      <c r="WSZ45" s="579"/>
      <c r="WTA45" s="579"/>
      <c r="WTB45" s="579"/>
      <c r="WTC45" s="579"/>
      <c r="WTD45" s="579"/>
      <c r="WTE45" s="579"/>
      <c r="WTF45" s="579"/>
      <c r="WTG45" s="579"/>
      <c r="WTH45" s="579"/>
      <c r="WTI45" s="579"/>
      <c r="WTJ45" s="579"/>
      <c r="WTK45" s="579"/>
      <c r="WTL45" s="579"/>
      <c r="WTM45" s="579"/>
      <c r="WTN45" s="579"/>
      <c r="WTO45" s="579"/>
      <c r="WTP45" s="579"/>
      <c r="WTQ45" s="579"/>
      <c r="WTR45" s="579"/>
      <c r="WTS45" s="579"/>
      <c r="WTT45" s="579"/>
      <c r="WTU45" s="579"/>
      <c r="WTV45" s="579"/>
      <c r="WTW45" s="579"/>
      <c r="WTX45" s="579"/>
      <c r="WTY45" s="579"/>
      <c r="WTZ45" s="579"/>
      <c r="WUA45" s="579"/>
      <c r="WUB45" s="579"/>
      <c r="WUC45" s="579"/>
      <c r="WUD45" s="579"/>
      <c r="WUE45" s="579"/>
      <c r="WUF45" s="579"/>
      <c r="WUG45" s="579"/>
      <c r="WUH45" s="579"/>
      <c r="WUI45" s="579"/>
      <c r="WUJ45" s="579"/>
      <c r="WUK45" s="579"/>
      <c r="WUL45" s="579"/>
      <c r="WUM45" s="579"/>
      <c r="WUN45" s="579"/>
      <c r="WUO45" s="579"/>
      <c r="WUP45" s="579"/>
      <c r="WUQ45" s="579"/>
      <c r="WUR45" s="579"/>
      <c r="WUS45" s="579"/>
      <c r="WUT45" s="579"/>
      <c r="WUU45" s="579"/>
      <c r="WUV45" s="579"/>
      <c r="WUW45" s="579"/>
      <c r="WUX45" s="579"/>
      <c r="WUY45" s="579"/>
      <c r="WUZ45" s="579"/>
      <c r="WVA45" s="579"/>
      <c r="WVB45" s="579"/>
      <c r="WVC45" s="579"/>
      <c r="WVD45" s="579"/>
      <c r="WVE45" s="579"/>
      <c r="WVF45" s="579"/>
      <c r="WVG45" s="579"/>
      <c r="WVH45" s="579"/>
      <c r="WVI45" s="579"/>
      <c r="WVJ45" s="579"/>
      <c r="WVK45" s="579"/>
      <c r="WVL45" s="579"/>
      <c r="WVM45" s="579"/>
      <c r="WVN45" s="579"/>
      <c r="WVO45" s="579"/>
      <c r="WVP45" s="579"/>
      <c r="WVQ45" s="579"/>
      <c r="WVR45" s="579"/>
      <c r="WVS45" s="579"/>
      <c r="WVT45" s="579"/>
      <c r="WVU45" s="579"/>
      <c r="WVV45" s="579"/>
      <c r="WVW45" s="579"/>
      <c r="WVX45" s="579"/>
      <c r="WVY45" s="579"/>
      <c r="WVZ45" s="579"/>
      <c r="WWA45" s="579"/>
      <c r="WWB45" s="579"/>
      <c r="WWC45" s="579"/>
      <c r="WWD45" s="579"/>
      <c r="WWE45" s="579"/>
      <c r="WWF45" s="579"/>
      <c r="WWG45" s="579"/>
      <c r="WWH45" s="579"/>
      <c r="WWI45" s="579"/>
      <c r="WWJ45" s="579"/>
      <c r="WWK45" s="579"/>
      <c r="WWL45" s="579"/>
      <c r="WWM45" s="579"/>
      <c r="WWN45" s="579"/>
      <c r="WWO45" s="579"/>
      <c r="WWP45" s="579"/>
      <c r="WWQ45" s="579"/>
      <c r="WWR45" s="579"/>
      <c r="WWS45" s="579"/>
      <c r="WWT45" s="579"/>
      <c r="WWU45" s="579"/>
      <c r="WWV45" s="579"/>
      <c r="WWW45" s="579"/>
      <c r="WWX45" s="579"/>
      <c r="WWY45" s="579"/>
      <c r="WWZ45" s="579"/>
      <c r="WXA45" s="579"/>
      <c r="WXB45" s="579"/>
      <c r="WXC45" s="579"/>
      <c r="WXD45" s="579"/>
      <c r="WXE45" s="579"/>
      <c r="WXF45" s="579"/>
      <c r="WXG45" s="579"/>
      <c r="WXH45" s="579"/>
      <c r="WXI45" s="579"/>
      <c r="WXJ45" s="579"/>
      <c r="WXK45" s="579"/>
      <c r="WXL45" s="579"/>
      <c r="WXM45" s="579"/>
      <c r="WXN45" s="579"/>
      <c r="WXO45" s="579"/>
      <c r="WXP45" s="579"/>
      <c r="WXQ45" s="579"/>
      <c r="WXR45" s="579"/>
      <c r="WXS45" s="579"/>
      <c r="WXT45" s="579"/>
      <c r="WXU45" s="579"/>
      <c r="WXV45" s="579"/>
      <c r="WXW45" s="579"/>
      <c r="WXX45" s="579"/>
      <c r="WXY45" s="579"/>
      <c r="WXZ45" s="579"/>
      <c r="WYA45" s="579"/>
      <c r="WYB45" s="579"/>
      <c r="WYC45" s="579"/>
      <c r="WYD45" s="579"/>
      <c r="WYE45" s="579"/>
      <c r="WYF45" s="579"/>
      <c r="WYG45" s="579"/>
      <c r="WYH45" s="579"/>
      <c r="WYI45" s="579"/>
      <c r="WYJ45" s="579"/>
      <c r="WYK45" s="579"/>
      <c r="WYL45" s="579"/>
      <c r="WYM45" s="579"/>
      <c r="WYN45" s="579"/>
      <c r="WYO45" s="579"/>
      <c r="WYP45" s="579"/>
      <c r="WYQ45" s="579"/>
      <c r="WYR45" s="579"/>
      <c r="WYS45" s="579"/>
      <c r="WYT45" s="579"/>
      <c r="WYU45" s="579"/>
      <c r="WYV45" s="579"/>
      <c r="WYW45" s="579"/>
      <c r="WYX45" s="579"/>
      <c r="WYY45" s="579"/>
      <c r="WYZ45" s="579"/>
      <c r="WZA45" s="579"/>
      <c r="WZB45" s="579"/>
      <c r="WZC45" s="579"/>
      <c r="WZD45" s="579"/>
      <c r="WZE45" s="579"/>
      <c r="WZF45" s="579"/>
      <c r="WZG45" s="579"/>
      <c r="WZH45" s="579"/>
      <c r="WZI45" s="579"/>
      <c r="WZJ45" s="579"/>
      <c r="WZK45" s="579"/>
      <c r="WZL45" s="579"/>
      <c r="WZM45" s="579"/>
      <c r="WZN45" s="579"/>
      <c r="WZO45" s="579"/>
      <c r="WZP45" s="579"/>
      <c r="WZQ45" s="579"/>
      <c r="WZR45" s="579"/>
      <c r="WZS45" s="579"/>
      <c r="WZT45" s="579"/>
      <c r="WZU45" s="579"/>
      <c r="WZV45" s="579"/>
      <c r="WZW45" s="579"/>
      <c r="WZX45" s="579"/>
      <c r="WZY45" s="579"/>
      <c r="WZZ45" s="579"/>
      <c r="XAA45" s="579"/>
      <c r="XAB45" s="579"/>
      <c r="XAC45" s="579"/>
      <c r="XAD45" s="579"/>
      <c r="XAE45" s="579"/>
      <c r="XAF45" s="579"/>
      <c r="XAG45" s="579"/>
      <c r="XAH45" s="579"/>
      <c r="XAI45" s="579"/>
      <c r="XAJ45" s="579"/>
      <c r="XAK45" s="579"/>
      <c r="XAL45" s="579"/>
      <c r="XAM45" s="579"/>
      <c r="XAN45" s="579"/>
      <c r="XAO45" s="579"/>
      <c r="XAP45" s="579"/>
      <c r="XAQ45" s="579"/>
      <c r="XAR45" s="579"/>
      <c r="XAS45" s="579"/>
      <c r="XAT45" s="579"/>
      <c r="XAU45" s="579"/>
      <c r="XAV45" s="579"/>
      <c r="XAW45" s="579"/>
      <c r="XAX45" s="579"/>
      <c r="XAY45" s="579"/>
      <c r="XAZ45" s="579"/>
      <c r="XBA45" s="579"/>
      <c r="XBB45" s="579"/>
      <c r="XBC45" s="579"/>
      <c r="XBD45" s="579"/>
      <c r="XBE45" s="579"/>
      <c r="XBF45" s="579"/>
      <c r="XBG45" s="579"/>
      <c r="XBH45" s="579"/>
      <c r="XBI45" s="579"/>
      <c r="XBJ45" s="579"/>
      <c r="XBK45" s="579"/>
      <c r="XBL45" s="579"/>
      <c r="XBM45" s="579"/>
      <c r="XBN45" s="579"/>
      <c r="XBO45" s="579"/>
      <c r="XBP45" s="579"/>
      <c r="XBQ45" s="579"/>
      <c r="XBR45" s="579"/>
      <c r="XBS45" s="579"/>
      <c r="XBT45" s="579"/>
      <c r="XBU45" s="579"/>
      <c r="XBV45" s="579"/>
      <c r="XBW45" s="579"/>
      <c r="XBX45" s="579"/>
      <c r="XBY45" s="579"/>
      <c r="XBZ45" s="579"/>
      <c r="XCA45" s="579"/>
      <c r="XCB45" s="579"/>
      <c r="XCC45" s="579"/>
      <c r="XCD45" s="579"/>
      <c r="XCE45" s="579"/>
      <c r="XCF45" s="579"/>
      <c r="XCG45" s="579"/>
      <c r="XCH45" s="579"/>
      <c r="XCI45" s="579"/>
      <c r="XCJ45" s="579"/>
      <c r="XCK45" s="579"/>
      <c r="XCL45" s="579"/>
      <c r="XCM45" s="579"/>
      <c r="XCN45" s="579"/>
      <c r="XCO45" s="579"/>
      <c r="XCP45" s="579"/>
      <c r="XCQ45" s="579"/>
      <c r="XCR45" s="579"/>
      <c r="XCS45" s="579"/>
      <c r="XCT45" s="579"/>
      <c r="XCU45" s="579"/>
      <c r="XCV45" s="579"/>
      <c r="XCW45" s="579"/>
      <c r="XCX45" s="579"/>
      <c r="XCY45" s="579"/>
      <c r="XCZ45" s="579"/>
      <c r="XDA45" s="579"/>
      <c r="XDB45" s="579"/>
      <c r="XDC45" s="579"/>
      <c r="XDD45" s="579"/>
      <c r="XDE45" s="579"/>
      <c r="XDF45" s="579"/>
      <c r="XDG45" s="579"/>
      <c r="XDH45" s="579"/>
      <c r="XDI45" s="579"/>
      <c r="XDJ45" s="579"/>
      <c r="XDK45" s="579"/>
      <c r="XDL45" s="579"/>
      <c r="XDM45" s="579"/>
      <c r="XDN45" s="579"/>
      <c r="XDO45" s="579"/>
      <c r="XDP45" s="579"/>
      <c r="XDQ45" s="579"/>
      <c r="XDR45" s="579"/>
      <c r="XDS45" s="579"/>
      <c r="XDT45" s="579"/>
      <c r="XDU45" s="579"/>
      <c r="XDV45" s="579"/>
      <c r="XDW45" s="579"/>
      <c r="XDX45" s="579"/>
      <c r="XDY45" s="579"/>
      <c r="XDZ45" s="579"/>
      <c r="XEA45" s="579"/>
      <c r="XEB45" s="579"/>
      <c r="XEC45" s="579"/>
      <c r="XED45" s="579"/>
      <c r="XEE45" s="579"/>
      <c r="XEF45" s="579"/>
      <c r="XEG45" s="579"/>
      <c r="XEH45" s="579"/>
      <c r="XEI45" s="579"/>
      <c r="XEJ45" s="579"/>
      <c r="XEK45" s="579"/>
      <c r="XEL45" s="579"/>
      <c r="XEM45" s="579"/>
      <c r="XEN45" s="579"/>
      <c r="XEO45" s="579"/>
      <c r="XEP45" s="579"/>
      <c r="XEQ45" s="579"/>
      <c r="XER45" s="579"/>
      <c r="XES45" s="579"/>
      <c r="XET45" s="579"/>
      <c r="XEU45" s="579"/>
      <c r="XEV45" s="579"/>
      <c r="XEW45" s="579"/>
      <c r="XEX45" s="579"/>
      <c r="XEY45" s="579"/>
      <c r="XEZ45" s="579"/>
      <c r="XFA45" s="579"/>
      <c r="XFB45" s="579"/>
      <c r="XFC45" s="579"/>
      <c r="XFD45" s="579"/>
    </row>
    <row r="90" spans="1:13" s="579" customFormat="1">
      <c r="A90" s="573"/>
      <c r="B90" s="578" t="s">
        <v>265</v>
      </c>
    </row>
    <row r="92" spans="1:13" ht="14.45">
      <c r="C92"/>
      <c r="D92" s="44" t="s">
        <v>266</v>
      </c>
      <c r="E92" s="44" t="s">
        <v>267</v>
      </c>
      <c r="F92" s="44" t="s">
        <v>268</v>
      </c>
      <c r="G92" s="44" t="s">
        <v>269</v>
      </c>
      <c r="H92" s="44" t="s">
        <v>270</v>
      </c>
      <c r="I92" s="44" t="s">
        <v>271</v>
      </c>
      <c r="J92" s="44" t="s">
        <v>272</v>
      </c>
      <c r="K92" s="44" t="s">
        <v>273</v>
      </c>
      <c r="L92" s="44" t="s">
        <v>274</v>
      </c>
      <c r="M92"/>
    </row>
    <row r="93" spans="1:13" ht="14.45">
      <c r="C93" t="s">
        <v>275</v>
      </c>
      <c r="D93" s="44">
        <v>44114</v>
      </c>
      <c r="E93" s="44">
        <v>44113</v>
      </c>
      <c r="F93" s="44">
        <v>44114</v>
      </c>
      <c r="G93" s="44">
        <v>44114</v>
      </c>
      <c r="H93" s="44">
        <v>44115</v>
      </c>
      <c r="I93" s="44">
        <v>44106</v>
      </c>
      <c r="J93" s="44">
        <v>44106</v>
      </c>
      <c r="K93" s="44">
        <v>44106</v>
      </c>
      <c r="L93" s="44">
        <v>44106</v>
      </c>
      <c r="M93"/>
    </row>
    <row r="94" spans="1:13" ht="14.45">
      <c r="B94"/>
      <c r="C94" t="s">
        <v>276</v>
      </c>
      <c r="D94" s="44" t="s">
        <v>277</v>
      </c>
      <c r="E94" s="44" t="s">
        <v>277</v>
      </c>
      <c r="F94" s="44" t="s">
        <v>277</v>
      </c>
      <c r="G94" s="44" t="s">
        <v>277</v>
      </c>
      <c r="H94" s="44" t="s">
        <v>277</v>
      </c>
      <c r="I94" s="44" t="s">
        <v>278</v>
      </c>
      <c r="J94" s="44" t="s">
        <v>278</v>
      </c>
      <c r="K94" s="44" t="s">
        <v>278</v>
      </c>
      <c r="L94" s="44" t="s">
        <v>278</v>
      </c>
      <c r="M94"/>
    </row>
    <row r="95" spans="1:13" ht="14.45">
      <c r="B95"/>
      <c r="C95" t="s">
        <v>279</v>
      </c>
      <c r="D95" s="44" t="s">
        <v>280</v>
      </c>
      <c r="E95" s="44" t="s">
        <v>281</v>
      </c>
      <c r="F95" s="44" t="s">
        <v>280</v>
      </c>
      <c r="G95" s="44" t="s">
        <v>280</v>
      </c>
      <c r="H95" s="44" t="s">
        <v>280</v>
      </c>
      <c r="I95" s="44" t="s">
        <v>280</v>
      </c>
      <c r="J95" s="44" t="s">
        <v>280</v>
      </c>
      <c r="K95" s="44" t="s">
        <v>280</v>
      </c>
      <c r="L95" s="44" t="s">
        <v>280</v>
      </c>
      <c r="M95"/>
    </row>
    <row r="96" spans="1:13" ht="14.45">
      <c r="B96"/>
      <c r="C96" t="s">
        <v>282</v>
      </c>
      <c r="D96" s="44" t="s">
        <v>283</v>
      </c>
      <c r="E96" s="44" t="s">
        <v>284</v>
      </c>
      <c r="F96" s="44" t="s">
        <v>283</v>
      </c>
      <c r="G96" s="44" t="s">
        <v>283</v>
      </c>
      <c r="H96" s="44" t="s">
        <v>283</v>
      </c>
      <c r="I96" s="44" t="s">
        <v>285</v>
      </c>
      <c r="J96" s="44" t="s">
        <v>283</v>
      </c>
      <c r="K96" s="44" t="s">
        <v>285</v>
      </c>
      <c r="L96" s="44" t="s">
        <v>285</v>
      </c>
      <c r="M96"/>
    </row>
    <row r="97" spans="2:13" ht="14.45">
      <c r="B97"/>
      <c r="C97" t="s">
        <v>286</v>
      </c>
      <c r="D97" s="45">
        <v>1</v>
      </c>
      <c r="E97" s="45">
        <v>1</v>
      </c>
      <c r="F97" s="45">
        <v>1</v>
      </c>
      <c r="G97" s="45">
        <v>2</v>
      </c>
      <c r="H97" s="45">
        <v>1</v>
      </c>
      <c r="I97" s="45">
        <v>1</v>
      </c>
      <c r="J97" s="45">
        <v>1</v>
      </c>
      <c r="K97" s="45">
        <v>1</v>
      </c>
      <c r="L97" s="45">
        <v>3</v>
      </c>
      <c r="M97" s="37"/>
    </row>
    <row r="98" spans="2:13" ht="14.45">
      <c r="B98"/>
      <c r="C98" t="s">
        <v>287</v>
      </c>
      <c r="D98" s="45">
        <v>16</v>
      </c>
      <c r="E98" s="45">
        <v>22</v>
      </c>
      <c r="F98" s="45">
        <v>15</v>
      </c>
      <c r="G98" s="45">
        <v>23</v>
      </c>
      <c r="H98" s="45">
        <v>34</v>
      </c>
      <c r="I98" s="45">
        <v>6</v>
      </c>
      <c r="J98" s="45">
        <v>20</v>
      </c>
      <c r="K98" s="45">
        <v>7</v>
      </c>
      <c r="L98" s="45">
        <v>4</v>
      </c>
      <c r="M98" s="37"/>
    </row>
    <row r="99" spans="2:13" ht="14.45">
      <c r="B99"/>
      <c r="C99" t="s">
        <v>288</v>
      </c>
      <c r="D99" s="45">
        <v>627494</v>
      </c>
      <c r="E99" s="45">
        <v>413051</v>
      </c>
      <c r="F99" s="45">
        <v>322593</v>
      </c>
      <c r="G99" s="45">
        <v>1267139</v>
      </c>
      <c r="H99" s="45">
        <v>602000</v>
      </c>
      <c r="I99" s="45">
        <v>268782</v>
      </c>
      <c r="J99" s="45">
        <v>428000</v>
      </c>
      <c r="K99" s="45">
        <v>144000</v>
      </c>
      <c r="L99" s="45">
        <v>313944</v>
      </c>
      <c r="M99" s="37"/>
    </row>
    <row r="100" spans="2:13" ht="14.45">
      <c r="B100"/>
      <c r="C100" t="s">
        <v>289</v>
      </c>
      <c r="D100" s="45">
        <v>22938</v>
      </c>
      <c r="E100" s="45">
        <v>16667</v>
      </c>
      <c r="F100" s="45">
        <v>17750</v>
      </c>
      <c r="G100" s="45">
        <v>48482</v>
      </c>
      <c r="H100" s="45">
        <v>17706</v>
      </c>
      <c r="I100" s="45">
        <v>44797</v>
      </c>
      <c r="J100" s="45">
        <v>21400</v>
      </c>
      <c r="K100" s="45">
        <v>24000</v>
      </c>
      <c r="L100" s="45">
        <v>67674</v>
      </c>
      <c r="M100" s="37"/>
    </row>
    <row r="101" spans="2:13" ht="14.45">
      <c r="B101"/>
      <c r="C101" t="s">
        <v>290</v>
      </c>
      <c r="D101" s="46">
        <v>1.08</v>
      </c>
      <c r="E101" s="46">
        <v>0.52</v>
      </c>
      <c r="F101" s="46"/>
      <c r="G101" s="46">
        <v>3.5</v>
      </c>
      <c r="H101" s="46">
        <v>1</v>
      </c>
      <c r="I101" s="46">
        <v>1.8</v>
      </c>
      <c r="J101" s="46">
        <v>2.27</v>
      </c>
      <c r="K101" s="46">
        <v>2.21</v>
      </c>
      <c r="L101" s="46"/>
      <c r="M101" s="37"/>
    </row>
    <row r="102" spans="2:13" ht="14.45">
      <c r="B102"/>
      <c r="C102" t="s">
        <v>291</v>
      </c>
      <c r="D102" s="45">
        <v>47045</v>
      </c>
      <c r="E102" s="45">
        <v>22651</v>
      </c>
      <c r="F102" s="45"/>
      <c r="G102" s="45">
        <v>152460</v>
      </c>
      <c r="H102" s="45">
        <v>43560</v>
      </c>
      <c r="I102" s="45">
        <v>78408</v>
      </c>
      <c r="J102" s="45">
        <v>98881</v>
      </c>
      <c r="K102" s="45">
        <v>96268</v>
      </c>
      <c r="L102" s="45"/>
      <c r="M102" s="37"/>
    </row>
    <row r="103" spans="2:13" ht="14.45">
      <c r="B103"/>
      <c r="C103" t="s">
        <v>292</v>
      </c>
      <c r="D103" s="46">
        <v>13.34</v>
      </c>
      <c r="E103" s="46">
        <v>18.239999999999998</v>
      </c>
      <c r="F103" s="46"/>
      <c r="G103" s="46">
        <v>8.31</v>
      </c>
      <c r="H103" s="46">
        <v>13.82</v>
      </c>
      <c r="I103" s="46">
        <v>3.43</v>
      </c>
      <c r="J103" s="46">
        <v>4.33</v>
      </c>
      <c r="K103" s="46">
        <v>1.5</v>
      </c>
      <c r="L103" s="46"/>
      <c r="M103" s="37"/>
    </row>
    <row r="104" spans="2:13" ht="14.45">
      <c r="B104"/>
      <c r="C104" t="s">
        <v>293</v>
      </c>
      <c r="D104" s="44"/>
      <c r="E104" s="45" t="s">
        <v>294</v>
      </c>
      <c r="F104" s="45"/>
      <c r="G104" s="45"/>
      <c r="H104" s="45"/>
      <c r="I104" s="45" t="s">
        <v>28</v>
      </c>
      <c r="J104" s="45"/>
      <c r="K104" s="45"/>
      <c r="L104" s="45"/>
      <c r="M104" s="37"/>
    </row>
    <row r="105" spans="2:13" ht="14.45">
      <c r="B105"/>
      <c r="C105" t="s">
        <v>295</v>
      </c>
      <c r="D105" s="47">
        <v>45017</v>
      </c>
      <c r="E105" s="47">
        <v>42005</v>
      </c>
      <c r="F105" s="47">
        <v>42583</v>
      </c>
      <c r="G105" s="44"/>
      <c r="H105" s="47">
        <v>43191</v>
      </c>
      <c r="I105" s="47">
        <v>41791</v>
      </c>
      <c r="J105" s="47">
        <v>42522</v>
      </c>
      <c r="K105" s="47">
        <v>42736</v>
      </c>
      <c r="L105" s="47">
        <v>41518</v>
      </c>
      <c r="M105" s="48"/>
    </row>
    <row r="106" spans="2:13" ht="14.45">
      <c r="B106"/>
      <c r="C106" t="s">
        <v>296</v>
      </c>
      <c r="D106" s="47">
        <v>45505</v>
      </c>
      <c r="E106" s="47">
        <v>43070</v>
      </c>
      <c r="F106" s="44">
        <v>2017</v>
      </c>
      <c r="G106" s="44">
        <v>1975</v>
      </c>
      <c r="H106" s="47">
        <v>44013</v>
      </c>
      <c r="I106" s="44">
        <v>2015</v>
      </c>
      <c r="J106" s="44">
        <v>2018</v>
      </c>
      <c r="K106" s="45">
        <v>2018</v>
      </c>
      <c r="L106" s="45">
        <v>2014</v>
      </c>
      <c r="M106" s="37"/>
    </row>
    <row r="107" spans="2:13" ht="14.45">
      <c r="B107"/>
      <c r="C107" t="s">
        <v>297</v>
      </c>
      <c r="D107" s="49">
        <f>DATEDIF(D105,D106,"M")</f>
        <v>16</v>
      </c>
      <c r="E107" s="49">
        <f>DATEDIF(E105,E106,"M")</f>
        <v>35</v>
      </c>
      <c r="F107" s="49"/>
      <c r="G107" s="44"/>
      <c r="H107" s="49">
        <f>DATEDIF(H105,H106,"M")</f>
        <v>27</v>
      </c>
      <c r="I107" s="49"/>
      <c r="J107" s="44"/>
      <c r="K107" s="44"/>
      <c r="L107" s="44"/>
      <c r="M107"/>
    </row>
    <row r="108" spans="2:13" ht="14.45">
      <c r="B108"/>
      <c r="C108" t="s">
        <v>298</v>
      </c>
      <c r="D108" s="44"/>
      <c r="E108" s="44"/>
      <c r="F108" s="44"/>
      <c r="G108" s="44">
        <v>1992</v>
      </c>
      <c r="H108" s="44"/>
      <c r="I108" s="44"/>
      <c r="J108" s="44"/>
      <c r="K108" s="44"/>
      <c r="L108" s="44"/>
      <c r="M108"/>
    </row>
    <row r="109" spans="2:13" ht="14.45">
      <c r="B109"/>
      <c r="C109" t="s">
        <v>299</v>
      </c>
      <c r="D109" s="44" t="s">
        <v>300</v>
      </c>
      <c r="E109" s="44" t="s">
        <v>300</v>
      </c>
      <c r="F109" s="44" t="s">
        <v>300</v>
      </c>
      <c r="G109" s="44" t="s">
        <v>300</v>
      </c>
      <c r="H109" s="44" t="s">
        <v>300</v>
      </c>
      <c r="I109" s="44" t="s">
        <v>300</v>
      </c>
      <c r="J109" s="44" t="s">
        <v>300</v>
      </c>
      <c r="K109" s="44" t="s">
        <v>300</v>
      </c>
      <c r="L109" s="44" t="s">
        <v>301</v>
      </c>
      <c r="M109"/>
    </row>
    <row r="110" spans="2:13" ht="14.45">
      <c r="B110"/>
      <c r="C110" t="s">
        <v>302</v>
      </c>
      <c r="D110" s="44"/>
      <c r="E110" s="44"/>
      <c r="F110" s="44"/>
      <c r="G110" s="44"/>
      <c r="H110" s="44"/>
      <c r="I110" s="44"/>
      <c r="J110" s="44"/>
      <c r="K110" s="44"/>
      <c r="L110" s="44">
        <v>23</v>
      </c>
      <c r="M110"/>
    </row>
    <row r="111" spans="2:13" ht="14.45">
      <c r="B111"/>
      <c r="C111" t="s">
        <v>303</v>
      </c>
      <c r="D111" s="44"/>
      <c r="E111" s="44"/>
      <c r="F111" s="44"/>
      <c r="G111" s="44"/>
      <c r="H111" s="44"/>
      <c r="I111" s="44"/>
      <c r="J111" s="44"/>
      <c r="K111" s="44"/>
      <c r="L111" s="44" t="s">
        <v>304</v>
      </c>
      <c r="M111"/>
    </row>
    <row r="112" spans="2:13" ht="14.45">
      <c r="B112"/>
      <c r="C112" t="s">
        <v>305</v>
      </c>
      <c r="D112" s="44" t="s">
        <v>306</v>
      </c>
      <c r="E112" s="44" t="s">
        <v>306</v>
      </c>
      <c r="F112" s="44" t="s">
        <v>306</v>
      </c>
      <c r="G112" s="44" t="s">
        <v>306</v>
      </c>
      <c r="H112" s="44" t="s">
        <v>306</v>
      </c>
      <c r="I112" s="44" t="s">
        <v>306</v>
      </c>
      <c r="J112" s="44" t="s">
        <v>306</v>
      </c>
      <c r="K112" s="44" t="s">
        <v>306</v>
      </c>
      <c r="L112" s="44" t="s">
        <v>306</v>
      </c>
      <c r="M112"/>
    </row>
    <row r="113" spans="2:13" ht="14.45">
      <c r="B113"/>
      <c r="C113" t="s">
        <v>307</v>
      </c>
      <c r="D113" s="50">
        <v>0.65600000000000003</v>
      </c>
      <c r="E113" s="51">
        <v>0.11</v>
      </c>
      <c r="F113" s="51">
        <v>0.08</v>
      </c>
      <c r="G113" s="50">
        <v>0.17799999999999999</v>
      </c>
      <c r="H113" s="50">
        <v>0.20399999999999999</v>
      </c>
      <c r="I113" s="50">
        <v>0.20599999999999999</v>
      </c>
      <c r="J113" s="50">
        <v>6.8000000000000005E-2</v>
      </c>
      <c r="K113" s="50">
        <v>3.7999999999999999E-2</v>
      </c>
      <c r="L113" s="51">
        <v>7.0000000000000007E-2</v>
      </c>
      <c r="M113"/>
    </row>
    <row r="114" spans="2:13" ht="14.45">
      <c r="B114"/>
      <c r="C114"/>
      <c r="D114" s="44"/>
      <c r="E114" s="44"/>
      <c r="F114" s="44"/>
      <c r="G114" s="44"/>
      <c r="H114" s="44"/>
      <c r="I114" s="44"/>
      <c r="J114" s="44"/>
      <c r="K114" s="44"/>
      <c r="L114" s="44"/>
      <c r="M114"/>
    </row>
    <row r="115" spans="2:13" ht="14.45">
      <c r="B115"/>
      <c r="C115" t="s">
        <v>308</v>
      </c>
      <c r="D115" s="52"/>
      <c r="E115" s="44"/>
      <c r="F115" s="44"/>
      <c r="G115" s="44"/>
      <c r="H115" s="44"/>
      <c r="I115" s="44"/>
      <c r="J115" s="44"/>
      <c r="K115" s="44"/>
      <c r="L115" s="44"/>
      <c r="M115"/>
    </row>
    <row r="116" spans="2:13" ht="14.45">
      <c r="B116"/>
      <c r="C116" t="s">
        <v>41</v>
      </c>
      <c r="D116" s="45">
        <v>0</v>
      </c>
      <c r="E116" s="45">
        <v>0</v>
      </c>
      <c r="F116" s="45">
        <v>24</v>
      </c>
      <c r="G116" s="45">
        <v>34</v>
      </c>
      <c r="H116" s="45">
        <v>0</v>
      </c>
      <c r="I116" s="45">
        <v>70</v>
      </c>
      <c r="J116" s="45">
        <v>21</v>
      </c>
      <c r="K116" s="45">
        <v>41</v>
      </c>
      <c r="L116" s="45">
        <v>15</v>
      </c>
      <c r="M116" s="37"/>
    </row>
    <row r="117" spans="2:13" ht="14.45">
      <c r="B117"/>
      <c r="C117" t="s">
        <v>309</v>
      </c>
      <c r="D117" s="45">
        <v>328</v>
      </c>
      <c r="E117" s="45">
        <v>198</v>
      </c>
      <c r="F117" s="45">
        <v>119</v>
      </c>
      <c r="G117" s="45">
        <v>652</v>
      </c>
      <c r="H117" s="45">
        <v>222</v>
      </c>
      <c r="I117" s="45">
        <v>166</v>
      </c>
      <c r="J117" s="45">
        <v>141</v>
      </c>
      <c r="K117" s="45">
        <v>178</v>
      </c>
      <c r="L117" s="45">
        <v>124</v>
      </c>
      <c r="M117" s="37"/>
    </row>
    <row r="118" spans="2:13" ht="14.45">
      <c r="B118"/>
      <c r="C118" t="s">
        <v>310</v>
      </c>
      <c r="D118" s="45">
        <v>39</v>
      </c>
      <c r="E118" s="45">
        <v>83</v>
      </c>
      <c r="F118" s="45">
        <v>81</v>
      </c>
      <c r="G118" s="45">
        <v>257</v>
      </c>
      <c r="H118" s="45">
        <v>88</v>
      </c>
      <c r="I118" s="45">
        <v>11</v>
      </c>
      <c r="J118" s="45">
        <v>94</v>
      </c>
      <c r="K118" s="45">
        <v>53</v>
      </c>
      <c r="L118" s="45">
        <v>17</v>
      </c>
      <c r="M118" s="37"/>
    </row>
    <row r="119" spans="2:13" ht="14.45">
      <c r="B119"/>
      <c r="C119" t="s">
        <v>311</v>
      </c>
      <c r="D119" s="45">
        <v>0</v>
      </c>
      <c r="E119" s="45">
        <v>0</v>
      </c>
      <c r="F119" s="45">
        <v>0</v>
      </c>
      <c r="G119" s="45">
        <v>28</v>
      </c>
      <c r="H119" s="45">
        <v>8</v>
      </c>
      <c r="I119" s="45">
        <v>0</v>
      </c>
      <c r="J119" s="45">
        <v>19</v>
      </c>
      <c r="K119" s="45">
        <v>0</v>
      </c>
      <c r="L119" s="45">
        <v>1</v>
      </c>
      <c r="M119" s="37"/>
    </row>
    <row r="120" spans="2:13" ht="14.45">
      <c r="B120"/>
      <c r="C120" t="s">
        <v>312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1</v>
      </c>
      <c r="K120" s="45">
        <v>0</v>
      </c>
      <c r="L120" s="45">
        <v>0</v>
      </c>
      <c r="M120" s="37"/>
    </row>
    <row r="121" spans="2:13" ht="14.45">
      <c r="B121"/>
      <c r="C121" t="s">
        <v>12</v>
      </c>
      <c r="D121" s="45">
        <f t="shared" ref="D121:L121" si="0">SUM(D116:D120)</f>
        <v>367</v>
      </c>
      <c r="E121" s="45">
        <f t="shared" si="0"/>
        <v>281</v>
      </c>
      <c r="F121" s="45">
        <f t="shared" si="0"/>
        <v>224</v>
      </c>
      <c r="G121" s="45">
        <f t="shared" si="0"/>
        <v>971</v>
      </c>
      <c r="H121" s="45">
        <f t="shared" si="0"/>
        <v>318</v>
      </c>
      <c r="I121" s="45">
        <f t="shared" si="0"/>
        <v>247</v>
      </c>
      <c r="J121" s="45">
        <f t="shared" si="0"/>
        <v>276</v>
      </c>
      <c r="K121" s="45">
        <f t="shared" si="0"/>
        <v>272</v>
      </c>
      <c r="L121" s="45">
        <f t="shared" si="0"/>
        <v>157</v>
      </c>
      <c r="M121" s="37"/>
    </row>
    <row r="122" spans="2:13" ht="14.45">
      <c r="B122"/>
      <c r="C122" t="s">
        <v>313</v>
      </c>
      <c r="D122" s="45"/>
      <c r="E122" s="45"/>
      <c r="F122" s="45"/>
      <c r="G122" s="45"/>
      <c r="H122" s="45"/>
      <c r="I122" s="45"/>
      <c r="J122" s="45"/>
      <c r="K122" s="45"/>
      <c r="L122" s="45"/>
      <c r="M122" s="37"/>
    </row>
    <row r="123" spans="2:13" ht="14.45">
      <c r="B123"/>
      <c r="C123" t="s">
        <v>41</v>
      </c>
      <c r="D123" s="53">
        <f t="shared" ref="D123:L123" si="1">D116/D$121</f>
        <v>0</v>
      </c>
      <c r="E123" s="53">
        <f t="shared" si="1"/>
        <v>0</v>
      </c>
      <c r="F123" s="53">
        <f t="shared" si="1"/>
        <v>0.10714285714285714</v>
      </c>
      <c r="G123" s="53">
        <f t="shared" si="1"/>
        <v>3.5015447991761074E-2</v>
      </c>
      <c r="H123" s="53">
        <f t="shared" si="1"/>
        <v>0</v>
      </c>
      <c r="I123" s="53">
        <f t="shared" si="1"/>
        <v>0.2834008097165992</v>
      </c>
      <c r="J123" s="53">
        <f t="shared" si="1"/>
        <v>7.6086956521739135E-2</v>
      </c>
      <c r="K123" s="53">
        <f t="shared" si="1"/>
        <v>0.15073529411764705</v>
      </c>
      <c r="L123" s="53">
        <f t="shared" si="1"/>
        <v>9.5541401273885357E-2</v>
      </c>
      <c r="M123" s="37"/>
    </row>
    <row r="124" spans="2:13" ht="14.45">
      <c r="B124"/>
      <c r="C124" t="s">
        <v>309</v>
      </c>
      <c r="D124" s="53">
        <f t="shared" ref="D124:L124" si="2">D117/D$121</f>
        <v>0.89373297002724794</v>
      </c>
      <c r="E124" s="53">
        <f t="shared" si="2"/>
        <v>0.70462633451957291</v>
      </c>
      <c r="F124" s="53">
        <f t="shared" si="2"/>
        <v>0.53125</v>
      </c>
      <c r="G124" s="53">
        <f t="shared" si="2"/>
        <v>0.67147270854788876</v>
      </c>
      <c r="H124" s="53">
        <f t="shared" si="2"/>
        <v>0.69811320754716977</v>
      </c>
      <c r="I124" s="53">
        <f t="shared" si="2"/>
        <v>0.67206477732793524</v>
      </c>
      <c r="J124" s="53">
        <f t="shared" si="2"/>
        <v>0.51086956521739135</v>
      </c>
      <c r="K124" s="53">
        <f t="shared" si="2"/>
        <v>0.65441176470588236</v>
      </c>
      <c r="L124" s="53">
        <f t="shared" si="2"/>
        <v>0.78980891719745228</v>
      </c>
      <c r="M124" s="37"/>
    </row>
    <row r="125" spans="2:13" ht="14.45">
      <c r="B125"/>
      <c r="C125" t="s">
        <v>310</v>
      </c>
      <c r="D125" s="53">
        <f t="shared" ref="D125:L125" si="3">D118/D$121</f>
        <v>0.10626702997275204</v>
      </c>
      <c r="E125" s="53">
        <f t="shared" si="3"/>
        <v>0.29537366548042704</v>
      </c>
      <c r="F125" s="53">
        <f t="shared" si="3"/>
        <v>0.36160714285714285</v>
      </c>
      <c r="G125" s="53">
        <f t="shared" si="3"/>
        <v>0.2646755921730175</v>
      </c>
      <c r="H125" s="53">
        <f t="shared" si="3"/>
        <v>0.27672955974842767</v>
      </c>
      <c r="I125" s="53">
        <f t="shared" si="3"/>
        <v>4.4534412955465584E-2</v>
      </c>
      <c r="J125" s="53">
        <f t="shared" si="3"/>
        <v>0.34057971014492755</v>
      </c>
      <c r="K125" s="53">
        <f t="shared" si="3"/>
        <v>0.19485294117647059</v>
      </c>
      <c r="L125" s="53">
        <f t="shared" si="3"/>
        <v>0.10828025477707007</v>
      </c>
      <c r="M125" s="37"/>
    </row>
    <row r="126" spans="2:13" ht="14.45">
      <c r="B126"/>
      <c r="C126" t="s">
        <v>311</v>
      </c>
      <c r="D126" s="53">
        <f t="shared" ref="D126:L126" si="4">D119/D$121</f>
        <v>0</v>
      </c>
      <c r="E126" s="53">
        <f t="shared" si="4"/>
        <v>0</v>
      </c>
      <c r="F126" s="53">
        <f t="shared" si="4"/>
        <v>0</v>
      </c>
      <c r="G126" s="53">
        <f t="shared" si="4"/>
        <v>2.8836251287332648E-2</v>
      </c>
      <c r="H126" s="53">
        <f t="shared" si="4"/>
        <v>2.5157232704402517E-2</v>
      </c>
      <c r="I126" s="53">
        <f t="shared" si="4"/>
        <v>0</v>
      </c>
      <c r="J126" s="53">
        <f t="shared" si="4"/>
        <v>6.8840579710144928E-2</v>
      </c>
      <c r="K126" s="53">
        <f t="shared" si="4"/>
        <v>0</v>
      </c>
      <c r="L126" s="53">
        <f t="shared" si="4"/>
        <v>6.369426751592357E-3</v>
      </c>
      <c r="M126" s="37"/>
    </row>
    <row r="127" spans="2:13" ht="14.45">
      <c r="B127"/>
      <c r="C127" t="s">
        <v>312</v>
      </c>
      <c r="D127" s="53">
        <f t="shared" ref="D127:L127" si="5">D120/D$121</f>
        <v>0</v>
      </c>
      <c r="E127" s="53">
        <f t="shared" si="5"/>
        <v>0</v>
      </c>
      <c r="F127" s="53">
        <f t="shared" si="5"/>
        <v>0</v>
      </c>
      <c r="G127" s="53">
        <f t="shared" si="5"/>
        <v>0</v>
      </c>
      <c r="H127" s="53">
        <f t="shared" si="5"/>
        <v>0</v>
      </c>
      <c r="I127" s="53">
        <f t="shared" si="5"/>
        <v>0</v>
      </c>
      <c r="J127" s="53">
        <f t="shared" si="5"/>
        <v>3.6231884057971015E-3</v>
      </c>
      <c r="K127" s="53">
        <f t="shared" si="5"/>
        <v>0</v>
      </c>
      <c r="L127" s="53">
        <f t="shared" si="5"/>
        <v>0</v>
      </c>
      <c r="M127" s="37"/>
    </row>
    <row r="128" spans="2:13" ht="14.45">
      <c r="B128"/>
      <c r="C128" t="s">
        <v>12</v>
      </c>
      <c r="D128" s="45">
        <f t="shared" ref="D128:L128" si="6">SUM(D123:D127)</f>
        <v>1</v>
      </c>
      <c r="E128" s="45">
        <f t="shared" si="6"/>
        <v>1</v>
      </c>
      <c r="F128" s="45">
        <f t="shared" si="6"/>
        <v>1</v>
      </c>
      <c r="G128" s="45">
        <f t="shared" si="6"/>
        <v>1</v>
      </c>
      <c r="H128" s="45">
        <f t="shared" si="6"/>
        <v>1</v>
      </c>
      <c r="I128" s="45">
        <f t="shared" si="6"/>
        <v>1</v>
      </c>
      <c r="J128" s="45">
        <f t="shared" si="6"/>
        <v>1</v>
      </c>
      <c r="K128" s="45">
        <f t="shared" si="6"/>
        <v>1</v>
      </c>
      <c r="L128" s="45">
        <f t="shared" si="6"/>
        <v>1</v>
      </c>
      <c r="M128" s="37"/>
    </row>
    <row r="129" spans="2:13" ht="14.45">
      <c r="B129"/>
      <c r="C129" t="s">
        <v>314</v>
      </c>
      <c r="D129" s="45"/>
      <c r="E129" s="45"/>
      <c r="F129" s="45"/>
      <c r="G129" s="45"/>
      <c r="H129" s="45"/>
      <c r="I129" s="45"/>
      <c r="J129" s="45"/>
      <c r="K129" s="45"/>
      <c r="L129" s="45"/>
      <c r="M129" s="37"/>
    </row>
    <row r="130" spans="2:13" ht="14.45">
      <c r="B130"/>
      <c r="C130" t="s">
        <v>41</v>
      </c>
      <c r="D130" s="45">
        <v>0</v>
      </c>
      <c r="E130" s="45">
        <v>0</v>
      </c>
      <c r="F130" s="45">
        <v>466</v>
      </c>
      <c r="G130" s="45">
        <v>561</v>
      </c>
      <c r="H130" s="45">
        <v>0</v>
      </c>
      <c r="I130" s="45">
        <v>519</v>
      </c>
      <c r="J130" s="45">
        <v>524</v>
      </c>
      <c r="K130" s="45">
        <v>468</v>
      </c>
      <c r="L130" s="45">
        <v>486</v>
      </c>
      <c r="M130" s="37">
        <f t="shared" ref="M130:M135" si="7">AVERAGEIF(D130:L130,"&gt;0",D130:L130)</f>
        <v>504</v>
      </c>
    </row>
    <row r="131" spans="2:13" ht="14.45">
      <c r="B131"/>
      <c r="C131" t="s">
        <v>309</v>
      </c>
      <c r="D131" s="45">
        <v>681</v>
      </c>
      <c r="E131" s="45">
        <v>750</v>
      </c>
      <c r="F131" s="45">
        <v>774</v>
      </c>
      <c r="G131" s="45">
        <v>872</v>
      </c>
      <c r="H131" s="45">
        <v>749</v>
      </c>
      <c r="I131" s="45">
        <v>790</v>
      </c>
      <c r="J131" s="45">
        <v>859</v>
      </c>
      <c r="K131" s="45">
        <v>718</v>
      </c>
      <c r="L131" s="45">
        <v>726</v>
      </c>
      <c r="M131" s="37">
        <f t="shared" si="7"/>
        <v>768.77777777777783</v>
      </c>
    </row>
    <row r="132" spans="2:13" ht="14.45">
      <c r="B132"/>
      <c r="C132" t="s">
        <v>310</v>
      </c>
      <c r="D132" s="45">
        <v>1219</v>
      </c>
      <c r="E132" s="45">
        <v>1175</v>
      </c>
      <c r="F132" s="45">
        <v>1073</v>
      </c>
      <c r="G132" s="45">
        <v>1229</v>
      </c>
      <c r="H132" s="45">
        <v>1195</v>
      </c>
      <c r="I132" s="45">
        <v>1120</v>
      </c>
      <c r="J132" s="45">
        <v>1400</v>
      </c>
      <c r="K132" s="45">
        <v>1012</v>
      </c>
      <c r="L132" s="45">
        <v>1213</v>
      </c>
      <c r="M132" s="37">
        <f t="shared" si="7"/>
        <v>1181.7777777777778</v>
      </c>
    </row>
    <row r="133" spans="2:13" ht="14.45">
      <c r="B133"/>
      <c r="C133" t="s">
        <v>311</v>
      </c>
      <c r="D133" s="45">
        <v>0</v>
      </c>
      <c r="E133" s="45">
        <v>0</v>
      </c>
      <c r="F133" s="45">
        <v>0</v>
      </c>
      <c r="G133" s="45">
        <v>1630</v>
      </c>
      <c r="H133" s="45">
        <v>1764</v>
      </c>
      <c r="I133" s="45">
        <v>0</v>
      </c>
      <c r="J133" s="45">
        <v>1989</v>
      </c>
      <c r="K133" s="45">
        <v>0</v>
      </c>
      <c r="L133" s="45">
        <v>2841</v>
      </c>
      <c r="M133" s="37">
        <f t="shared" si="7"/>
        <v>2056</v>
      </c>
    </row>
    <row r="134" spans="2:13" ht="14.45">
      <c r="B134"/>
      <c r="C134" t="s">
        <v>312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4805</v>
      </c>
      <c r="K134" s="45">
        <v>0</v>
      </c>
      <c r="L134" s="45">
        <v>0</v>
      </c>
      <c r="M134" s="37">
        <f t="shared" si="7"/>
        <v>4805</v>
      </c>
    </row>
    <row r="135" spans="2:13" ht="14.45">
      <c r="B135"/>
      <c r="C135" t="s">
        <v>315</v>
      </c>
      <c r="D135" s="45">
        <f t="shared" ref="D135:L135" si="8">SUMPRODUCT(D116:D120,D130:D134)/D121</f>
        <v>738.17166212534062</v>
      </c>
      <c r="E135" s="45">
        <f t="shared" si="8"/>
        <v>875.53380782918146</v>
      </c>
      <c r="F135" s="45">
        <f t="shared" si="8"/>
        <v>849.12053571428567</v>
      </c>
      <c r="G135" s="45">
        <f t="shared" si="8"/>
        <v>977.45726055612772</v>
      </c>
      <c r="H135" s="45">
        <f t="shared" si="8"/>
        <v>897.95597484276732</v>
      </c>
      <c r="I135" s="45">
        <f t="shared" si="8"/>
        <v>727.89473684210532</v>
      </c>
      <c r="J135" s="45">
        <f t="shared" si="8"/>
        <v>1109.8514492753623</v>
      </c>
      <c r="K135" s="45">
        <f t="shared" si="8"/>
        <v>737.60294117647061</v>
      </c>
      <c r="L135" s="45">
        <f t="shared" si="8"/>
        <v>769.27388535031844</v>
      </c>
      <c r="M135" s="37">
        <f t="shared" si="7"/>
        <v>853.65136152355103</v>
      </c>
    </row>
    <row r="136" spans="2:13" ht="14.45">
      <c r="B136"/>
      <c r="C136" t="s">
        <v>316</v>
      </c>
      <c r="D136" s="45"/>
      <c r="E136" s="45"/>
      <c r="F136" s="45"/>
      <c r="G136" s="45"/>
      <c r="H136" s="45"/>
      <c r="I136" s="45"/>
      <c r="J136" s="45"/>
      <c r="K136" s="45"/>
      <c r="L136" s="45"/>
      <c r="M136" s="37"/>
    </row>
    <row r="137" spans="2:13" ht="14.45">
      <c r="B137"/>
      <c r="C137" t="s">
        <v>41</v>
      </c>
      <c r="D137" s="52">
        <v>0</v>
      </c>
      <c r="E137" s="52">
        <v>0</v>
      </c>
      <c r="F137" s="52">
        <v>915</v>
      </c>
      <c r="G137" s="52">
        <v>993</v>
      </c>
      <c r="H137" s="52">
        <v>0</v>
      </c>
      <c r="I137" s="52">
        <v>1428</v>
      </c>
      <c r="J137" s="52">
        <v>2214</v>
      </c>
      <c r="K137" s="52">
        <v>1698</v>
      </c>
      <c r="L137" s="52">
        <v>1379</v>
      </c>
      <c r="M137" s="37">
        <f t="shared" ref="M137:M142" si="9">AVERAGEIF(D137:L137,"&gt;0",D137:L137)</f>
        <v>1437.8333333333333</v>
      </c>
    </row>
    <row r="138" spans="2:13" ht="14.45">
      <c r="B138"/>
      <c r="C138" t="s">
        <v>309</v>
      </c>
      <c r="D138" s="54">
        <v>1460</v>
      </c>
      <c r="E138" s="54">
        <v>1595</v>
      </c>
      <c r="F138" s="54">
        <v>1425</v>
      </c>
      <c r="G138" s="54">
        <v>1112</v>
      </c>
      <c r="H138" s="54">
        <v>1956</v>
      </c>
      <c r="I138" s="54">
        <v>1720</v>
      </c>
      <c r="J138" s="54">
        <v>2544</v>
      </c>
      <c r="K138" s="54">
        <v>1832</v>
      </c>
      <c r="L138" s="54">
        <v>1590</v>
      </c>
      <c r="M138" s="37">
        <f t="shared" si="9"/>
        <v>1692.6666666666667</v>
      </c>
    </row>
    <row r="139" spans="2:13" ht="14.45">
      <c r="B139"/>
      <c r="C139" t="s">
        <v>310</v>
      </c>
      <c r="D139" s="54">
        <v>2127</v>
      </c>
      <c r="E139" s="54">
        <v>2115</v>
      </c>
      <c r="F139" s="54">
        <v>1932</v>
      </c>
      <c r="G139" s="54">
        <v>1645</v>
      </c>
      <c r="H139" s="54">
        <v>2822</v>
      </c>
      <c r="I139" s="54">
        <v>2543</v>
      </c>
      <c r="J139" s="54">
        <v>3847</v>
      </c>
      <c r="K139" s="54">
        <v>2462</v>
      </c>
      <c r="L139" s="54">
        <v>2546</v>
      </c>
      <c r="M139" s="37">
        <f t="shared" si="9"/>
        <v>2448.7777777777778</v>
      </c>
    </row>
    <row r="140" spans="2:13" ht="14.45">
      <c r="B140"/>
      <c r="C140" t="s">
        <v>311</v>
      </c>
      <c r="D140" s="54">
        <v>0</v>
      </c>
      <c r="E140" s="54">
        <v>0</v>
      </c>
      <c r="F140" s="54">
        <v>0</v>
      </c>
      <c r="G140" s="54">
        <v>2052</v>
      </c>
      <c r="H140" s="54">
        <v>8035</v>
      </c>
      <c r="I140" s="54">
        <v>0</v>
      </c>
      <c r="J140" s="54">
        <v>5956</v>
      </c>
      <c r="K140" s="54">
        <v>0</v>
      </c>
      <c r="L140" s="54">
        <v>3706</v>
      </c>
      <c r="M140" s="37">
        <f t="shared" si="9"/>
        <v>4937.25</v>
      </c>
    </row>
    <row r="141" spans="2:13" ht="14.45">
      <c r="B141"/>
      <c r="C141" t="s">
        <v>312</v>
      </c>
      <c r="D141" s="54">
        <v>0</v>
      </c>
      <c r="E141" s="54">
        <v>0</v>
      </c>
      <c r="F141" s="54">
        <v>0</v>
      </c>
      <c r="G141" s="54">
        <v>0</v>
      </c>
      <c r="H141" s="54">
        <v>0</v>
      </c>
      <c r="I141" s="54">
        <v>0</v>
      </c>
      <c r="J141" s="54">
        <v>11985</v>
      </c>
      <c r="K141" s="54">
        <v>0</v>
      </c>
      <c r="L141" s="54">
        <v>0</v>
      </c>
      <c r="M141" s="37">
        <f t="shared" si="9"/>
        <v>11985</v>
      </c>
    </row>
    <row r="142" spans="2:13" ht="14.45">
      <c r="B142"/>
      <c r="C142" t="s">
        <v>317</v>
      </c>
      <c r="D142" s="54">
        <f t="shared" ref="D142:L142" si="10">SUMPRODUCT(D116:D120,D137:D141)/D121</f>
        <v>1530.8801089918256</v>
      </c>
      <c r="E142" s="54">
        <f t="shared" si="10"/>
        <v>1748.5943060498221</v>
      </c>
      <c r="F142" s="54">
        <f t="shared" si="10"/>
        <v>1553.6919642857142</v>
      </c>
      <c r="G142" s="54">
        <f t="shared" si="10"/>
        <v>1276.0113285272914</v>
      </c>
      <c r="H142" s="54">
        <f t="shared" si="10"/>
        <v>2348.5786163522012</v>
      </c>
      <c r="I142" s="54">
        <f t="shared" si="10"/>
        <v>1673.8987854251013</v>
      </c>
      <c r="J142" s="54">
        <f t="shared" si="10"/>
        <v>3231.7572463768115</v>
      </c>
      <c r="K142" s="54">
        <f t="shared" si="10"/>
        <v>1934.5588235294117</v>
      </c>
      <c r="L142" s="54">
        <f t="shared" si="10"/>
        <v>1686.8343949044586</v>
      </c>
      <c r="M142" s="37">
        <f t="shared" si="9"/>
        <v>1887.200619382515</v>
      </c>
    </row>
    <row r="143" spans="2:13" ht="14.45">
      <c r="B143"/>
      <c r="C143" t="s">
        <v>318</v>
      </c>
      <c r="D143" s="45"/>
      <c r="E143" s="45"/>
      <c r="F143" s="45"/>
      <c r="G143" s="45"/>
      <c r="H143" s="45"/>
      <c r="I143" s="45"/>
      <c r="J143" s="45"/>
      <c r="K143" s="45"/>
      <c r="L143" s="45"/>
      <c r="M143" s="37"/>
    </row>
    <row r="144" spans="2:13" ht="14.45">
      <c r="B144"/>
      <c r="C144" t="s">
        <v>41</v>
      </c>
      <c r="D144" s="52">
        <v>0</v>
      </c>
      <c r="E144" s="52">
        <v>0</v>
      </c>
      <c r="F144" s="52">
        <v>1.97</v>
      </c>
      <c r="G144" s="52">
        <v>1.76</v>
      </c>
      <c r="H144" s="52">
        <v>0</v>
      </c>
      <c r="I144" s="52">
        <v>2.77</v>
      </c>
      <c r="J144" s="52">
        <v>4.2300000000000004</v>
      </c>
      <c r="K144" s="52">
        <v>3.63</v>
      </c>
      <c r="L144" s="52">
        <v>2.84</v>
      </c>
      <c r="M144" s="52">
        <f t="shared" ref="M144:M149" si="11">AVERAGEIF(D144:L144,"&gt;0",D144:L144)</f>
        <v>2.8666666666666667</v>
      </c>
    </row>
    <row r="145" spans="1:13" ht="14.45">
      <c r="B145"/>
      <c r="C145" t="s">
        <v>309</v>
      </c>
      <c r="D145" s="52">
        <v>2.14</v>
      </c>
      <c r="E145" s="52">
        <v>2.13</v>
      </c>
      <c r="F145" s="52">
        <v>1.84</v>
      </c>
      <c r="G145" s="52">
        <v>1.27</v>
      </c>
      <c r="H145" s="52">
        <v>2.61</v>
      </c>
      <c r="I145" s="52">
        <v>2.1800000000000002</v>
      </c>
      <c r="J145" s="52">
        <v>2.96</v>
      </c>
      <c r="K145" s="52">
        <v>2.5499999999999998</v>
      </c>
      <c r="L145" s="52">
        <v>2.19</v>
      </c>
      <c r="M145" s="52">
        <f t="shared" si="11"/>
        <v>2.2077777777777778</v>
      </c>
    </row>
    <row r="146" spans="1:13" ht="14.45">
      <c r="B146"/>
      <c r="C146" t="s">
        <v>310</v>
      </c>
      <c r="D146" s="52">
        <v>1.74</v>
      </c>
      <c r="E146" s="52">
        <v>1.8</v>
      </c>
      <c r="F146" s="52">
        <v>1.8</v>
      </c>
      <c r="G146" s="52">
        <v>1.34</v>
      </c>
      <c r="H146" s="52">
        <v>2.36</v>
      </c>
      <c r="I146" s="52">
        <v>2.27</v>
      </c>
      <c r="J146" s="52">
        <v>2.75</v>
      </c>
      <c r="K146" s="52">
        <v>2.4300000000000002</v>
      </c>
      <c r="L146" s="52">
        <v>2.1</v>
      </c>
      <c r="M146" s="52">
        <f t="shared" si="11"/>
        <v>2.0655555555555556</v>
      </c>
    </row>
    <row r="147" spans="1:13" ht="14.45">
      <c r="B147"/>
      <c r="C147" t="s">
        <v>311</v>
      </c>
      <c r="D147" s="52">
        <v>0</v>
      </c>
      <c r="E147" s="52">
        <v>0</v>
      </c>
      <c r="F147" s="52">
        <v>0</v>
      </c>
      <c r="G147" s="52">
        <v>1.26</v>
      </c>
      <c r="H147" s="52">
        <v>4.5599999999999996</v>
      </c>
      <c r="I147" s="52">
        <v>2.2999999999999998</v>
      </c>
      <c r="J147" s="52">
        <v>2.99</v>
      </c>
      <c r="K147" s="52">
        <v>0</v>
      </c>
      <c r="L147" s="52">
        <v>1.3</v>
      </c>
      <c r="M147" s="52">
        <f t="shared" si="11"/>
        <v>2.4820000000000002</v>
      </c>
    </row>
    <row r="148" spans="1:13" ht="14.45">
      <c r="B148"/>
      <c r="C148" t="s">
        <v>312</v>
      </c>
      <c r="D148" s="52">
        <v>0</v>
      </c>
      <c r="E148" s="52">
        <v>0</v>
      </c>
      <c r="F148" s="52">
        <v>0</v>
      </c>
      <c r="G148" s="52">
        <v>0</v>
      </c>
      <c r="H148" s="52">
        <v>0</v>
      </c>
      <c r="I148" s="52">
        <v>0</v>
      </c>
      <c r="J148" s="52">
        <v>2.4900000000000002</v>
      </c>
      <c r="K148" s="52">
        <v>0</v>
      </c>
      <c r="L148" s="52">
        <v>0</v>
      </c>
      <c r="M148" s="52">
        <f t="shared" si="11"/>
        <v>2.4900000000000002</v>
      </c>
    </row>
    <row r="149" spans="1:13" ht="14.45">
      <c r="B149"/>
      <c r="C149" t="s">
        <v>317</v>
      </c>
      <c r="D149" s="52">
        <f t="shared" ref="D149:L149" si="12">SUMPRODUCT(D116:D120,D144:D148)/D121</f>
        <v>2.0974931880108993</v>
      </c>
      <c r="E149" s="52">
        <f t="shared" si="12"/>
        <v>2.0325266903914589</v>
      </c>
      <c r="F149" s="52">
        <f t="shared" si="12"/>
        <v>1.8394642857142858</v>
      </c>
      <c r="G149" s="52">
        <f t="shared" si="12"/>
        <v>1.3053964984552009</v>
      </c>
      <c r="H149" s="52">
        <f t="shared" si="12"/>
        <v>2.5898742138364779</v>
      </c>
      <c r="I149" s="52">
        <f t="shared" si="12"/>
        <v>2.351214574898786</v>
      </c>
      <c r="J149" s="52">
        <f t="shared" si="12"/>
        <v>2.9854710144927536</v>
      </c>
      <c r="K149" s="52">
        <f t="shared" si="12"/>
        <v>2.6894117647058824</v>
      </c>
      <c r="L149" s="52">
        <f t="shared" si="12"/>
        <v>2.2366878980891718</v>
      </c>
      <c r="M149" s="52">
        <f t="shared" si="11"/>
        <v>2.2363933476216573</v>
      </c>
    </row>
    <row r="150" spans="1:13" ht="14.45">
      <c r="B150"/>
    </row>
    <row r="151" spans="1:13" ht="14.45">
      <c r="B151"/>
    </row>
    <row r="152" spans="1:13" s="579" customFormat="1">
      <c r="A152" s="573"/>
      <c r="B152" s="578" t="s">
        <v>61</v>
      </c>
    </row>
    <row r="153" spans="1:13" ht="14.45">
      <c r="B153"/>
    </row>
    <row r="154" spans="1:13" ht="14.45">
      <c r="B154"/>
      <c r="C154" s="197" t="s">
        <v>319</v>
      </c>
      <c r="D154" s="19" t="s">
        <v>320</v>
      </c>
      <c r="E154" s="19" t="s">
        <v>321</v>
      </c>
      <c r="F154" s="19"/>
      <c r="G154" s="19"/>
    </row>
    <row r="155" spans="1:13" ht="14.45">
      <c r="B155"/>
      <c r="C155" s="199" t="s">
        <v>322</v>
      </c>
      <c r="D155" s="199" t="s">
        <v>140</v>
      </c>
      <c r="E155" s="199" t="s">
        <v>323</v>
      </c>
      <c r="F155" s="199" t="s">
        <v>74</v>
      </c>
      <c r="G155" s="19"/>
    </row>
    <row r="156" spans="1:13" ht="14.45">
      <c r="B156"/>
      <c r="C156" s="198" t="s">
        <v>324</v>
      </c>
      <c r="D156" s="19">
        <v>4378</v>
      </c>
      <c r="E156" s="375">
        <v>1975000</v>
      </c>
      <c r="F156" s="19">
        <f>E156/D156</f>
        <v>451.11923252626769</v>
      </c>
      <c r="G156" s="19"/>
    </row>
    <row r="157" spans="1:13" ht="14.45">
      <c r="B157"/>
      <c r="C157" s="198" t="s">
        <v>324</v>
      </c>
      <c r="D157" s="19">
        <v>3740</v>
      </c>
      <c r="E157" s="375">
        <v>1425000</v>
      </c>
      <c r="F157" s="19">
        <f>E157/D157</f>
        <v>381.01604278074865</v>
      </c>
      <c r="G157" s="19"/>
    </row>
    <row r="158" spans="1:13" ht="14.45">
      <c r="B158"/>
      <c r="C158" s="198" t="s">
        <v>325</v>
      </c>
      <c r="D158" s="19">
        <v>2740</v>
      </c>
      <c r="E158" s="375">
        <v>1175000</v>
      </c>
      <c r="F158" s="19">
        <f>E158/D158</f>
        <v>428.83211678832117</v>
      </c>
      <c r="G158" s="19"/>
    </row>
    <row r="159" spans="1:13" ht="14.45">
      <c r="B159"/>
      <c r="C159" s="19"/>
      <c r="D159" s="19"/>
      <c r="E159" s="19"/>
      <c r="F159" s="19"/>
      <c r="G159" s="19"/>
    </row>
    <row r="160" spans="1:13" ht="14.45">
      <c r="B160"/>
      <c r="C160" s="19" t="s">
        <v>326</v>
      </c>
      <c r="D160" s="196">
        <v>346315</v>
      </c>
      <c r="E160" s="19" t="e">
        <f>D160/Assumptions!S28</f>
        <v>#VALUE!</v>
      </c>
      <c r="F160" s="19"/>
      <c r="G160" s="19"/>
    </row>
    <row r="161" spans="2:7" ht="14.45">
      <c r="B161"/>
      <c r="C161" s="19"/>
      <c r="D161" s="196">
        <v>443445</v>
      </c>
      <c r="E161" s="19">
        <f>D161/Assumptions!S31</f>
        <v>443.44499999999999</v>
      </c>
      <c r="F161" s="19"/>
      <c r="G161" s="19"/>
    </row>
    <row r="162" spans="2:7" ht="14.45">
      <c r="C162" s="138"/>
      <c r="D162" s="196">
        <v>535984</v>
      </c>
      <c r="E162" s="19">
        <f>D162/Assumptions!S34</f>
        <v>357.32266666666669</v>
      </c>
      <c r="F162" s="19"/>
      <c r="G162" s="19"/>
    </row>
    <row r="163" spans="2:7" ht="14.45">
      <c r="C163" s="139"/>
      <c r="D163" s="196">
        <v>666089</v>
      </c>
      <c r="E163" s="19">
        <f>D163/Assumptions!S38</f>
        <v>289.60391304347826</v>
      </c>
      <c r="F163" s="19"/>
      <c r="G163" s="19"/>
    </row>
    <row r="164" spans="2:7">
      <c r="C164" s="141" t="s">
        <v>327</v>
      </c>
      <c r="D164" s="140" t="s">
        <v>328</v>
      </c>
      <c r="E164" s="19" t="s">
        <v>329</v>
      </c>
      <c r="F164" s="19"/>
      <c r="G164" s="19"/>
    </row>
    <row r="165" spans="2:7">
      <c r="C165" s="199" t="s">
        <v>322</v>
      </c>
      <c r="D165" s="199" t="s">
        <v>140</v>
      </c>
      <c r="E165" s="199" t="s">
        <v>246</v>
      </c>
      <c r="F165" s="199" t="s">
        <v>74</v>
      </c>
      <c r="G165" s="19"/>
    </row>
    <row r="166" spans="2:7">
      <c r="C166" s="20" t="s">
        <v>330</v>
      </c>
      <c r="D166" s="22">
        <v>950</v>
      </c>
      <c r="E166" s="19">
        <v>1700</v>
      </c>
      <c r="F166" s="19">
        <f>E166/D166</f>
        <v>1.7894736842105263</v>
      </c>
      <c r="G166" s="19"/>
    </row>
    <row r="167" spans="2:7">
      <c r="C167" s="20" t="s">
        <v>331</v>
      </c>
      <c r="D167" s="199">
        <v>1500</v>
      </c>
      <c r="E167" s="19">
        <v>2100</v>
      </c>
      <c r="F167" s="19">
        <f>E167/D167</f>
        <v>1.4</v>
      </c>
      <c r="G167" s="19"/>
    </row>
    <row r="168" spans="2:7">
      <c r="C168" s="20" t="s">
        <v>332</v>
      </c>
      <c r="D168" s="22">
        <v>1700</v>
      </c>
      <c r="E168" s="19">
        <v>3200</v>
      </c>
      <c r="F168" s="19">
        <f>E168/D168</f>
        <v>1.8823529411764706</v>
      </c>
      <c r="G168" s="19"/>
    </row>
    <row r="169" spans="2:7">
      <c r="C169" s="20" t="s">
        <v>333</v>
      </c>
      <c r="D169" s="22">
        <v>2500</v>
      </c>
      <c r="E169" s="19">
        <v>7654</v>
      </c>
      <c r="F169" s="19">
        <f>E169/D169</f>
        <v>3.0615999999999999</v>
      </c>
      <c r="G169" s="19"/>
    </row>
    <row r="170" spans="2:7">
      <c r="C170" s="20"/>
      <c r="D170" s="22" t="s">
        <v>334</v>
      </c>
      <c r="E170" s="19"/>
      <c r="F170" s="19"/>
      <c r="G170" s="19"/>
    </row>
    <row r="171" spans="2:7">
      <c r="C171" s="199" t="s">
        <v>322</v>
      </c>
      <c r="D171" s="199" t="s">
        <v>140</v>
      </c>
      <c r="E171" s="199" t="s">
        <v>246</v>
      </c>
      <c r="F171" s="199" t="s">
        <v>74</v>
      </c>
      <c r="G171" s="19"/>
    </row>
    <row r="172" spans="2:7">
      <c r="C172" s="20" t="s">
        <v>330</v>
      </c>
      <c r="D172" s="22">
        <v>750</v>
      </c>
      <c r="E172" s="19">
        <v>1500</v>
      </c>
      <c r="F172" s="19">
        <f>E172/D172</f>
        <v>2</v>
      </c>
      <c r="G172" s="19"/>
    </row>
    <row r="173" spans="2:7">
      <c r="C173" s="20" t="s">
        <v>331</v>
      </c>
      <c r="D173" s="199">
        <v>1500</v>
      </c>
      <c r="E173" s="19">
        <v>3300</v>
      </c>
      <c r="F173" s="19">
        <f>E173/D173</f>
        <v>2.2000000000000002</v>
      </c>
      <c r="G173" s="19"/>
    </row>
    <row r="174" spans="2:7">
      <c r="C174" s="20" t="s">
        <v>332</v>
      </c>
      <c r="D174" s="22">
        <v>3000</v>
      </c>
      <c r="E174" s="19">
        <v>7250</v>
      </c>
      <c r="F174" s="19">
        <f>E174/D174</f>
        <v>2.4166666666666665</v>
      </c>
      <c r="G174" s="19"/>
    </row>
    <row r="175" spans="2:7">
      <c r="C175" s="20" t="s">
        <v>333</v>
      </c>
      <c r="D175" s="22">
        <v>2500</v>
      </c>
      <c r="E175" s="19">
        <v>7654</v>
      </c>
      <c r="F175" s="19">
        <f>E175/D175</f>
        <v>3.0615999999999999</v>
      </c>
      <c r="G175" s="19"/>
    </row>
    <row r="179" spans="3:6" ht="14.45" thickBot="1"/>
    <row r="180" spans="3:6" ht="15" thickBot="1">
      <c r="C180"/>
      <c r="D180" s="574" t="s">
        <v>335</v>
      </c>
      <c r="E180" s="574" t="s">
        <v>336</v>
      </c>
      <c r="F180" s="574" t="s">
        <v>337</v>
      </c>
    </row>
    <row r="181" spans="3:6" ht="14.45" thickBot="1">
      <c r="C181" s="539" t="s">
        <v>338</v>
      </c>
      <c r="D181" s="539" t="s">
        <v>339</v>
      </c>
      <c r="E181" s="539">
        <v>1.2</v>
      </c>
      <c r="F181" s="539">
        <v>3</v>
      </c>
    </row>
    <row r="182" spans="3:6" ht="14.45" thickBot="1">
      <c r="C182" s="539" t="s">
        <v>340</v>
      </c>
      <c r="D182" s="539">
        <v>4.0999999999999996</v>
      </c>
      <c r="E182" s="539">
        <v>1.37</v>
      </c>
      <c r="F182" s="539">
        <v>3.17</v>
      </c>
    </row>
    <row r="183" spans="3:6" ht="14.45" thickBot="1">
      <c r="C183" s="539" t="s">
        <v>341</v>
      </c>
      <c r="D183" s="539">
        <v>4.0999999999999996</v>
      </c>
      <c r="E183" s="539">
        <v>0.98</v>
      </c>
      <c r="F183" s="539">
        <v>3.01</v>
      </c>
    </row>
    <row r="184" spans="3:6" ht="14.45" thickBot="1">
      <c r="C184" s="539" t="s">
        <v>342</v>
      </c>
      <c r="D184" s="539">
        <v>4.66</v>
      </c>
      <c r="E184" s="539">
        <v>1.69</v>
      </c>
      <c r="F184" s="539">
        <v>3.21</v>
      </c>
    </row>
    <row r="185" spans="3:6" ht="14.45" thickBot="1">
      <c r="C185" s="539" t="s">
        <v>343</v>
      </c>
      <c r="D185" s="539">
        <v>4.32</v>
      </c>
      <c r="E185" s="539">
        <v>2.81</v>
      </c>
      <c r="F185" s="539">
        <v>3.59</v>
      </c>
    </row>
    <row r="186" spans="3:6" ht="14.45" thickBot="1">
      <c r="C186" s="539" t="s">
        <v>344</v>
      </c>
      <c r="D186" s="539">
        <v>5.27</v>
      </c>
      <c r="E186" s="539">
        <v>2.72</v>
      </c>
      <c r="F186" s="539">
        <v>3.89</v>
      </c>
    </row>
    <row r="187" spans="3:6" ht="14.45" thickBot="1">
      <c r="C187" s="539" t="s">
        <v>345</v>
      </c>
      <c r="D187" s="539">
        <v>4.41</v>
      </c>
      <c r="E187" s="539">
        <v>3.49</v>
      </c>
      <c r="F187" s="539">
        <v>3.89</v>
      </c>
    </row>
    <row r="188" spans="3:6" ht="14.45" thickBot="1">
      <c r="C188" s="539" t="s">
        <v>346</v>
      </c>
      <c r="D188" s="539">
        <v>4.22</v>
      </c>
      <c r="E188" s="539">
        <v>2.02</v>
      </c>
      <c r="F188" s="539">
        <v>3.56</v>
      </c>
    </row>
    <row r="189" spans="3:6" ht="14.45" thickBot="1">
      <c r="C189" s="539" t="s">
        <v>347</v>
      </c>
      <c r="D189" s="539">
        <v>3.37</v>
      </c>
      <c r="E189" s="539">
        <v>1.94</v>
      </c>
      <c r="F189" s="539">
        <v>2.83</v>
      </c>
    </row>
    <row r="190" spans="3:6" ht="14.45" thickBot="1">
      <c r="C190" s="539" t="s">
        <v>348</v>
      </c>
      <c r="D190" s="539">
        <v>4.59</v>
      </c>
      <c r="E190" s="539">
        <v>0.3</v>
      </c>
      <c r="F190" s="539">
        <v>2.99</v>
      </c>
    </row>
    <row r="191" spans="3:6" ht="14.45" thickBot="1">
      <c r="C191" s="539" t="s">
        <v>349</v>
      </c>
      <c r="D191" s="539">
        <v>4.34</v>
      </c>
      <c r="E191" s="539">
        <v>0.15</v>
      </c>
      <c r="F191" s="539">
        <v>2.84</v>
      </c>
    </row>
    <row r="192" spans="3:6" ht="14.45" thickBot="1">
      <c r="C192" s="539" t="s">
        <v>350</v>
      </c>
      <c r="D192" s="539">
        <v>4.04</v>
      </c>
      <c r="E192" s="539">
        <v>0.93</v>
      </c>
      <c r="F192" s="539">
        <v>2.81</v>
      </c>
    </row>
    <row r="193" spans="2:7" ht="14.45" thickBot="1">
      <c r="C193" s="539" t="s">
        <v>351</v>
      </c>
      <c r="D193" s="539">
        <v>3.05</v>
      </c>
      <c r="E193" s="539">
        <v>1.57</v>
      </c>
      <c r="F193" s="539">
        <v>2.3199999999999998</v>
      </c>
    </row>
    <row r="194" spans="2:7" ht="14.45" thickBot="1">
      <c r="C194" s="539" t="s">
        <v>352</v>
      </c>
      <c r="D194" s="539">
        <v>5.0199999999999996</v>
      </c>
      <c r="E194" s="539">
        <v>3.61</v>
      </c>
      <c r="F194" s="539">
        <v>4.43</v>
      </c>
    </row>
    <row r="195" spans="2:7" ht="14.45" thickBot="1">
      <c r="C195" s="539" t="s">
        <v>353</v>
      </c>
      <c r="D195" s="539">
        <v>4.76</v>
      </c>
      <c r="E195" s="539">
        <v>0</v>
      </c>
      <c r="F195" s="539">
        <v>2.83</v>
      </c>
    </row>
    <row r="196" spans="2:7" ht="14.45" thickBot="1">
      <c r="C196" s="539" t="s">
        <v>354</v>
      </c>
      <c r="D196" s="539">
        <v>5.42</v>
      </c>
      <c r="E196" s="539">
        <v>2.0299999999999998</v>
      </c>
      <c r="F196" s="539">
        <v>4.0199999999999996</v>
      </c>
    </row>
    <row r="197" spans="2:7" ht="14.45" thickBot="1">
      <c r="C197" s="539" t="s">
        <v>355</v>
      </c>
      <c r="D197" s="539">
        <v>5.07</v>
      </c>
      <c r="E197" s="539">
        <v>4.66</v>
      </c>
      <c r="F197" s="539">
        <v>4.91</v>
      </c>
    </row>
    <row r="198" spans="2:7" ht="14.45" thickBot="1">
      <c r="C198" s="539" t="s">
        <v>356</v>
      </c>
      <c r="D198" s="539">
        <v>5.58</v>
      </c>
      <c r="E198" s="539">
        <v>0.13</v>
      </c>
      <c r="F198" s="539">
        <v>3.46</v>
      </c>
    </row>
    <row r="199" spans="2:7" ht="14.45" thickBot="1">
      <c r="C199" s="539" t="s">
        <v>357</v>
      </c>
      <c r="D199" s="539">
        <v>5.33</v>
      </c>
      <c r="E199" s="539">
        <v>0.14000000000000001</v>
      </c>
      <c r="F199" s="539">
        <v>3.46</v>
      </c>
    </row>
    <row r="200" spans="2:7">
      <c r="B200" s="1" t="s">
        <v>358</v>
      </c>
    </row>
    <row r="201" spans="2:7">
      <c r="B201" s="1" t="s">
        <v>359</v>
      </c>
    </row>
    <row r="202" spans="2:7">
      <c r="D202" s="573" t="s">
        <v>360</v>
      </c>
      <c r="E202" s="573" t="s">
        <v>361</v>
      </c>
      <c r="F202" s="573" t="s">
        <v>362</v>
      </c>
    </row>
    <row r="203" spans="2:7">
      <c r="B203" s="1" t="s">
        <v>363</v>
      </c>
      <c r="D203" s="575">
        <v>42200000</v>
      </c>
      <c r="E203" s="573">
        <v>248000</v>
      </c>
      <c r="F203" s="729">
        <f>D203/E203</f>
        <v>170.16129032258064</v>
      </c>
      <c r="G203" s="576"/>
    </row>
    <row r="204" spans="2:7">
      <c r="B204" s="1" t="s">
        <v>364</v>
      </c>
      <c r="D204" s="577">
        <v>50000000</v>
      </c>
      <c r="E204" s="573">
        <v>117711</v>
      </c>
      <c r="F204" s="728">
        <f>D204/E204</f>
        <v>424.76913797351142</v>
      </c>
      <c r="G204" s="1" t="s">
        <v>365</v>
      </c>
    </row>
    <row r="208" spans="2:7">
      <c r="C208" s="1" t="s">
        <v>366</v>
      </c>
    </row>
    <row r="209" spans="3:3">
      <c r="C209" s="1" t="s">
        <v>367</v>
      </c>
    </row>
    <row r="210" spans="3:3">
      <c r="C210" s="1" t="s">
        <v>368</v>
      </c>
    </row>
    <row r="211" spans="3:3">
      <c r="C211" s="1" t="s">
        <v>369</v>
      </c>
    </row>
    <row r="212" spans="3:3" ht="14.45">
      <c r="C212" t="s">
        <v>370</v>
      </c>
    </row>
    <row r="213" spans="3:3">
      <c r="C213" s="1" t="s">
        <v>371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72F2C-E2E0-4252-85C5-77BC5457C24C}">
  <sheetPr>
    <tabColor rgb="FF0070C0"/>
  </sheetPr>
  <dimension ref="A1:CP566"/>
  <sheetViews>
    <sheetView zoomScale="70" zoomScaleNormal="70" zoomScalePageLayoutView="125" workbookViewId="0">
      <pane xSplit="1" ySplit="3" topLeftCell="B4" activePane="bottomRight" state="frozen"/>
      <selection pane="bottomRight" activeCell="L33" sqref="L33"/>
      <selection pane="bottomLeft" activeCell="W57" sqref="W57"/>
      <selection pane="topRight" activeCell="W57" sqref="W57"/>
    </sheetView>
  </sheetViews>
  <sheetFormatPr defaultColWidth="8.85546875" defaultRowHeight="14.45"/>
  <cols>
    <col min="1" max="1" width="35.42578125" style="5" customWidth="1"/>
    <col min="2" max="2" width="16" style="5" bestFit="1" customWidth="1"/>
    <col min="3" max="6" width="13.85546875" style="5" customWidth="1"/>
    <col min="7" max="7" width="13.85546875" style="24" customWidth="1"/>
    <col min="8" max="27" width="13.85546875" style="5" customWidth="1"/>
    <col min="28" max="28" width="13.85546875" style="25" customWidth="1"/>
    <col min="29" max="30" width="13.85546875" style="5" customWidth="1"/>
    <col min="31" max="31" width="13.85546875" style="25" customWidth="1"/>
    <col min="32" max="41" width="13.85546875" style="5" customWidth="1"/>
    <col min="42" max="42" width="14.42578125" style="5" bestFit="1" customWidth="1"/>
    <col min="43" max="49" width="13.85546875" style="5" customWidth="1"/>
    <col min="50" max="50" width="14.42578125" style="5" bestFit="1" customWidth="1"/>
    <col min="51" max="66" width="13.85546875" style="5" customWidth="1"/>
    <col min="67" max="67" width="17" style="5" customWidth="1"/>
    <col min="68" max="90" width="17" customWidth="1"/>
    <col min="91" max="91" width="16.42578125" customWidth="1"/>
    <col min="92" max="92" width="15" customWidth="1"/>
    <col min="93" max="93" width="17.85546875" bestFit="1" customWidth="1"/>
    <col min="94" max="94" width="9.42578125" bestFit="1" customWidth="1"/>
    <col min="95" max="95" width="11.85546875" style="5" bestFit="1" customWidth="1"/>
    <col min="96" max="97" width="9.42578125" style="5" bestFit="1" customWidth="1"/>
    <col min="98" max="16384" width="8.85546875" style="5"/>
  </cols>
  <sheetData>
    <row r="1" spans="1:67">
      <c r="A1" s="1069" t="s">
        <v>372</v>
      </c>
      <c r="G1" s="5"/>
      <c r="AB1"/>
      <c r="AC1"/>
      <c r="AD1"/>
      <c r="AE1"/>
    </row>
    <row r="2" spans="1:67">
      <c r="A2" s="1069"/>
      <c r="G2" s="5"/>
      <c r="AB2"/>
      <c r="AC2"/>
      <c r="AD2"/>
      <c r="AE2"/>
      <c r="BO2" s="26" t="s">
        <v>373</v>
      </c>
    </row>
    <row r="3" spans="1:67" ht="15" thickBot="1">
      <c r="A3" s="1070"/>
      <c r="B3" s="421" t="s">
        <v>374</v>
      </c>
      <c r="C3" s="422">
        <v>46022</v>
      </c>
      <c r="D3" s="423">
        <f>EOMONTH(C3,3)</f>
        <v>46112</v>
      </c>
      <c r="E3" s="423">
        <f t="shared" ref="E3:AU3" si="0">EOMONTH(D3,3)</f>
        <v>46203</v>
      </c>
      <c r="F3" s="423">
        <f t="shared" si="0"/>
        <v>46295</v>
      </c>
      <c r="G3" s="423">
        <f t="shared" si="0"/>
        <v>46387</v>
      </c>
      <c r="H3" s="423">
        <f t="shared" si="0"/>
        <v>46477</v>
      </c>
      <c r="I3" s="423">
        <f t="shared" si="0"/>
        <v>46568</v>
      </c>
      <c r="J3" s="423">
        <f t="shared" si="0"/>
        <v>46660</v>
      </c>
      <c r="K3" s="423">
        <f t="shared" si="0"/>
        <v>46752</v>
      </c>
      <c r="L3" s="423">
        <f t="shared" si="0"/>
        <v>46843</v>
      </c>
      <c r="M3" s="423">
        <f t="shared" si="0"/>
        <v>46934</v>
      </c>
      <c r="N3" s="423">
        <f t="shared" si="0"/>
        <v>47026</v>
      </c>
      <c r="O3" s="423">
        <f t="shared" si="0"/>
        <v>47118</v>
      </c>
      <c r="P3" s="423">
        <f t="shared" si="0"/>
        <v>47208</v>
      </c>
      <c r="Q3" s="423">
        <f t="shared" si="0"/>
        <v>47299</v>
      </c>
      <c r="R3" s="423">
        <f t="shared" si="0"/>
        <v>47391</v>
      </c>
      <c r="S3" s="423">
        <f t="shared" si="0"/>
        <v>47483</v>
      </c>
      <c r="T3" s="423">
        <f t="shared" si="0"/>
        <v>47573</v>
      </c>
      <c r="U3" s="423">
        <f t="shared" si="0"/>
        <v>47664</v>
      </c>
      <c r="V3" s="423">
        <f t="shared" si="0"/>
        <v>47756</v>
      </c>
      <c r="W3" s="423">
        <f t="shared" si="0"/>
        <v>47848</v>
      </c>
      <c r="X3" s="423">
        <f t="shared" si="0"/>
        <v>47938</v>
      </c>
      <c r="Y3" s="423">
        <f t="shared" si="0"/>
        <v>48029</v>
      </c>
      <c r="Z3" s="423">
        <f t="shared" si="0"/>
        <v>48121</v>
      </c>
      <c r="AA3" s="423">
        <f t="shared" si="0"/>
        <v>48213</v>
      </c>
      <c r="AB3" s="423">
        <f t="shared" si="0"/>
        <v>48304</v>
      </c>
      <c r="AC3" s="423">
        <f t="shared" si="0"/>
        <v>48395</v>
      </c>
      <c r="AD3" s="423">
        <f t="shared" si="0"/>
        <v>48487</v>
      </c>
      <c r="AE3" s="423">
        <f t="shared" si="0"/>
        <v>48579</v>
      </c>
      <c r="AF3" s="423">
        <f t="shared" si="0"/>
        <v>48669</v>
      </c>
      <c r="AG3" s="423">
        <f t="shared" si="0"/>
        <v>48760</v>
      </c>
      <c r="AH3" s="423">
        <f t="shared" si="0"/>
        <v>48852</v>
      </c>
      <c r="AI3" s="423">
        <f t="shared" si="0"/>
        <v>48944</v>
      </c>
      <c r="AJ3" s="423">
        <f t="shared" si="0"/>
        <v>49034</v>
      </c>
      <c r="AK3" s="423">
        <f t="shared" si="0"/>
        <v>49125</v>
      </c>
      <c r="AL3" s="423">
        <f t="shared" si="0"/>
        <v>49217</v>
      </c>
      <c r="AM3" s="423">
        <f t="shared" si="0"/>
        <v>49309</v>
      </c>
      <c r="AN3" s="423">
        <f>EOMONTH(AM3,3)</f>
        <v>49399</v>
      </c>
      <c r="AO3" s="423">
        <f t="shared" si="0"/>
        <v>49490</v>
      </c>
      <c r="AP3" s="423">
        <f t="shared" si="0"/>
        <v>49582</v>
      </c>
      <c r="AQ3" s="423">
        <f t="shared" si="0"/>
        <v>49674</v>
      </c>
      <c r="AR3" s="423">
        <f t="shared" si="0"/>
        <v>49765</v>
      </c>
      <c r="AS3" s="423">
        <f t="shared" si="0"/>
        <v>49856</v>
      </c>
      <c r="AT3" s="423">
        <f t="shared" si="0"/>
        <v>49948</v>
      </c>
      <c r="AU3" s="423">
        <f t="shared" si="0"/>
        <v>50040</v>
      </c>
      <c r="AV3" s="423">
        <f t="shared" ref="AV3:BN3" si="1">EOMONTH(AU3,3)</f>
        <v>50130</v>
      </c>
      <c r="AW3" s="423">
        <f t="shared" si="1"/>
        <v>50221</v>
      </c>
      <c r="AX3" s="423">
        <f t="shared" si="1"/>
        <v>50313</v>
      </c>
      <c r="AY3" s="423">
        <f t="shared" si="1"/>
        <v>50405</v>
      </c>
      <c r="AZ3" s="423">
        <f t="shared" si="1"/>
        <v>50495</v>
      </c>
      <c r="BA3" s="423">
        <f t="shared" si="1"/>
        <v>50586</v>
      </c>
      <c r="BB3" s="423">
        <f t="shared" si="1"/>
        <v>50678</v>
      </c>
      <c r="BC3" s="423">
        <f t="shared" si="1"/>
        <v>50770</v>
      </c>
      <c r="BD3" s="423">
        <f t="shared" si="1"/>
        <v>50860</v>
      </c>
      <c r="BE3" s="423">
        <f t="shared" si="1"/>
        <v>50951</v>
      </c>
      <c r="BF3" s="423">
        <f t="shared" si="1"/>
        <v>51043</v>
      </c>
      <c r="BG3" s="423">
        <f t="shared" si="1"/>
        <v>51135</v>
      </c>
      <c r="BH3" s="423">
        <f t="shared" si="1"/>
        <v>51226</v>
      </c>
      <c r="BI3" s="423">
        <f t="shared" si="1"/>
        <v>51317</v>
      </c>
      <c r="BJ3" s="423">
        <f t="shared" si="1"/>
        <v>51409</v>
      </c>
      <c r="BK3" s="423">
        <f t="shared" si="1"/>
        <v>51501</v>
      </c>
      <c r="BL3" s="423">
        <f t="shared" si="1"/>
        <v>51591</v>
      </c>
      <c r="BM3" s="423">
        <f t="shared" si="1"/>
        <v>51682</v>
      </c>
      <c r="BN3" s="423">
        <f t="shared" si="1"/>
        <v>51774</v>
      </c>
      <c r="BO3" s="424"/>
    </row>
    <row r="4" spans="1:67">
      <c r="A4" s="207" t="s">
        <v>375</v>
      </c>
      <c r="B4" s="425">
        <f ca="1">SUM(C4:BN4)</f>
        <v>795186289.42652166</v>
      </c>
      <c r="C4" s="425">
        <f>SUM(C16,C28,C40,C52)</f>
        <v>0</v>
      </c>
      <c r="D4" s="425">
        <f t="shared" ref="D4:BN4" ca="1" si="2">SUM(D16,D28,D40,D52)</f>
        <v>-1847235.9408000002</v>
      </c>
      <c r="E4" s="425">
        <f t="shared" ca="1" si="2"/>
        <v>-1847235.9408000002</v>
      </c>
      <c r="F4" s="425">
        <f t="shared" ca="1" si="2"/>
        <v>-1847235.9408000002</v>
      </c>
      <c r="G4" s="425">
        <f t="shared" ca="1" si="2"/>
        <v>-1847235.9408000002</v>
      </c>
      <c r="H4" s="425">
        <f t="shared" ca="1" si="2"/>
        <v>-3545945.2608000003</v>
      </c>
      <c r="I4" s="425">
        <f t="shared" ca="1" si="2"/>
        <v>-11055819.31239211</v>
      </c>
      <c r="J4" s="425">
        <f t="shared" ca="1" si="2"/>
        <v>-9876075.6022277474</v>
      </c>
      <c r="K4" s="425">
        <f t="shared" ca="1" si="2"/>
        <v>-20763728.573764145</v>
      </c>
      <c r="L4" s="425">
        <f t="shared" ca="1" si="2"/>
        <v>-46447164.840094745</v>
      </c>
      <c r="M4" s="425">
        <f t="shared" ca="1" si="2"/>
        <v>-63869083.924299963</v>
      </c>
      <c r="N4" s="425">
        <f t="shared" ca="1" si="2"/>
        <v>-3700692.1631067367</v>
      </c>
      <c r="O4" s="425">
        <f t="shared" ca="1" si="2"/>
        <v>-1377480.9983999999</v>
      </c>
      <c r="P4" s="425">
        <f t="shared" ca="1" si="2"/>
        <v>-3864876.7884</v>
      </c>
      <c r="Q4" s="425">
        <f t="shared" ca="1" si="2"/>
        <v>-16141725.328014184</v>
      </c>
      <c r="R4" s="425">
        <f t="shared" ca="1" si="2"/>
        <v>-22151340.865791269</v>
      </c>
      <c r="S4" s="425">
        <f t="shared" ca="1" si="2"/>
        <v>-42507817.973916478</v>
      </c>
      <c r="T4" s="425">
        <f t="shared" ca="1" si="2"/>
        <v>-49670707.033194721</v>
      </c>
      <c r="U4" s="425">
        <f t="shared" ca="1" si="2"/>
        <v>-5881720.6131328912</v>
      </c>
      <c r="V4" s="425">
        <f t="shared" ca="1" si="2"/>
        <v>232076080.08497328</v>
      </c>
      <c r="W4" s="425">
        <f t="shared" ca="1" si="2"/>
        <v>-1098417.2539572627</v>
      </c>
      <c r="X4" s="425">
        <f t="shared" ca="1" si="2"/>
        <v>-2756681.1139572631</v>
      </c>
      <c r="Y4" s="425">
        <f t="shared" ca="1" si="2"/>
        <v>-12469168.909807824</v>
      </c>
      <c r="Z4" s="425">
        <f t="shared" ca="1" si="2"/>
        <v>-14676659.082884585</v>
      </c>
      <c r="AA4" s="425">
        <f t="shared" ca="1" si="2"/>
        <v>-13347897.866340987</v>
      </c>
      <c r="AB4" s="425">
        <f t="shared" ca="1" si="2"/>
        <v>-51123913.657417081</v>
      </c>
      <c r="AC4" s="425">
        <f t="shared" ca="1" si="2"/>
        <v>-52389432.256667815</v>
      </c>
      <c r="AD4" s="425">
        <f t="shared" ca="1" si="2"/>
        <v>-11817200.72387469</v>
      </c>
      <c r="AE4" s="425">
        <f t="shared" ca="1" si="2"/>
        <v>246499.74650817551</v>
      </c>
      <c r="AF4" s="425">
        <f t="shared" ca="1" si="2"/>
        <v>-2729936.4184510401</v>
      </c>
      <c r="AG4" s="425">
        <f t="shared" ca="1" si="2"/>
        <v>-7315303.8595602671</v>
      </c>
      <c r="AH4" s="425">
        <f t="shared" ca="1" si="2"/>
        <v>-6217957.0327136992</v>
      </c>
      <c r="AI4" s="425">
        <f t="shared" ca="1" si="2"/>
        <v>-10817078.730269047</v>
      </c>
      <c r="AJ4" s="425">
        <f t="shared" ca="1" si="2"/>
        <v>-30740534.887392335</v>
      </c>
      <c r="AK4" s="425">
        <f t="shared" ca="1" si="2"/>
        <v>-51757064.643090159</v>
      </c>
      <c r="AL4" s="425">
        <f t="shared" ca="1" si="2"/>
        <v>-13043136.579062659</v>
      </c>
      <c r="AM4" s="425">
        <f t="shared" ca="1" si="2"/>
        <v>3353944.783702868</v>
      </c>
      <c r="AN4" s="425">
        <f t="shared" ca="1" si="2"/>
        <v>3300993.3787161899</v>
      </c>
      <c r="AO4" s="425">
        <f t="shared" ca="1" si="2"/>
        <v>3300993.3787161894</v>
      </c>
      <c r="AP4" s="425">
        <f t="shared" ca="1" si="2"/>
        <v>128559826.91219537</v>
      </c>
      <c r="AQ4" s="425">
        <f t="shared" ca="1" si="2"/>
        <v>2459772.76597312</v>
      </c>
      <c r="AR4" s="425">
        <f t="shared" ca="1" si="2"/>
        <v>2726067.4391599474</v>
      </c>
      <c r="AS4" s="425">
        <f t="shared" ca="1" si="2"/>
        <v>2726067.439159947</v>
      </c>
      <c r="AT4" s="425">
        <f t="shared" ca="1" si="2"/>
        <v>17216116.398602095</v>
      </c>
      <c r="AU4" s="425">
        <f t="shared" si="2"/>
        <v>255588898.69978562</v>
      </c>
      <c r="AV4" s="425">
        <f t="shared" si="2"/>
        <v>3213917.7300777687</v>
      </c>
      <c r="AW4" s="425">
        <f t="shared" si="2"/>
        <v>3213917.7300777677</v>
      </c>
      <c r="AX4" s="425">
        <f t="shared" si="2"/>
        <v>3213917.7300777687</v>
      </c>
      <c r="AY4" s="425">
        <f t="shared" si="2"/>
        <v>2772756.765626322</v>
      </c>
      <c r="AZ4" s="425">
        <f t="shared" si="2"/>
        <v>2868043.0622728504</v>
      </c>
      <c r="BA4" s="425">
        <f t="shared" si="2"/>
        <v>2868043.0622728504</v>
      </c>
      <c r="BB4" s="425">
        <f t="shared" si="2"/>
        <v>2868043.0622728504</v>
      </c>
      <c r="BC4" s="425">
        <f t="shared" si="2"/>
        <v>120118737.82470132</v>
      </c>
      <c r="BD4" s="425">
        <f t="shared" si="2"/>
        <v>2449907.6449328032</v>
      </c>
      <c r="BE4" s="425">
        <f t="shared" si="2"/>
        <v>2449907.6449328028</v>
      </c>
      <c r="BF4" s="425">
        <f t="shared" si="2"/>
        <v>230971944.63060844</v>
      </c>
      <c r="BG4" s="425">
        <f t="shared" si="2"/>
        <v>1467891.5338887097</v>
      </c>
      <c r="BH4" s="425">
        <f t="shared" si="2"/>
        <v>1467891.5338887102</v>
      </c>
      <c r="BI4" s="425">
        <f t="shared" si="2"/>
        <v>1467891.5338887102</v>
      </c>
      <c r="BJ4" s="425">
        <f t="shared" si="2"/>
        <v>1467891.5338887097</v>
      </c>
      <c r="BK4" s="425">
        <f t="shared" si="2"/>
        <v>1670401.3663256173</v>
      </c>
      <c r="BL4" s="425">
        <f t="shared" si="2"/>
        <v>1670401.3663256171</v>
      </c>
      <c r="BM4" s="425">
        <f t="shared" si="2"/>
        <v>1670401.3663256171</v>
      </c>
      <c r="BN4" s="425">
        <f t="shared" si="2"/>
        <v>346282627.3328253</v>
      </c>
      <c r="BO4" s="425"/>
    </row>
    <row r="5" spans="1:67">
      <c r="A5" s="426" t="s">
        <v>376</v>
      </c>
      <c r="B5" s="427">
        <f ca="1">IF(B4&lt;0,0,IRR(C4:BN4))</f>
        <v>3.6062401937042798E-2</v>
      </c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428"/>
      <c r="AT5" s="428"/>
      <c r="AU5" s="428"/>
      <c r="AV5" s="428"/>
      <c r="AW5" s="428"/>
      <c r="AX5" s="428"/>
      <c r="AY5" s="428"/>
      <c r="AZ5" s="428"/>
      <c r="BA5" s="428"/>
      <c r="BB5" s="428"/>
      <c r="BC5" s="428"/>
      <c r="BD5" s="428"/>
      <c r="BE5" s="428"/>
      <c r="BF5" s="428"/>
      <c r="BG5" s="428"/>
      <c r="BH5" s="428"/>
      <c r="BI5" s="428"/>
      <c r="BJ5" s="428"/>
      <c r="BK5" s="428"/>
      <c r="BL5" s="428"/>
      <c r="BM5" s="428"/>
      <c r="BN5" s="428"/>
      <c r="BO5" s="429"/>
    </row>
    <row r="6" spans="1:67">
      <c r="A6" s="426" t="s">
        <v>377</v>
      </c>
      <c r="B6" s="430">
        <f ca="1">POWER((1+B5),4)-1</f>
        <v>0.15224187619910379</v>
      </c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  <c r="BD6" s="431"/>
      <c r="BE6" s="431"/>
      <c r="BF6" s="431"/>
      <c r="BG6" s="431"/>
      <c r="BH6" s="431"/>
      <c r="BI6" s="431"/>
      <c r="BJ6" s="431"/>
      <c r="BK6" s="431"/>
      <c r="BL6" s="431"/>
      <c r="BM6" s="431"/>
      <c r="BN6" s="431"/>
      <c r="BO6" s="432"/>
    </row>
    <row r="7" spans="1:67">
      <c r="A7" s="431"/>
      <c r="B7" s="433"/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431"/>
      <c r="AV7" s="431"/>
      <c r="AW7" s="431"/>
      <c r="AX7" s="431"/>
      <c r="AY7" s="431"/>
      <c r="AZ7" s="431"/>
      <c r="BA7" s="431"/>
      <c r="BB7" s="431"/>
      <c r="BC7" s="431"/>
      <c r="BD7" s="431"/>
      <c r="BE7" s="431"/>
      <c r="BF7" s="431"/>
      <c r="BG7" s="431"/>
      <c r="BH7" s="431"/>
      <c r="BI7" s="431"/>
      <c r="BJ7" s="431"/>
      <c r="BK7" s="431"/>
      <c r="BL7" s="431"/>
      <c r="BM7" s="431"/>
      <c r="BN7" s="431"/>
      <c r="BO7" s="432"/>
    </row>
    <row r="8" spans="1:67">
      <c r="A8" s="426" t="s">
        <v>378</v>
      </c>
      <c r="B8" s="425">
        <f ca="1">SUM(C8:BN8)</f>
        <v>926360311.56332541</v>
      </c>
      <c r="C8" s="425">
        <f>SUM(C20,C32,C44,C56)</f>
        <v>0</v>
      </c>
      <c r="D8" s="425">
        <f t="shared" ref="D8:BN8" ca="1" si="3">SUM(D20,D32,D44,D56)</f>
        <v>-1847235.9408000002</v>
      </c>
      <c r="E8" s="425">
        <f t="shared" ca="1" si="3"/>
        <v>-1847235.9408000002</v>
      </c>
      <c r="F8" s="425">
        <f t="shared" ca="1" si="3"/>
        <v>-1847235.9408000002</v>
      </c>
      <c r="G8" s="425">
        <f t="shared" ca="1" si="3"/>
        <v>-1847235.9408000002</v>
      </c>
      <c r="H8" s="425">
        <f t="shared" ca="1" si="3"/>
        <v>-3545945.2608000003</v>
      </c>
      <c r="I8" s="425">
        <f t="shared" ca="1" si="3"/>
        <v>-11055819.31239211</v>
      </c>
      <c r="J8" s="425">
        <f t="shared" ca="1" si="3"/>
        <v>-9876075.6022277474</v>
      </c>
      <c r="K8" s="425">
        <f t="shared" ca="1" si="3"/>
        <v>-20763728.573764145</v>
      </c>
      <c r="L8" s="425">
        <f t="shared" ca="1" si="3"/>
        <v>-46447164.840094745</v>
      </c>
      <c r="M8" s="425">
        <f t="shared" ca="1" si="3"/>
        <v>-76917828.10063298</v>
      </c>
      <c r="N8" s="425">
        <f t="shared" ca="1" si="3"/>
        <v>-101171451.15511745</v>
      </c>
      <c r="O8" s="425">
        <f t="shared" ca="1" si="3"/>
        <v>-100273489.23945081</v>
      </c>
      <c r="P8" s="425">
        <f t="shared" ca="1" si="3"/>
        <v>-78190261.974966258</v>
      </c>
      <c r="Q8" s="425">
        <f t="shared" ca="1" si="3"/>
        <v>-58813447.254042283</v>
      </c>
      <c r="R8" s="425">
        <f t="shared" ca="1" si="3"/>
        <v>-42017107.523888744</v>
      </c>
      <c r="S8" s="425">
        <f t="shared" ca="1" si="3"/>
        <v>-51585931.660477564</v>
      </c>
      <c r="T8" s="425">
        <f t="shared" ca="1" si="3"/>
        <v>-70503084.620498985</v>
      </c>
      <c r="U8" s="425">
        <f t="shared" ca="1" si="3"/>
        <v>-74930998.484951556</v>
      </c>
      <c r="V8" s="425">
        <f t="shared" ca="1" si="3"/>
        <v>466104693.96422648</v>
      </c>
      <c r="W8" s="425">
        <f t="shared" ca="1" si="3"/>
        <v>-41225551.250249833</v>
      </c>
      <c r="X8" s="425">
        <f t="shared" ca="1" si="3"/>
        <v>-26732670.067124583</v>
      </c>
      <c r="Y8" s="425">
        <f t="shared" ca="1" si="3"/>
        <v>-26991839.829198077</v>
      </c>
      <c r="Z8" s="425">
        <f t="shared" ca="1" si="3"/>
        <v>-20998690.919867322</v>
      </c>
      <c r="AA8" s="425">
        <f t="shared" ca="1" si="3"/>
        <v>-31762512.441500943</v>
      </c>
      <c r="AB8" s="425">
        <f t="shared" ca="1" si="3"/>
        <v>-47094788.836686827</v>
      </c>
      <c r="AC8" s="425">
        <f t="shared" ca="1" si="3"/>
        <v>-67207082.023117647</v>
      </c>
      <c r="AD8" s="425">
        <f t="shared" ca="1" si="3"/>
        <v>-73698620.435934216</v>
      </c>
      <c r="AE8" s="425">
        <f t="shared" ca="1" si="3"/>
        <v>-62781379.933145784</v>
      </c>
      <c r="AF8" s="425">
        <f t="shared" ca="1" si="3"/>
        <v>-46436302.490334682</v>
      </c>
      <c r="AG8" s="425">
        <f t="shared" ca="1" si="3"/>
        <v>-31258841.229314394</v>
      </c>
      <c r="AH8" s="425">
        <f t="shared" ca="1" si="3"/>
        <v>-15519777.61247375</v>
      </c>
      <c r="AI8" s="425">
        <f t="shared" ca="1" si="3"/>
        <v>-15894841.07035028</v>
      </c>
      <c r="AJ8" s="425">
        <f t="shared" ca="1" si="3"/>
        <v>-27709629.350816105</v>
      </c>
      <c r="AK8" s="425">
        <f t="shared" ca="1" si="3"/>
        <v>-51977343.979213752</v>
      </c>
      <c r="AL8" s="425">
        <f t="shared" ca="1" si="3"/>
        <v>-68898863.205724195</v>
      </c>
      <c r="AM8" s="425">
        <f t="shared" ca="1" si="3"/>
        <v>-61648166.118958183</v>
      </c>
      <c r="AN8" s="425">
        <f t="shared" ca="1" si="3"/>
        <v>-43136962.045253076</v>
      </c>
      <c r="AO8" s="425">
        <f t="shared" ca="1" si="3"/>
        <v>-19619784.206211664</v>
      </c>
      <c r="AP8" s="425">
        <f t="shared" ca="1" si="3"/>
        <v>184369958.50806931</v>
      </c>
      <c r="AQ8" s="425">
        <f t="shared" ca="1" si="3"/>
        <v>-987857.21179831214</v>
      </c>
      <c r="AR8" s="425">
        <f t="shared" ca="1" si="3"/>
        <v>1832966.3645419553</v>
      </c>
      <c r="AS8" s="425">
        <f t="shared" ca="1" si="3"/>
        <v>1520683.0797511768</v>
      </c>
      <c r="AT8" s="425">
        <f t="shared" ca="1" si="3"/>
        <v>6887381.9214845095</v>
      </c>
      <c r="AU8" s="425">
        <f t="shared" si="3"/>
        <v>456613796.19982207</v>
      </c>
      <c r="AV8" s="425">
        <f t="shared" si="3"/>
        <v>11441755.661735689</v>
      </c>
      <c r="AW8" s="425">
        <f t="shared" si="3"/>
        <v>11441755.661735689</v>
      </c>
      <c r="AX8" s="425">
        <f t="shared" si="3"/>
        <v>11441755.661735689</v>
      </c>
      <c r="AY8" s="425">
        <f t="shared" si="3"/>
        <v>11760652.598404029</v>
      </c>
      <c r="AZ8" s="425">
        <f t="shared" si="3"/>
        <v>11855938.895050557</v>
      </c>
      <c r="BA8" s="425">
        <f t="shared" si="3"/>
        <v>11855938.895050557</v>
      </c>
      <c r="BB8" s="425">
        <f t="shared" si="3"/>
        <v>11855938.895050557</v>
      </c>
      <c r="BC8" s="425">
        <f t="shared" si="3"/>
        <v>222318986.35227808</v>
      </c>
      <c r="BD8" s="425">
        <f t="shared" si="3"/>
        <v>9708751.5949681476</v>
      </c>
      <c r="BE8" s="425">
        <f t="shared" si="3"/>
        <v>9708751.5949681476</v>
      </c>
      <c r="BF8" s="425">
        <f t="shared" si="3"/>
        <v>400527582.4527325</v>
      </c>
      <c r="BG8" s="425">
        <f t="shared" si="3"/>
        <v>5716194.8324461933</v>
      </c>
      <c r="BH8" s="425">
        <f t="shared" si="3"/>
        <v>5716194.8324461933</v>
      </c>
      <c r="BI8" s="425">
        <f t="shared" si="3"/>
        <v>5716194.8324461933</v>
      </c>
      <c r="BJ8" s="425">
        <f t="shared" si="3"/>
        <v>5716194.8324461933</v>
      </c>
      <c r="BK8" s="425">
        <f t="shared" si="3"/>
        <v>5918704.6648831014</v>
      </c>
      <c r="BL8" s="425">
        <f t="shared" si="3"/>
        <v>5918704.6648831014</v>
      </c>
      <c r="BM8" s="425">
        <f t="shared" si="3"/>
        <v>5918704.6648831014</v>
      </c>
      <c r="BN8" s="425">
        <f t="shared" si="3"/>
        <v>579554911.56106508</v>
      </c>
      <c r="BO8" s="426"/>
    </row>
    <row r="9" spans="1:67">
      <c r="A9" s="426" t="s">
        <v>379</v>
      </c>
      <c r="B9" s="427">
        <f ca="1">IF(B8&lt;0,0,IRR(C8:BN8))</f>
        <v>2.0294098346563372E-2</v>
      </c>
      <c r="C9" s="434"/>
      <c r="D9" s="431"/>
      <c r="E9" s="431"/>
      <c r="F9" s="431"/>
      <c r="G9" s="431"/>
      <c r="H9" s="431"/>
      <c r="I9" s="431"/>
      <c r="J9" s="431"/>
      <c r="K9" s="431"/>
      <c r="L9" s="431"/>
      <c r="M9" s="434"/>
      <c r="N9" s="431"/>
      <c r="O9" s="431"/>
      <c r="P9" s="431"/>
      <c r="Q9" s="431"/>
      <c r="R9" s="431"/>
      <c r="S9" s="434"/>
      <c r="T9" s="431"/>
      <c r="U9" s="431"/>
      <c r="V9" s="431"/>
      <c r="W9" s="431"/>
      <c r="X9" s="431"/>
      <c r="Y9" s="431"/>
      <c r="Z9" s="431"/>
      <c r="AA9" s="431"/>
      <c r="AB9" s="431"/>
      <c r="AC9" s="431"/>
      <c r="AD9" s="431"/>
      <c r="AE9" s="431"/>
      <c r="AF9" s="431"/>
      <c r="AG9" s="431"/>
      <c r="AH9" s="431"/>
      <c r="AI9" s="431"/>
      <c r="AJ9" s="431"/>
      <c r="AK9" s="431"/>
      <c r="AL9" s="431"/>
      <c r="AM9" s="431"/>
      <c r="AN9" s="431"/>
      <c r="AO9" s="431"/>
      <c r="AP9" s="431"/>
      <c r="AQ9" s="431"/>
      <c r="AR9" s="431"/>
      <c r="AS9" s="431"/>
      <c r="AT9" s="431"/>
      <c r="AU9" s="431"/>
      <c r="AV9" s="431"/>
      <c r="AW9" s="431"/>
      <c r="AX9" s="431"/>
      <c r="AY9" s="431"/>
      <c r="AZ9" s="431"/>
      <c r="BA9" s="431"/>
      <c r="BB9" s="431"/>
      <c r="BC9" s="431"/>
      <c r="BD9" s="431"/>
      <c r="BE9" s="431"/>
      <c r="BF9" s="431"/>
      <c r="BG9" s="431"/>
      <c r="BH9" s="431"/>
      <c r="BI9" s="431"/>
      <c r="BJ9" s="431"/>
      <c r="BK9" s="431"/>
      <c r="BL9" s="431"/>
      <c r="BM9" s="431"/>
      <c r="BN9" s="431"/>
      <c r="BO9" s="426"/>
    </row>
    <row r="10" spans="1:67">
      <c r="A10" s="426" t="s">
        <v>380</v>
      </c>
      <c r="B10" s="430">
        <f ca="1">POWER((1+B9),4)-1</f>
        <v>8.3681098105563345E-2</v>
      </c>
      <c r="C10" s="431"/>
      <c r="D10" s="431"/>
      <c r="E10" s="431"/>
      <c r="F10" s="431"/>
      <c r="G10" s="431"/>
      <c r="H10" s="431"/>
      <c r="I10" s="431"/>
      <c r="J10" s="431"/>
      <c r="K10" s="431"/>
      <c r="L10" s="431"/>
      <c r="M10" s="434"/>
      <c r="N10" s="431"/>
      <c r="O10" s="431"/>
      <c r="P10" s="431"/>
      <c r="Q10" s="431"/>
      <c r="R10" s="431"/>
      <c r="S10" s="434"/>
      <c r="T10" s="431"/>
      <c r="U10" s="431"/>
      <c r="V10" s="431"/>
      <c r="W10" s="431"/>
      <c r="X10" s="431"/>
      <c r="Y10" s="431"/>
      <c r="Z10" s="431"/>
      <c r="AA10" s="431"/>
      <c r="AB10" s="431"/>
      <c r="AC10" s="431"/>
      <c r="AD10" s="431"/>
      <c r="AE10" s="431"/>
      <c r="AF10" s="431"/>
      <c r="AG10" s="431"/>
      <c r="AH10" s="431"/>
      <c r="AI10" s="431"/>
      <c r="AJ10" s="431"/>
      <c r="AK10" s="431"/>
      <c r="AL10" s="431"/>
      <c r="AM10" s="431"/>
      <c r="AN10" s="431"/>
      <c r="AO10" s="431"/>
      <c r="AP10" s="431"/>
      <c r="AQ10" s="431"/>
      <c r="AR10" s="431"/>
      <c r="AS10" s="431"/>
      <c r="AT10" s="431"/>
      <c r="AU10" s="431"/>
      <c r="AV10" s="431"/>
      <c r="AW10" s="431"/>
      <c r="AX10" s="431"/>
      <c r="AY10" s="431"/>
      <c r="AZ10" s="431"/>
      <c r="BA10" s="431"/>
      <c r="BB10" s="431"/>
      <c r="BC10" s="431"/>
      <c r="BD10" s="431"/>
      <c r="BE10" s="431"/>
      <c r="BF10" s="431"/>
      <c r="BG10" s="431"/>
      <c r="BH10" s="431"/>
      <c r="BI10" s="431"/>
      <c r="BJ10" s="431"/>
      <c r="BK10" s="431"/>
      <c r="BL10" s="431"/>
      <c r="BM10" s="431"/>
      <c r="BN10" s="431"/>
      <c r="BO10" s="426"/>
    </row>
    <row r="11" spans="1:67">
      <c r="B11" s="187"/>
      <c r="G11" s="5"/>
      <c r="AB11" s="5"/>
      <c r="AE11" s="5"/>
    </row>
    <row r="12" spans="1:67">
      <c r="A12" s="118" t="s">
        <v>161</v>
      </c>
      <c r="G12" s="5"/>
      <c r="AB12" s="5"/>
      <c r="AE12" s="5"/>
    </row>
    <row r="13" spans="1:67">
      <c r="A13" s="1069" t="s">
        <v>372</v>
      </c>
      <c r="G13" s="5"/>
      <c r="AB13"/>
      <c r="AC13"/>
      <c r="AD13"/>
      <c r="AE13"/>
    </row>
    <row r="14" spans="1:67">
      <c r="A14" s="1069"/>
      <c r="G14" s="5"/>
      <c r="AB14"/>
      <c r="AC14"/>
      <c r="AD14"/>
      <c r="AE14"/>
      <c r="BO14" s="26" t="s">
        <v>373</v>
      </c>
    </row>
    <row r="15" spans="1:67" ht="15" thickBot="1">
      <c r="A15" s="1070"/>
      <c r="B15" s="421" t="s">
        <v>374</v>
      </c>
      <c r="C15" s="422">
        <v>46022</v>
      </c>
      <c r="D15" s="423">
        <f t="shared" ref="D15:AT15" si="4">EOMONTH(C15,3)</f>
        <v>46112</v>
      </c>
      <c r="E15" s="423">
        <f t="shared" si="4"/>
        <v>46203</v>
      </c>
      <c r="F15" s="423">
        <f t="shared" si="4"/>
        <v>46295</v>
      </c>
      <c r="G15" s="423">
        <f t="shared" si="4"/>
        <v>46387</v>
      </c>
      <c r="H15" s="423">
        <f t="shared" si="4"/>
        <v>46477</v>
      </c>
      <c r="I15" s="423">
        <f t="shared" si="4"/>
        <v>46568</v>
      </c>
      <c r="J15" s="423">
        <f t="shared" si="4"/>
        <v>46660</v>
      </c>
      <c r="K15" s="423">
        <f t="shared" si="4"/>
        <v>46752</v>
      </c>
      <c r="L15" s="423">
        <f t="shared" si="4"/>
        <v>46843</v>
      </c>
      <c r="M15" s="423">
        <f t="shared" si="4"/>
        <v>46934</v>
      </c>
      <c r="N15" s="423">
        <f t="shared" si="4"/>
        <v>47026</v>
      </c>
      <c r="O15" s="423">
        <f t="shared" si="4"/>
        <v>47118</v>
      </c>
      <c r="P15" s="423">
        <f t="shared" si="4"/>
        <v>47208</v>
      </c>
      <c r="Q15" s="423">
        <f t="shared" si="4"/>
        <v>47299</v>
      </c>
      <c r="R15" s="423">
        <f t="shared" si="4"/>
        <v>47391</v>
      </c>
      <c r="S15" s="423">
        <f t="shared" si="4"/>
        <v>47483</v>
      </c>
      <c r="T15" s="423">
        <f t="shared" si="4"/>
        <v>47573</v>
      </c>
      <c r="U15" s="423">
        <f t="shared" si="4"/>
        <v>47664</v>
      </c>
      <c r="V15" s="423">
        <f t="shared" si="4"/>
        <v>47756</v>
      </c>
      <c r="W15" s="423">
        <f t="shared" si="4"/>
        <v>47848</v>
      </c>
      <c r="X15" s="423">
        <f t="shared" si="4"/>
        <v>47938</v>
      </c>
      <c r="Y15" s="423">
        <f t="shared" si="4"/>
        <v>48029</v>
      </c>
      <c r="Z15" s="423">
        <f t="shared" si="4"/>
        <v>48121</v>
      </c>
      <c r="AA15" s="423">
        <f t="shared" si="4"/>
        <v>48213</v>
      </c>
      <c r="AB15" s="423">
        <f t="shared" si="4"/>
        <v>48304</v>
      </c>
      <c r="AC15" s="423">
        <f t="shared" si="4"/>
        <v>48395</v>
      </c>
      <c r="AD15" s="423">
        <f t="shared" si="4"/>
        <v>48487</v>
      </c>
      <c r="AE15" s="423">
        <f t="shared" si="4"/>
        <v>48579</v>
      </c>
      <c r="AF15" s="423">
        <f t="shared" si="4"/>
        <v>48669</v>
      </c>
      <c r="AG15" s="423">
        <f t="shared" si="4"/>
        <v>48760</v>
      </c>
      <c r="AH15" s="423">
        <f t="shared" si="4"/>
        <v>48852</v>
      </c>
      <c r="AI15" s="423">
        <f t="shared" si="4"/>
        <v>48944</v>
      </c>
      <c r="AJ15" s="423">
        <f t="shared" si="4"/>
        <v>49034</v>
      </c>
      <c r="AK15" s="423">
        <f t="shared" si="4"/>
        <v>49125</v>
      </c>
      <c r="AL15" s="423">
        <f t="shared" si="4"/>
        <v>49217</v>
      </c>
      <c r="AM15" s="423">
        <f t="shared" si="4"/>
        <v>49309</v>
      </c>
      <c r="AN15" s="423">
        <f t="shared" si="4"/>
        <v>49399</v>
      </c>
      <c r="AO15" s="423">
        <f t="shared" si="4"/>
        <v>49490</v>
      </c>
      <c r="AP15" s="423">
        <f t="shared" si="4"/>
        <v>49582</v>
      </c>
      <c r="AQ15" s="423">
        <f t="shared" si="4"/>
        <v>49674</v>
      </c>
      <c r="AR15" s="423">
        <f t="shared" si="4"/>
        <v>49765</v>
      </c>
      <c r="AS15" s="423">
        <f t="shared" si="4"/>
        <v>49856</v>
      </c>
      <c r="AT15" s="423">
        <f t="shared" si="4"/>
        <v>49948</v>
      </c>
      <c r="AU15" s="423">
        <v>50040</v>
      </c>
      <c r="AV15" s="423">
        <f t="shared" ref="AV15:BN15" si="5">EOMONTH(AU15,3)</f>
        <v>50130</v>
      </c>
      <c r="AW15" s="423">
        <f t="shared" si="5"/>
        <v>50221</v>
      </c>
      <c r="AX15" s="423">
        <f t="shared" si="5"/>
        <v>50313</v>
      </c>
      <c r="AY15" s="423">
        <f t="shared" si="5"/>
        <v>50405</v>
      </c>
      <c r="AZ15" s="423">
        <f t="shared" si="5"/>
        <v>50495</v>
      </c>
      <c r="BA15" s="423">
        <f t="shared" si="5"/>
        <v>50586</v>
      </c>
      <c r="BB15" s="423">
        <f t="shared" si="5"/>
        <v>50678</v>
      </c>
      <c r="BC15" s="423">
        <f t="shared" si="5"/>
        <v>50770</v>
      </c>
      <c r="BD15" s="423">
        <f t="shared" si="5"/>
        <v>50860</v>
      </c>
      <c r="BE15" s="423">
        <f t="shared" si="5"/>
        <v>50951</v>
      </c>
      <c r="BF15" s="423">
        <f t="shared" si="5"/>
        <v>51043</v>
      </c>
      <c r="BG15" s="423">
        <f t="shared" si="5"/>
        <v>51135</v>
      </c>
      <c r="BH15" s="423">
        <f t="shared" si="5"/>
        <v>51226</v>
      </c>
      <c r="BI15" s="423">
        <f t="shared" si="5"/>
        <v>51317</v>
      </c>
      <c r="BJ15" s="423">
        <f t="shared" si="5"/>
        <v>51409</v>
      </c>
      <c r="BK15" s="423">
        <f t="shared" si="5"/>
        <v>51501</v>
      </c>
      <c r="BL15" s="423">
        <f t="shared" si="5"/>
        <v>51591</v>
      </c>
      <c r="BM15" s="423">
        <f t="shared" si="5"/>
        <v>51682</v>
      </c>
      <c r="BN15" s="423">
        <f t="shared" si="5"/>
        <v>51774</v>
      </c>
      <c r="BO15" s="424"/>
    </row>
    <row r="16" spans="1:67">
      <c r="A16" s="207" t="s">
        <v>375</v>
      </c>
      <c r="B16" s="425">
        <f ca="1">SUM(C16:AP16)</f>
        <v>204364808.42818129</v>
      </c>
      <c r="C16" s="435">
        <f>'1-A DRAW'!E56+'1-B DRAW'!E57</f>
        <v>0</v>
      </c>
      <c r="D16" s="435">
        <f ca="1">'1-A DRAW'!F56+'1-B DRAW'!F57</f>
        <v>-1847235.9408000002</v>
      </c>
      <c r="E16" s="435">
        <f ca="1">'1-A DRAW'!G56+'1-B DRAW'!G57</f>
        <v>-1847235.9408000002</v>
      </c>
      <c r="F16" s="435">
        <f ca="1">'1-A DRAW'!H56+'1-B DRAW'!H57</f>
        <v>-1847235.9408000002</v>
      </c>
      <c r="G16" s="435">
        <f ca="1">'1-A DRAW'!I56+'1-B DRAW'!I57</f>
        <v>-1847235.9408000002</v>
      </c>
      <c r="H16" s="435">
        <f ca="1">'1-A DRAW'!J56+'1-B DRAW'!J57</f>
        <v>-3545945.2608000003</v>
      </c>
      <c r="I16" s="435">
        <f ca="1">'1-A DRAW'!K56+'1-B DRAW'!K57</f>
        <v>-11055819.31239211</v>
      </c>
      <c r="J16" s="435">
        <f ca="1">'1-A DRAW'!L56+'1-B DRAW'!L57</f>
        <v>-9876075.6022277474</v>
      </c>
      <c r="K16" s="435">
        <f ca="1">'1-A DRAW'!M56+'1-B DRAW'!M57</f>
        <v>-20763728.573764145</v>
      </c>
      <c r="L16" s="435">
        <f ca="1">'1-A DRAW'!N56+'1-B DRAW'!N57</f>
        <v>-45069683.841694742</v>
      </c>
      <c r="M16" s="435">
        <f ca="1">'1-A DRAW'!O56+'1-B DRAW'!O57</f>
        <v>-62491602.92589996</v>
      </c>
      <c r="N16" s="435">
        <f ca="1">'1-A DRAW'!P56+'1-B DRAW'!P57</f>
        <v>-2323211.1647067368</v>
      </c>
      <c r="O16" s="435">
        <f ca="1">'1-A DRAW'!Q56+'1-B DRAW'!Q57</f>
        <v>0</v>
      </c>
      <c r="P16" s="435">
        <f ca="1">'1-A DRAW'!R56+'1-B DRAW'!R57</f>
        <v>0</v>
      </c>
      <c r="Q16" s="435">
        <f ca="1">'1-A DRAW'!S56+'1-B DRAW'!S57</f>
        <v>0</v>
      </c>
      <c r="R16" s="435">
        <f ca="1">'1-A DRAW'!T56+'1-B DRAW'!T57</f>
        <v>0</v>
      </c>
      <c r="S16" s="435">
        <f ca="1">'1-A DRAW'!U56+'1-B DRAW'!U57</f>
        <v>0</v>
      </c>
      <c r="T16" s="435">
        <f ca="1">'1-A DRAW'!V56+'1-B DRAW'!V57</f>
        <v>0</v>
      </c>
      <c r="U16" s="435">
        <f ca="1">'1-A DRAW'!W56+'1-B DRAW'!W57</f>
        <v>0</v>
      </c>
      <c r="V16" s="435">
        <f ca="1">'1-A DRAW'!X56+'1-B DRAW'!X57</f>
        <v>233664580.19297329</v>
      </c>
      <c r="W16" s="435">
        <f>'1-A DRAW'!Y56+'1-B DRAW'!Y57</f>
        <v>490082.85404273728</v>
      </c>
      <c r="X16" s="435">
        <f>'1-A DRAW'!Z56+'1-B DRAW'!Z57</f>
        <v>490082.85404273728</v>
      </c>
      <c r="Y16" s="435">
        <f>'1-A DRAW'!AA56+'1-B DRAW'!AA57</f>
        <v>490082.85404273728</v>
      </c>
      <c r="Z16" s="435">
        <f>'1-A DRAW'!AB56+'1-B DRAW'!AB57</f>
        <v>490082.85404273728</v>
      </c>
      <c r="AA16" s="435">
        <f>'1-A DRAW'!AC56+'1-B DRAW'!AC57</f>
        <v>320052.80964390887</v>
      </c>
      <c r="AB16" s="435">
        <f>'1-A DRAW'!AD56+'1-B DRAW'!AD57</f>
        <v>320052.80964390887</v>
      </c>
      <c r="AC16" s="435">
        <f>'1-A DRAW'!AE56+'1-B DRAW'!AE57</f>
        <v>320052.80964390887</v>
      </c>
      <c r="AD16" s="435">
        <f>'1-A DRAW'!AF56+'1-B DRAW'!AF57</f>
        <v>320052.8096439091</v>
      </c>
      <c r="AE16" s="435">
        <f>'1-A DRAW'!AG56+'1-B DRAW'!AG57</f>
        <v>355931.76407379983</v>
      </c>
      <c r="AF16" s="435">
        <f>'1-A DRAW'!AH56+'1-B DRAW'!AH57</f>
        <v>355931.76407379983</v>
      </c>
      <c r="AG16" s="435">
        <f>'1-A DRAW'!AI56+'1-B DRAW'!AI57</f>
        <v>355931.7640737996</v>
      </c>
      <c r="AH16" s="435">
        <f>'1-A DRAW'!AJ56+'1-B DRAW'!AJ57</f>
        <v>355931.7640737996</v>
      </c>
      <c r="AI16" s="435">
        <f>'1-A DRAW'!AK56+'1-B DRAW'!AK57</f>
        <v>392688.7139885386</v>
      </c>
      <c r="AJ16" s="435">
        <f>'1-A DRAW'!AL56+'1-B DRAW'!AL57</f>
        <v>392688.7139885386</v>
      </c>
      <c r="AK16" s="435">
        <f>'1-A DRAW'!AM56+'1-B DRAW'!AM57</f>
        <v>392688.7139885386</v>
      </c>
      <c r="AL16" s="435">
        <f>'1-A DRAW'!AN56+'1-B DRAW'!AN57</f>
        <v>392688.71398853883</v>
      </c>
      <c r="AM16" s="435">
        <f>'1-A DRAW'!AO56+'1-B DRAW'!AO57</f>
        <v>430345.14485457004</v>
      </c>
      <c r="AN16" s="435">
        <f>'1-A DRAW'!AP56+'1-B DRAW'!AP57</f>
        <v>430345.14485457004</v>
      </c>
      <c r="AO16" s="435">
        <f>'1-A DRAW'!AQ56+'1-B DRAW'!AQ57</f>
        <v>430345.14485457004</v>
      </c>
      <c r="AP16" s="435">
        <f>'1-A DRAW'!AR56+'1-B DRAW'!AR57</f>
        <v>125689178.67833374</v>
      </c>
      <c r="AQ16" s="435"/>
      <c r="AR16" s="435"/>
      <c r="AS16" s="435"/>
      <c r="AT16" s="435"/>
      <c r="AU16" s="435"/>
      <c r="AV16" s="435"/>
      <c r="AW16" s="435"/>
      <c r="AX16" s="435"/>
      <c r="AY16" s="435"/>
      <c r="AZ16" s="435"/>
      <c r="BA16" s="435"/>
      <c r="BB16" s="435"/>
      <c r="BC16" s="435"/>
      <c r="BD16" s="435"/>
      <c r="BE16" s="435"/>
      <c r="BF16" s="435"/>
      <c r="BG16" s="435"/>
      <c r="BH16" s="435"/>
      <c r="BI16" s="435"/>
      <c r="BJ16" s="435"/>
      <c r="BK16" s="435"/>
      <c r="BL16" s="435"/>
      <c r="BM16" s="435"/>
      <c r="BN16" s="435"/>
      <c r="BO16" s="425"/>
    </row>
    <row r="17" spans="1:67">
      <c r="A17" s="426" t="s">
        <v>376</v>
      </c>
      <c r="B17" s="427">
        <f ca="1">IF(B16&lt;0,0,IRR(C16:AU16))</f>
        <v>5.3894735497794999E-2</v>
      </c>
      <c r="C17" s="428"/>
      <c r="D17" s="428"/>
      <c r="E17" s="428"/>
      <c r="F17" s="428"/>
      <c r="G17" s="428"/>
      <c r="H17" s="428"/>
      <c r="I17" s="428"/>
      <c r="J17" s="428"/>
      <c r="K17" s="428"/>
      <c r="L17" s="428"/>
      <c r="M17" s="428"/>
      <c r="N17" s="428"/>
      <c r="O17" s="428"/>
      <c r="P17" s="428"/>
      <c r="Q17" s="428"/>
      <c r="R17" s="428"/>
      <c r="S17" s="428"/>
      <c r="T17" s="428"/>
      <c r="U17" s="428"/>
      <c r="V17" s="428"/>
      <c r="W17" s="428"/>
      <c r="X17" s="428"/>
      <c r="Y17" s="428"/>
      <c r="Z17" s="428"/>
      <c r="AA17" s="428"/>
      <c r="AB17" s="428"/>
      <c r="AC17" s="428"/>
      <c r="AD17" s="428"/>
      <c r="AE17" s="428"/>
      <c r="AF17" s="428"/>
      <c r="AG17" s="428"/>
      <c r="AH17" s="428"/>
      <c r="AI17" s="428"/>
      <c r="AJ17" s="428"/>
      <c r="AK17" s="428"/>
      <c r="AL17" s="428"/>
      <c r="AM17" s="428"/>
      <c r="AN17" s="428"/>
      <c r="AO17" s="428"/>
      <c r="AP17" s="428"/>
      <c r="AQ17" s="428"/>
      <c r="AR17" s="428"/>
      <c r="AS17" s="428"/>
      <c r="AT17" s="428"/>
      <c r="AU17" s="428"/>
      <c r="AV17" s="428"/>
      <c r="AW17" s="428"/>
      <c r="AX17" s="428"/>
      <c r="AY17" s="428"/>
      <c r="AZ17" s="428"/>
      <c r="BA17" s="428"/>
      <c r="BB17" s="428"/>
      <c r="BC17" s="428"/>
      <c r="BD17" s="428"/>
      <c r="BE17" s="428"/>
      <c r="BF17" s="428"/>
      <c r="BG17" s="428"/>
      <c r="BH17" s="428"/>
      <c r="BI17" s="428"/>
      <c r="BJ17" s="428"/>
      <c r="BK17" s="428"/>
      <c r="BL17" s="428"/>
      <c r="BM17" s="428"/>
      <c r="BN17" s="428"/>
      <c r="BO17" s="429"/>
    </row>
    <row r="18" spans="1:67">
      <c r="A18" s="426" t="s">
        <v>377</v>
      </c>
      <c r="B18" s="430">
        <f ca="1">POWER((1+B17),4)-1</f>
        <v>0.23364141378569214</v>
      </c>
      <c r="C18" s="431"/>
      <c r="D18" s="431"/>
      <c r="E18" s="431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31"/>
      <c r="AC18" s="431"/>
      <c r="AD18" s="431"/>
      <c r="AE18" s="431"/>
      <c r="AF18" s="431"/>
      <c r="AG18" s="431"/>
      <c r="AH18" s="431"/>
      <c r="AI18" s="431"/>
      <c r="AJ18" s="431"/>
      <c r="AK18" s="431"/>
      <c r="AL18" s="431"/>
      <c r="AM18" s="431"/>
      <c r="AN18" s="431"/>
      <c r="AO18" s="431"/>
      <c r="AP18" s="431"/>
      <c r="AQ18" s="431"/>
      <c r="AR18" s="431"/>
      <c r="AS18" s="431"/>
      <c r="AT18" s="431"/>
      <c r="AU18" s="431"/>
      <c r="AV18" s="431"/>
      <c r="AW18" s="431"/>
      <c r="AX18" s="431"/>
      <c r="AY18" s="431"/>
      <c r="AZ18" s="431"/>
      <c r="BA18" s="431"/>
      <c r="BB18" s="431"/>
      <c r="BC18" s="431"/>
      <c r="BD18" s="431"/>
      <c r="BE18" s="431"/>
      <c r="BF18" s="431"/>
      <c r="BG18" s="431"/>
      <c r="BH18" s="431"/>
      <c r="BI18" s="431"/>
      <c r="BJ18" s="431"/>
      <c r="BK18" s="431"/>
      <c r="BL18" s="431"/>
      <c r="BM18" s="431"/>
      <c r="BN18" s="431"/>
      <c r="BO18" s="432"/>
    </row>
    <row r="19" spans="1:67">
      <c r="A19" s="431"/>
      <c r="B19" s="433"/>
      <c r="C19" s="431"/>
      <c r="D19" s="431"/>
      <c r="E19" s="431"/>
      <c r="F19" s="431"/>
      <c r="G19" s="431"/>
      <c r="H19" s="431"/>
      <c r="I19" s="431"/>
      <c r="J19" s="431"/>
      <c r="K19" s="431"/>
      <c r="L19" s="431"/>
      <c r="M19" s="431"/>
      <c r="N19" s="431"/>
      <c r="O19" s="431"/>
      <c r="P19" s="431"/>
      <c r="Q19" s="431"/>
      <c r="R19" s="431"/>
      <c r="S19" s="431"/>
      <c r="T19" s="431"/>
      <c r="U19" s="431"/>
      <c r="V19" s="431"/>
      <c r="W19" s="431"/>
      <c r="X19" s="431"/>
      <c r="Y19" s="431"/>
      <c r="Z19" s="431"/>
      <c r="AA19" s="431"/>
      <c r="AB19" s="431"/>
      <c r="AC19" s="431"/>
      <c r="AD19" s="431"/>
      <c r="AE19" s="431"/>
      <c r="AF19" s="431"/>
      <c r="AG19" s="431"/>
      <c r="AH19" s="431"/>
      <c r="AI19" s="431"/>
      <c r="AJ19" s="431"/>
      <c r="AK19" s="431"/>
      <c r="AL19" s="431"/>
      <c r="AM19" s="431"/>
      <c r="AN19" s="431"/>
      <c r="AO19" s="431"/>
      <c r="AP19" s="431"/>
      <c r="AQ19" s="431"/>
      <c r="AR19" s="431"/>
      <c r="AS19" s="431"/>
      <c r="AT19" s="431"/>
      <c r="AU19" s="431"/>
      <c r="AV19" s="431"/>
      <c r="AW19" s="431"/>
      <c r="AX19" s="431"/>
      <c r="AY19" s="431"/>
      <c r="AZ19" s="431"/>
      <c r="BA19" s="431"/>
      <c r="BB19" s="431"/>
      <c r="BC19" s="431"/>
      <c r="BD19" s="431"/>
      <c r="BE19" s="431"/>
      <c r="BF19" s="431"/>
      <c r="BG19" s="431"/>
      <c r="BH19" s="431"/>
      <c r="BI19" s="431"/>
      <c r="BJ19" s="431"/>
      <c r="BK19" s="431"/>
      <c r="BL19" s="431"/>
      <c r="BM19" s="431"/>
      <c r="BN19" s="431"/>
      <c r="BO19" s="432"/>
    </row>
    <row r="20" spans="1:67">
      <c r="A20" s="426" t="s">
        <v>378</v>
      </c>
      <c r="B20" s="425">
        <f ca="1">SUM(C20:AU20)</f>
        <v>223115536.4859685</v>
      </c>
      <c r="C20" s="435">
        <f>'1-A DRAW'!E52+'1-B DRAW'!E53</f>
        <v>0</v>
      </c>
      <c r="D20" s="435">
        <f ca="1">'1-A DRAW'!F52+'1-B DRAW'!F53</f>
        <v>-1847235.9408000002</v>
      </c>
      <c r="E20" s="435">
        <f ca="1">'1-A DRAW'!G52+'1-B DRAW'!G53</f>
        <v>-1847235.9408000002</v>
      </c>
      <c r="F20" s="435">
        <f ca="1">'1-A DRAW'!H52+'1-B DRAW'!H53</f>
        <v>-1847235.9408000002</v>
      </c>
      <c r="G20" s="435">
        <f ca="1">'1-A DRAW'!I52+'1-B DRAW'!I53</f>
        <v>-1847235.9408000002</v>
      </c>
      <c r="H20" s="435">
        <f ca="1">'1-A DRAW'!J52+'1-B DRAW'!J53</f>
        <v>-3545945.2608000003</v>
      </c>
      <c r="I20" s="435">
        <f ca="1">'1-A DRAW'!K52+'1-B DRAW'!K53</f>
        <v>-11055819.31239211</v>
      </c>
      <c r="J20" s="435">
        <f ca="1">'1-A DRAW'!L52+'1-B DRAW'!L53</f>
        <v>-9876075.6022277474</v>
      </c>
      <c r="K20" s="435">
        <f ca="1">'1-A DRAW'!M52+'1-B DRAW'!M53</f>
        <v>-20763728.573764145</v>
      </c>
      <c r="L20" s="435">
        <f ca="1">'1-A DRAW'!N52+'1-B DRAW'!N53</f>
        <v>-45069683.841694742</v>
      </c>
      <c r="M20" s="435">
        <f ca="1">'1-A DRAW'!O52+'1-B DRAW'!O53</f>
        <v>-75540347.102232978</v>
      </c>
      <c r="N20" s="435">
        <f ca="1">'1-A DRAW'!P52+'1-B DRAW'!P53</f>
        <v>-99793970.156717449</v>
      </c>
      <c r="O20" s="435">
        <f ca="1">'1-A DRAW'!Q52+'1-B DRAW'!Q53</f>
        <v>-98896008.24105081</v>
      </c>
      <c r="P20" s="435">
        <f ca="1">'1-A DRAW'!R52+'1-B DRAW'!R53</f>
        <v>-74325385.186566263</v>
      </c>
      <c r="Q20" s="435">
        <f ca="1">'1-A DRAW'!S52+'1-B DRAW'!S53</f>
        <v>-42671721.926028095</v>
      </c>
      <c r="R20" s="435">
        <f ca="1">'1-A DRAW'!T52+'1-B DRAW'!T53</f>
        <v>-19865766.658097476</v>
      </c>
      <c r="S20" s="435">
        <f ca="1">'1-A DRAW'!U52+'1-B DRAW'!U53</f>
        <v>-9078113.6865610853</v>
      </c>
      <c r="T20" s="435">
        <f ca="1">'1-A DRAW'!V52+'1-B DRAW'!V53</f>
        <v>-5639767.5447254358</v>
      </c>
      <c r="U20" s="435">
        <f ca="1">'1-A DRAW'!W52+'1-B DRAW'!W53</f>
        <v>-1035931.96</v>
      </c>
      <c r="V20" s="435">
        <f ca="1">'1-A DRAW'!X52+'1-B DRAW'!X53</f>
        <v>530558011.04000002</v>
      </c>
      <c r="W20" s="435">
        <f>'1-A DRAW'!Y52+'1-B DRAW'!Y53</f>
        <v>1431158.013</v>
      </c>
      <c r="X20" s="435">
        <f>'1-A DRAW'!Z52+'1-B DRAW'!Z53</f>
        <v>1431158.013</v>
      </c>
      <c r="Y20" s="435">
        <f>'1-A DRAW'!AA52+'1-B DRAW'!AA53</f>
        <v>1431158.013</v>
      </c>
      <c r="Z20" s="435">
        <f>'1-A DRAW'!AB52+'1-B DRAW'!AB53</f>
        <v>1431158.013</v>
      </c>
      <c r="AA20" s="435">
        <f>'1-A DRAW'!AC52+'1-B DRAW'!AC53</f>
        <v>1466179.9441985392</v>
      </c>
      <c r="AB20" s="435">
        <f>'1-A DRAW'!AD52+'1-B DRAW'!AD53</f>
        <v>1466179.9441985392</v>
      </c>
      <c r="AC20" s="435">
        <f>'1-A DRAW'!AE52+'1-B DRAW'!AE53</f>
        <v>1466179.9441985392</v>
      </c>
      <c r="AD20" s="435">
        <f>'1-A DRAW'!AF52+'1-B DRAW'!AF53</f>
        <v>1466179.9441985392</v>
      </c>
      <c r="AE20" s="435">
        <f>'1-A DRAW'!AG52+'1-B DRAW'!AG53</f>
        <v>1502058.89862843</v>
      </c>
      <c r="AF20" s="435">
        <f>'1-A DRAW'!AH52+'1-B DRAW'!AH53</f>
        <v>1502058.89862843</v>
      </c>
      <c r="AG20" s="435">
        <f>'1-A DRAW'!AI52+'1-B DRAW'!AI53</f>
        <v>1502058.89862843</v>
      </c>
      <c r="AH20" s="435">
        <f>'1-A DRAW'!AJ52+'1-B DRAW'!AJ53</f>
        <v>1502058.89862843</v>
      </c>
      <c r="AI20" s="435">
        <f>'1-A DRAW'!AK52+'1-B DRAW'!AK53</f>
        <v>1538815.848543169</v>
      </c>
      <c r="AJ20" s="435">
        <f>'1-A DRAW'!AL52+'1-B DRAW'!AL53</f>
        <v>1538815.848543169</v>
      </c>
      <c r="AK20" s="435">
        <f>'1-A DRAW'!AM52+'1-B DRAW'!AM53</f>
        <v>1538815.848543169</v>
      </c>
      <c r="AL20" s="435">
        <f>'1-A DRAW'!AN52+'1-B DRAW'!AN53</f>
        <v>1538815.848543169</v>
      </c>
      <c r="AM20" s="435">
        <f>'1-A DRAW'!AO52+'1-B DRAW'!AO53</f>
        <v>1576472.2794092002</v>
      </c>
      <c r="AN20" s="435">
        <f>'1-A DRAW'!AP52+'1-B DRAW'!AP53</f>
        <v>1576472.2794092002</v>
      </c>
      <c r="AO20" s="435">
        <f>'1-A DRAW'!AQ52+'1-B DRAW'!AQ53</f>
        <v>1576472.2794092002</v>
      </c>
      <c r="AP20" s="435">
        <f>'1-A DRAW'!AR52+'1-B DRAW'!AR53</f>
        <v>188622466.60631856</v>
      </c>
      <c r="AQ20" s="435"/>
      <c r="AR20" s="435"/>
      <c r="AS20" s="435"/>
      <c r="AT20" s="435"/>
      <c r="AU20" s="435"/>
      <c r="AV20" s="435"/>
      <c r="AW20" s="435"/>
      <c r="AX20" s="435"/>
      <c r="AY20" s="435"/>
      <c r="AZ20" s="435"/>
      <c r="BA20" s="435"/>
      <c r="BB20" s="435"/>
      <c r="BC20" s="435"/>
      <c r="BD20" s="435"/>
      <c r="BE20" s="435"/>
      <c r="BF20" s="435"/>
      <c r="BG20" s="435"/>
      <c r="BH20" s="435"/>
      <c r="BI20" s="435"/>
      <c r="BJ20" s="435"/>
      <c r="BK20" s="435"/>
      <c r="BL20" s="435"/>
      <c r="BM20" s="435"/>
      <c r="BN20" s="435"/>
      <c r="BO20" s="426"/>
    </row>
    <row r="21" spans="1:67">
      <c r="A21" s="426" t="s">
        <v>379</v>
      </c>
      <c r="B21" s="427">
        <f ca="1">IF(B20&lt;0,0,IRR(C20:AU20))</f>
        <v>2.9338680647504667E-2</v>
      </c>
      <c r="C21" s="434"/>
      <c r="D21" s="431"/>
      <c r="E21" s="431"/>
      <c r="F21" s="431"/>
      <c r="G21" s="431"/>
      <c r="H21" s="431"/>
      <c r="I21" s="431"/>
      <c r="J21" s="431"/>
      <c r="K21" s="431"/>
      <c r="L21" s="431"/>
      <c r="M21" s="434"/>
      <c r="N21" s="431"/>
      <c r="O21" s="431"/>
      <c r="P21" s="431"/>
      <c r="Q21" s="431"/>
      <c r="R21" s="431"/>
      <c r="S21" s="434"/>
      <c r="T21" s="431"/>
      <c r="U21" s="431"/>
      <c r="V21" s="431"/>
      <c r="W21" s="431"/>
      <c r="X21" s="431"/>
      <c r="Y21" s="431"/>
      <c r="Z21" s="431"/>
      <c r="AA21" s="431"/>
      <c r="AB21" s="431"/>
      <c r="AC21" s="431"/>
      <c r="AD21" s="431"/>
      <c r="AE21" s="431"/>
      <c r="AF21" s="431"/>
      <c r="AG21" s="431"/>
      <c r="AH21" s="431"/>
      <c r="AI21" s="431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1"/>
      <c r="AX21" s="431"/>
      <c r="AY21" s="431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1"/>
      <c r="BN21" s="431"/>
      <c r="BO21" s="426"/>
    </row>
    <row r="22" spans="1:67">
      <c r="A22" s="426" t="s">
        <v>380</v>
      </c>
      <c r="B22" s="430">
        <f ca="1">POWER((1+B21),4)-1</f>
        <v>0.12262102662516616</v>
      </c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4"/>
      <c r="N22" s="431"/>
      <c r="O22" s="431"/>
      <c r="P22" s="431"/>
      <c r="Q22" s="431"/>
      <c r="R22" s="431"/>
      <c r="S22" s="434"/>
      <c r="T22" s="431"/>
      <c r="U22" s="431"/>
      <c r="V22" s="431"/>
      <c r="W22" s="431"/>
      <c r="X22" s="431"/>
      <c r="Y22" s="431"/>
      <c r="Z22" s="431"/>
      <c r="AA22" s="431"/>
      <c r="AB22" s="431"/>
      <c r="AC22" s="431"/>
      <c r="AD22" s="431"/>
      <c r="AE22" s="431"/>
      <c r="AF22" s="431"/>
      <c r="AG22" s="431"/>
      <c r="AH22" s="431"/>
      <c r="AI22" s="431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1"/>
      <c r="AX22" s="431"/>
      <c r="AY22" s="431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1"/>
      <c r="BN22" s="431"/>
      <c r="BO22" s="426"/>
    </row>
    <row r="23" spans="1:67">
      <c r="G23" s="5"/>
      <c r="AA23"/>
      <c r="AB23"/>
      <c r="AC23"/>
      <c r="AD23"/>
      <c r="AE23"/>
      <c r="AF23"/>
      <c r="AH23"/>
      <c r="AI23"/>
      <c r="AJ23"/>
    </row>
    <row r="24" spans="1:67">
      <c r="A24" s="118" t="s">
        <v>162</v>
      </c>
      <c r="G24" s="5"/>
      <c r="AB24" s="5"/>
      <c r="AE24" s="5"/>
    </row>
    <row r="25" spans="1:67">
      <c r="A25" s="1069" t="s">
        <v>372</v>
      </c>
      <c r="G25" s="5"/>
      <c r="AB25"/>
      <c r="AC25"/>
      <c r="AD25"/>
      <c r="AE25"/>
    </row>
    <row r="26" spans="1:67">
      <c r="A26" s="1069"/>
      <c r="G26" s="5"/>
      <c r="AB26"/>
      <c r="AC26"/>
      <c r="AD26"/>
      <c r="AE26"/>
      <c r="BO26" s="26" t="s">
        <v>373</v>
      </c>
    </row>
    <row r="27" spans="1:67" ht="15" thickBot="1">
      <c r="A27" s="1070"/>
      <c r="B27" s="421" t="s">
        <v>374</v>
      </c>
      <c r="C27" s="422">
        <v>46022</v>
      </c>
      <c r="D27" s="423">
        <f t="shared" ref="D27:AT27" si="6">EOMONTH(C27,3)</f>
        <v>46112</v>
      </c>
      <c r="E27" s="423">
        <f t="shared" si="6"/>
        <v>46203</v>
      </c>
      <c r="F27" s="423">
        <f t="shared" si="6"/>
        <v>46295</v>
      </c>
      <c r="G27" s="423">
        <f t="shared" si="6"/>
        <v>46387</v>
      </c>
      <c r="H27" s="423">
        <f t="shared" si="6"/>
        <v>46477</v>
      </c>
      <c r="I27" s="423">
        <f t="shared" si="6"/>
        <v>46568</v>
      </c>
      <c r="J27" s="423">
        <f t="shared" si="6"/>
        <v>46660</v>
      </c>
      <c r="K27" s="423">
        <f t="shared" si="6"/>
        <v>46752</v>
      </c>
      <c r="L27" s="423">
        <f t="shared" si="6"/>
        <v>46843</v>
      </c>
      <c r="M27" s="423">
        <f t="shared" si="6"/>
        <v>46934</v>
      </c>
      <c r="N27" s="423">
        <f t="shared" si="6"/>
        <v>47026</v>
      </c>
      <c r="O27" s="423">
        <f t="shared" si="6"/>
        <v>47118</v>
      </c>
      <c r="P27" s="423">
        <f t="shared" si="6"/>
        <v>47208</v>
      </c>
      <c r="Q27" s="423">
        <f t="shared" si="6"/>
        <v>47299</v>
      </c>
      <c r="R27" s="423">
        <f t="shared" si="6"/>
        <v>47391</v>
      </c>
      <c r="S27" s="423">
        <f t="shared" si="6"/>
        <v>47483</v>
      </c>
      <c r="T27" s="423">
        <f t="shared" si="6"/>
        <v>47573</v>
      </c>
      <c r="U27" s="423">
        <f t="shared" si="6"/>
        <v>47664</v>
      </c>
      <c r="V27" s="423">
        <f t="shared" si="6"/>
        <v>47756</v>
      </c>
      <c r="W27" s="423">
        <f t="shared" si="6"/>
        <v>47848</v>
      </c>
      <c r="X27" s="423">
        <f t="shared" si="6"/>
        <v>47938</v>
      </c>
      <c r="Y27" s="423">
        <f t="shared" si="6"/>
        <v>48029</v>
      </c>
      <c r="Z27" s="423">
        <f t="shared" si="6"/>
        <v>48121</v>
      </c>
      <c r="AA27" s="423">
        <f t="shared" si="6"/>
        <v>48213</v>
      </c>
      <c r="AB27" s="423">
        <f t="shared" si="6"/>
        <v>48304</v>
      </c>
      <c r="AC27" s="423">
        <f t="shared" si="6"/>
        <v>48395</v>
      </c>
      <c r="AD27" s="423">
        <f t="shared" si="6"/>
        <v>48487</v>
      </c>
      <c r="AE27" s="423">
        <f t="shared" si="6"/>
        <v>48579</v>
      </c>
      <c r="AF27" s="423">
        <f t="shared" si="6"/>
        <v>48669</v>
      </c>
      <c r="AG27" s="423">
        <f t="shared" si="6"/>
        <v>48760</v>
      </c>
      <c r="AH27" s="423">
        <f t="shared" si="6"/>
        <v>48852</v>
      </c>
      <c r="AI27" s="423">
        <f t="shared" si="6"/>
        <v>48944</v>
      </c>
      <c r="AJ27" s="423">
        <f t="shared" si="6"/>
        <v>49034</v>
      </c>
      <c r="AK27" s="423">
        <f t="shared" si="6"/>
        <v>49125</v>
      </c>
      <c r="AL27" s="423">
        <f t="shared" si="6"/>
        <v>49217</v>
      </c>
      <c r="AM27" s="423">
        <f t="shared" si="6"/>
        <v>49309</v>
      </c>
      <c r="AN27" s="423">
        <f t="shared" si="6"/>
        <v>49399</v>
      </c>
      <c r="AO27" s="423">
        <f t="shared" si="6"/>
        <v>49490</v>
      </c>
      <c r="AP27" s="423">
        <f t="shared" si="6"/>
        <v>49582</v>
      </c>
      <c r="AQ27" s="423">
        <f t="shared" si="6"/>
        <v>49674</v>
      </c>
      <c r="AR27" s="423">
        <f t="shared" si="6"/>
        <v>49765</v>
      </c>
      <c r="AS27" s="423">
        <f t="shared" si="6"/>
        <v>49856</v>
      </c>
      <c r="AT27" s="423">
        <f t="shared" si="6"/>
        <v>49948</v>
      </c>
      <c r="AU27" s="423">
        <v>50040</v>
      </c>
      <c r="AV27" s="423">
        <f t="shared" ref="AV27:BN27" si="7">EOMONTH(AU27,3)</f>
        <v>50130</v>
      </c>
      <c r="AW27" s="423">
        <f t="shared" si="7"/>
        <v>50221</v>
      </c>
      <c r="AX27" s="423">
        <f t="shared" si="7"/>
        <v>50313</v>
      </c>
      <c r="AY27" s="423">
        <f t="shared" si="7"/>
        <v>50405</v>
      </c>
      <c r="AZ27" s="423">
        <f t="shared" si="7"/>
        <v>50495</v>
      </c>
      <c r="BA27" s="423">
        <f t="shared" si="7"/>
        <v>50586</v>
      </c>
      <c r="BB27" s="423">
        <f t="shared" si="7"/>
        <v>50678</v>
      </c>
      <c r="BC27" s="423">
        <f t="shared" si="7"/>
        <v>50770</v>
      </c>
      <c r="BD27" s="423">
        <f t="shared" si="7"/>
        <v>50860</v>
      </c>
      <c r="BE27" s="423">
        <f t="shared" si="7"/>
        <v>50951</v>
      </c>
      <c r="BF27" s="423">
        <f t="shared" si="7"/>
        <v>51043</v>
      </c>
      <c r="BG27" s="423">
        <f t="shared" si="7"/>
        <v>51135</v>
      </c>
      <c r="BH27" s="423">
        <f t="shared" si="7"/>
        <v>51226</v>
      </c>
      <c r="BI27" s="423">
        <f t="shared" si="7"/>
        <v>51317</v>
      </c>
      <c r="BJ27" s="423">
        <f t="shared" si="7"/>
        <v>51409</v>
      </c>
      <c r="BK27" s="423">
        <f t="shared" si="7"/>
        <v>51501</v>
      </c>
      <c r="BL27" s="423">
        <f t="shared" si="7"/>
        <v>51591</v>
      </c>
      <c r="BM27" s="423">
        <f t="shared" si="7"/>
        <v>51682</v>
      </c>
      <c r="BN27" s="423">
        <f t="shared" si="7"/>
        <v>51774</v>
      </c>
      <c r="BO27" s="424"/>
    </row>
    <row r="28" spans="1:67">
      <c r="A28" s="207" t="s">
        <v>375</v>
      </c>
      <c r="B28" s="425">
        <f ca="1">SUM(L28:AU28)</f>
        <v>148226729.46909237</v>
      </c>
      <c r="C28" s="435"/>
      <c r="D28" s="435"/>
      <c r="E28" s="435"/>
      <c r="F28" s="435"/>
      <c r="G28" s="435"/>
      <c r="H28" s="435"/>
      <c r="I28" s="435"/>
      <c r="J28" s="435"/>
      <c r="K28" s="435">
        <f>'2-C DRAW'!E57+'2-D DRAW'!E57+'2-E DRAW'!E57</f>
        <v>0</v>
      </c>
      <c r="L28" s="435">
        <f ca="1">'2-C DRAW'!F57+'2-D DRAW'!F57+'2-E DRAW'!F57</f>
        <v>-1377480.9983999999</v>
      </c>
      <c r="M28" s="435">
        <f ca="1">'2-C DRAW'!G57+'2-D DRAW'!G57+'2-E DRAW'!G57</f>
        <v>-1377480.9983999999</v>
      </c>
      <c r="N28" s="435">
        <f ca="1">'2-C DRAW'!H57+'2-D DRAW'!H57+'2-E DRAW'!H57</f>
        <v>-1377480.9983999999</v>
      </c>
      <c r="O28" s="435">
        <f ca="1">'2-C DRAW'!I57+'2-D DRAW'!I57+'2-E DRAW'!I57</f>
        <v>-1377480.9983999999</v>
      </c>
      <c r="P28" s="435">
        <f ca="1">'2-C DRAW'!J57+'2-D DRAW'!J57+'2-E DRAW'!J57</f>
        <v>-3864876.7884</v>
      </c>
      <c r="Q28" s="435">
        <f ca="1">'2-C DRAW'!K57+'2-D DRAW'!K57+'2-E DRAW'!K57</f>
        <v>-16141725.328014184</v>
      </c>
      <c r="R28" s="435">
        <f ca="1">'2-C DRAW'!L57+'2-D DRAW'!L57+'2-E DRAW'!L57</f>
        <v>-22151340.865791269</v>
      </c>
      <c r="S28" s="435">
        <f ca="1">'2-C DRAW'!M57+'2-D DRAW'!M57+'2-E DRAW'!M57</f>
        <v>-42507817.973916478</v>
      </c>
      <c r="T28" s="435">
        <f ca="1">'2-C DRAW'!N57+'2-D DRAW'!N57+'2-E DRAW'!N57</f>
        <v>-48082206.925194718</v>
      </c>
      <c r="U28" s="435">
        <f ca="1">'2-C DRAW'!O57+'2-D DRAW'!O57+'2-E DRAW'!O57</f>
        <v>-4293220.5051328912</v>
      </c>
      <c r="V28" s="435">
        <f ca="1">'2-C DRAW'!P57+'2-D DRAW'!P57+'2-E DRAW'!P57</f>
        <v>0</v>
      </c>
      <c r="W28" s="435">
        <f ca="1">'2-C DRAW'!Q57+'2-D DRAW'!Q57+'2-E DRAW'!Q57</f>
        <v>0</v>
      </c>
      <c r="X28" s="435">
        <f ca="1">'2-C DRAW'!R57+'2-D DRAW'!R57+'2-E DRAW'!R57</f>
        <v>0</v>
      </c>
      <c r="Y28" s="435">
        <f ca="1">'2-C DRAW'!S57+'2-D DRAW'!S57+'2-E DRAW'!S57</f>
        <v>0</v>
      </c>
      <c r="Z28" s="435">
        <f ca="1">'2-C DRAW'!T57+'2-D DRAW'!T57+'2-E DRAW'!T57</f>
        <v>0</v>
      </c>
      <c r="AA28" s="435">
        <f ca="1">'2-C DRAW'!U57+'2-D DRAW'!U57+'2-E DRAW'!U57</f>
        <v>16112625.007264584</v>
      </c>
      <c r="AB28" s="856">
        <f>'2-C DRAW'!Y57+'2-D DRAW'!Y57+'2-E DRAW'!Y57</f>
        <v>1351318.2744343756</v>
      </c>
      <c r="AC28" s="856">
        <f>'2-C DRAW'!Z57+'2-D DRAW'!Z57+'2-E DRAW'!Z57</f>
        <v>1351318.2744343756</v>
      </c>
      <c r="AD28" s="856">
        <f>'2-C DRAW'!AA57+'2-D DRAW'!AA57+'2-E DRAW'!AA57</f>
        <v>1351318.2744343756</v>
      </c>
      <c r="AE28" s="856">
        <f>'2-C DRAW'!AB57+'2-D DRAW'!AB57+'2-E DRAW'!AB57</f>
        <v>1351318.2744343756</v>
      </c>
      <c r="AF28" s="856">
        <f>'2-C DRAW'!AC57+'2-D DRAW'!AC57+'2-E DRAW'!AC57</f>
        <v>882500.62947516027</v>
      </c>
      <c r="AG28" s="856">
        <f>'2-C DRAW'!AD57+'2-D DRAW'!AD57+'2-E DRAW'!AD57</f>
        <v>882500.62947515957</v>
      </c>
      <c r="AH28" s="856">
        <f>'2-C DRAW'!AE57+'2-D DRAW'!AE57+'2-E DRAW'!AE57</f>
        <v>882500.62947515957</v>
      </c>
      <c r="AI28" s="856">
        <f>'2-C DRAW'!AF57+'2-D DRAW'!AF57+'2-E DRAW'!AF57</f>
        <v>882500.62947515957</v>
      </c>
      <c r="AJ28" s="856">
        <f>'2-C DRAW'!AG57+'2-D DRAW'!AG57+'2-E DRAW'!AG57</f>
        <v>1047906.904368062</v>
      </c>
      <c r="AK28" s="856">
        <f>'2-C DRAW'!AH57+'2-D DRAW'!AH57+'2-E DRAW'!AH57</f>
        <v>1047906.904368062</v>
      </c>
      <c r="AL28" s="856">
        <f>'2-C DRAW'!AI57+'2-D DRAW'!AI57+'2-E DRAW'!AI57</f>
        <v>1047906.904368062</v>
      </c>
      <c r="AM28" s="856">
        <f>'2-C DRAW'!AJ57+'2-D DRAW'!AJ57+'2-E DRAW'!AJ57</f>
        <v>1047906.9043680618</v>
      </c>
      <c r="AN28" s="856">
        <f>'2-C DRAW'!AK57+'2-D DRAW'!AK57+'2-E DRAW'!AK57</f>
        <v>1219588.5418793417</v>
      </c>
      <c r="AO28" s="856">
        <f>'2-C DRAW'!AL57+'2-D DRAW'!AL57+'2-E DRAW'!AL57</f>
        <v>1219588.5418793415</v>
      </c>
      <c r="AP28" s="856">
        <f>'2-C DRAW'!AM57+'2-D DRAW'!AM57+'2-E DRAW'!AM57</f>
        <v>1219588.5418793417</v>
      </c>
      <c r="AQ28" s="856">
        <f>'2-C DRAW'!AN57+'2-D DRAW'!AN57+'2-E DRAW'!AN57</f>
        <v>1219588.5418793417</v>
      </c>
      <c r="AR28" s="856">
        <f>'2-C DRAW'!AO57+'2-D DRAW'!AO57+'2-E DRAW'!AO57</f>
        <v>1397785.6774861689</v>
      </c>
      <c r="AS28" s="856">
        <f>'2-C DRAW'!AP57+'2-D DRAW'!AP57+'2-E DRAW'!AP57</f>
        <v>1397785.6774861687</v>
      </c>
      <c r="AT28" s="856">
        <f>'2-C DRAW'!AQ57+'2-D DRAW'!AQ57+'2-E DRAW'!AQ57</f>
        <v>1397785.6774861689</v>
      </c>
      <c r="AU28" s="856">
        <f>'2-C DRAW'!AR57+'2-D DRAW'!AR57+'2-E DRAW'!AR57</f>
        <v>252466602.40879107</v>
      </c>
      <c r="AV28" s="435"/>
      <c r="AW28" s="435"/>
      <c r="AX28" s="435"/>
      <c r="AY28" s="435"/>
      <c r="AZ28" s="435"/>
      <c r="BA28" s="435"/>
      <c r="BB28" s="435"/>
      <c r="BC28" s="435"/>
      <c r="BD28" s="435"/>
      <c r="BE28" s="435"/>
      <c r="BF28" s="435"/>
      <c r="BG28" s="435"/>
      <c r="BH28" s="435"/>
      <c r="BI28" s="435"/>
      <c r="BJ28" s="435"/>
      <c r="BK28" s="435"/>
      <c r="BL28" s="435"/>
      <c r="BM28" s="435"/>
      <c r="BN28" s="435"/>
      <c r="BO28" s="425"/>
    </row>
    <row r="29" spans="1:67">
      <c r="A29" s="426" t="s">
        <v>376</v>
      </c>
      <c r="B29" s="427">
        <f ca="1">IF(B28&lt;0,0,IRR(L28:AU28))</f>
        <v>2.7788392631794334E-2</v>
      </c>
      <c r="C29" s="428"/>
      <c r="D29" s="428"/>
      <c r="E29" s="428"/>
      <c r="F29" s="428"/>
      <c r="G29" s="428"/>
      <c r="H29" s="428"/>
      <c r="I29" s="428"/>
      <c r="J29" s="428"/>
      <c r="K29" s="428"/>
      <c r="L29" s="428"/>
      <c r="M29" s="428"/>
      <c r="N29" s="428"/>
      <c r="O29" s="428"/>
      <c r="P29" s="428"/>
      <c r="Q29" s="428"/>
      <c r="R29" s="428"/>
      <c r="S29" s="428"/>
      <c r="T29" s="428"/>
      <c r="U29" s="428"/>
      <c r="V29" s="428"/>
      <c r="W29" s="428"/>
      <c r="X29" s="428"/>
      <c r="Y29" s="428"/>
      <c r="Z29" s="428"/>
      <c r="AA29" s="428"/>
      <c r="AB29" s="428"/>
      <c r="AC29" s="428"/>
      <c r="AD29" s="428"/>
      <c r="AE29" s="428"/>
      <c r="AF29" s="428"/>
      <c r="AG29" s="428"/>
      <c r="AH29" s="428"/>
      <c r="AI29" s="428"/>
      <c r="AJ29" s="428"/>
      <c r="AK29" s="428"/>
      <c r="AL29" s="428"/>
      <c r="AM29" s="428"/>
      <c r="AN29" s="428"/>
      <c r="AO29" s="428"/>
      <c r="AP29" s="428"/>
      <c r="AQ29" s="428"/>
      <c r="AR29" s="428"/>
      <c r="AS29" s="428"/>
      <c r="AT29" s="428"/>
      <c r="AU29" s="428"/>
      <c r="AV29" s="428"/>
      <c r="AW29" s="428"/>
      <c r="AX29" s="428"/>
      <c r="AY29" s="428"/>
      <c r="AZ29" s="428"/>
      <c r="BA29" s="428"/>
      <c r="BB29" s="428"/>
      <c r="BC29" s="428"/>
      <c r="BD29" s="428"/>
      <c r="BE29" s="428"/>
      <c r="BF29" s="428"/>
      <c r="BG29" s="428"/>
      <c r="BH29" s="428"/>
      <c r="BI29" s="428"/>
      <c r="BJ29" s="428"/>
      <c r="BK29" s="428"/>
      <c r="BL29" s="428"/>
      <c r="BM29" s="428"/>
      <c r="BN29" s="428"/>
      <c r="BO29" s="429"/>
    </row>
    <row r="30" spans="1:67">
      <c r="A30" s="426" t="s">
        <v>377</v>
      </c>
      <c r="B30" s="430">
        <f ca="1">POWER((1+B29),4)-1</f>
        <v>0.11587316760756372</v>
      </c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  <c r="P30" s="431"/>
      <c r="Q30" s="431"/>
      <c r="R30" s="431"/>
      <c r="S30" s="431"/>
      <c r="T30" s="431"/>
      <c r="U30" s="431"/>
      <c r="V30" s="431"/>
      <c r="W30" s="431"/>
      <c r="X30" s="431"/>
      <c r="Y30" s="431"/>
      <c r="Z30" s="431"/>
      <c r="AA30" s="431"/>
      <c r="AB30" s="431"/>
      <c r="AC30" s="431"/>
      <c r="AD30" s="431"/>
      <c r="AE30" s="431"/>
      <c r="AF30" s="431"/>
      <c r="AG30" s="431"/>
      <c r="AH30" s="431"/>
      <c r="AI30" s="431"/>
      <c r="AJ30" s="431"/>
      <c r="AK30" s="431"/>
      <c r="AL30" s="431"/>
      <c r="AM30" s="431"/>
      <c r="AN30" s="431"/>
      <c r="AO30" s="431"/>
      <c r="AP30" s="431"/>
      <c r="AQ30" s="431"/>
      <c r="AR30" s="431"/>
      <c r="AS30" s="431"/>
      <c r="AT30" s="431"/>
      <c r="AU30" s="431"/>
      <c r="AV30" s="431"/>
      <c r="AW30" s="431"/>
      <c r="AX30" s="431"/>
      <c r="AY30" s="431"/>
      <c r="AZ30" s="431"/>
      <c r="BA30" s="431"/>
      <c r="BB30" s="431"/>
      <c r="BC30" s="431"/>
      <c r="BD30" s="431"/>
      <c r="BE30" s="431"/>
      <c r="BF30" s="431"/>
      <c r="BG30" s="431"/>
      <c r="BH30" s="431"/>
      <c r="BI30" s="431"/>
      <c r="BJ30" s="431"/>
      <c r="BK30" s="431"/>
      <c r="BL30" s="431"/>
      <c r="BM30" s="431"/>
      <c r="BN30" s="431"/>
      <c r="BO30" s="432"/>
    </row>
    <row r="31" spans="1:67">
      <c r="A31" s="431"/>
      <c r="B31" s="433"/>
      <c r="C31" s="431"/>
      <c r="D31" s="431"/>
      <c r="E31" s="431"/>
      <c r="F31" s="431"/>
      <c r="G31" s="431"/>
      <c r="H31" s="431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431"/>
      <c r="V31" s="431"/>
      <c r="W31" s="431"/>
      <c r="X31" s="431"/>
      <c r="Y31" s="431"/>
      <c r="Z31" s="431"/>
      <c r="AA31" s="431"/>
      <c r="AB31" s="431"/>
      <c r="AC31" s="431"/>
      <c r="AD31" s="431"/>
      <c r="AE31" s="431"/>
      <c r="AF31" s="431"/>
      <c r="AG31" s="431"/>
      <c r="AH31" s="431"/>
      <c r="AI31" s="431"/>
      <c r="AJ31" s="431"/>
      <c r="AK31" s="431"/>
      <c r="AL31" s="431"/>
      <c r="AM31" s="431"/>
      <c r="AN31" s="431"/>
      <c r="AO31" s="431"/>
      <c r="AP31" s="431"/>
      <c r="AQ31" s="431"/>
      <c r="AR31" s="431"/>
      <c r="AS31" s="431"/>
      <c r="AT31" s="431"/>
      <c r="AU31" s="431"/>
      <c r="AV31" s="431"/>
      <c r="AW31" s="431"/>
      <c r="AX31" s="431"/>
      <c r="AY31" s="431"/>
      <c r="AZ31" s="431"/>
      <c r="BA31" s="431"/>
      <c r="BB31" s="431"/>
      <c r="BC31" s="431"/>
      <c r="BD31" s="431"/>
      <c r="BE31" s="431"/>
      <c r="BF31" s="431"/>
      <c r="BG31" s="431"/>
      <c r="BH31" s="431"/>
      <c r="BI31" s="431"/>
      <c r="BJ31" s="431"/>
      <c r="BK31" s="431"/>
      <c r="BL31" s="431"/>
      <c r="BM31" s="431"/>
      <c r="BN31" s="431"/>
      <c r="BO31" s="432"/>
    </row>
    <row r="32" spans="1:67">
      <c r="A32" s="426" t="s">
        <v>378</v>
      </c>
      <c r="B32" s="425">
        <f ca="1">SUM(C32:AU32)</f>
        <v>150879800.56019074</v>
      </c>
      <c r="C32" s="435"/>
      <c r="D32" s="435"/>
      <c r="E32" s="435"/>
      <c r="F32" s="435"/>
      <c r="G32" s="435"/>
      <c r="H32" s="435"/>
      <c r="I32" s="435"/>
      <c r="J32" s="435"/>
      <c r="K32" s="435">
        <f>'2-C DRAW'!E53+'2-D DRAW'!E53+'2-E DRAW'!E53</f>
        <v>0</v>
      </c>
      <c r="L32" s="435">
        <f ca="1">'2-C DRAW'!F53+'2-D DRAW'!F53+'2-E DRAW'!F53</f>
        <v>-1377480.9983999999</v>
      </c>
      <c r="M32" s="435">
        <f ca="1">'2-C DRAW'!G53+'2-D DRAW'!G53+'2-E DRAW'!G53</f>
        <v>-1377480.9983999999</v>
      </c>
      <c r="N32" s="435">
        <f ca="1">'2-C DRAW'!H53+'2-D DRAW'!H53+'2-E DRAW'!H53</f>
        <v>-1377480.9983999999</v>
      </c>
      <c r="O32" s="435">
        <f ca="1">'2-C DRAW'!I53+'2-D DRAW'!I53+'2-E DRAW'!I53</f>
        <v>-1377480.9983999999</v>
      </c>
      <c r="P32" s="435">
        <f ca="1">'2-C DRAW'!J53+'2-D DRAW'!J53+'2-E DRAW'!J53</f>
        <v>-3864876.7884</v>
      </c>
      <c r="Q32" s="435">
        <f ca="1">'2-C DRAW'!K53+'2-D DRAW'!K53+'2-E DRAW'!K53</f>
        <v>-16141725.328014184</v>
      </c>
      <c r="R32" s="435">
        <f ca="1">'2-C DRAW'!L53+'2-D DRAW'!L53+'2-E DRAW'!L53</f>
        <v>-22151340.865791269</v>
      </c>
      <c r="S32" s="435">
        <f ca="1">'2-C DRAW'!M53+'2-D DRAW'!M53+'2-E DRAW'!M53</f>
        <v>-42507817.973916478</v>
      </c>
      <c r="T32" s="435">
        <f ca="1">'2-C DRAW'!N53+'2-D DRAW'!N53+'2-E DRAW'!N53</f>
        <v>-63274816.967773549</v>
      </c>
      <c r="U32" s="435">
        <f ca="1">'2-C DRAW'!O53+'2-D DRAW'!O53+'2-E DRAW'!O53</f>
        <v>-72306566.416951567</v>
      </c>
      <c r="V32" s="435">
        <f ca="1">'2-C DRAW'!P53+'2-D DRAW'!P53+'2-E DRAW'!P53</f>
        <v>-62864816.967773549</v>
      </c>
      <c r="W32" s="435">
        <f ca="1">'2-C DRAW'!Q53+'2-D DRAW'!Q53+'2-E DRAW'!Q53</f>
        <v>-41068209.155249827</v>
      </c>
      <c r="X32" s="435">
        <f ca="1">'2-C DRAW'!R53+'2-D DRAW'!R53+'2-E DRAW'!R53</f>
        <v>-24917064.112124585</v>
      </c>
      <c r="Y32" s="435">
        <f ca="1">'2-C DRAW'!S53+'2-D DRAW'!S53+'2-E DRAW'!S53</f>
        <v>-15463746.078347519</v>
      </c>
      <c r="Z32" s="435">
        <f ca="1">'2-C DRAW'!T53+'2-D DRAW'!T53+'2-E DRAW'!T53</f>
        <v>-7263106.9959399998</v>
      </c>
      <c r="AA32" s="435">
        <f ca="1">'2-C DRAW'!U53+'2-D DRAW'!U53+'2-E DRAW'!U53</f>
        <v>-3448116.7024499997</v>
      </c>
      <c r="AB32" s="856">
        <f>'2-C DRAW'!Y53+'2-D DRAW'!Y53+'2-E DRAW'!Y53</f>
        <v>4234315.9606099995</v>
      </c>
      <c r="AC32" s="856">
        <f>'2-C DRAW'!Z53+'2-D DRAW'!Z53+'2-E DRAW'!Z53</f>
        <v>4234315.9606099995</v>
      </c>
      <c r="AD32" s="856">
        <f>'2-C DRAW'!AA53+'2-D DRAW'!AA53+'2-E DRAW'!AA53</f>
        <v>4234315.9606099995</v>
      </c>
      <c r="AE32" s="856">
        <f>'2-C DRAW'!AB53+'2-D DRAW'!AB53+'2-E DRAW'!AB53</f>
        <v>4234315.9606099995</v>
      </c>
      <c r="AF32" s="856">
        <f>'2-C DRAW'!AC53+'2-D DRAW'!AC53+'2-E DRAW'!AC53</f>
        <v>4393678.0795794996</v>
      </c>
      <c r="AG32" s="856">
        <f>'2-C DRAW'!AD53+'2-D DRAW'!AD53+'2-E DRAW'!AD53</f>
        <v>4393678.0795794996</v>
      </c>
      <c r="AH32" s="856">
        <f>'2-C DRAW'!AE53+'2-D DRAW'!AE53+'2-E DRAW'!AE53</f>
        <v>4393678.0795794996</v>
      </c>
      <c r="AI32" s="856">
        <f>'2-C DRAW'!AF53+'2-D DRAW'!AF53+'2-E DRAW'!AF53</f>
        <v>4393678.0795794996</v>
      </c>
      <c r="AJ32" s="856">
        <f>'2-C DRAW'!AG53+'2-D DRAW'!AG53+'2-E DRAW'!AG53</f>
        <v>4559084.3544724025</v>
      </c>
      <c r="AK32" s="856">
        <f>'2-C DRAW'!AH53+'2-D DRAW'!AH53+'2-E DRAW'!AH53</f>
        <v>4559084.3544724025</v>
      </c>
      <c r="AL32" s="856">
        <f>'2-C DRAW'!AI53+'2-D DRAW'!AI53+'2-E DRAW'!AI53</f>
        <v>4559084.3544724025</v>
      </c>
      <c r="AM32" s="856">
        <f>'2-C DRAW'!AJ53+'2-D DRAW'!AJ53+'2-E DRAW'!AJ53</f>
        <v>4559084.3544724025</v>
      </c>
      <c r="AN32" s="856">
        <f>'2-C DRAW'!AK53+'2-D DRAW'!AK53+'2-E DRAW'!AK53</f>
        <v>4730765.9919836819</v>
      </c>
      <c r="AO32" s="856">
        <f>'2-C DRAW'!AL53+'2-D DRAW'!AL53+'2-E DRAW'!AL53</f>
        <v>4730765.9919836819</v>
      </c>
      <c r="AP32" s="856">
        <f>'2-C DRAW'!AM53+'2-D DRAW'!AM53+'2-E DRAW'!AM53</f>
        <v>4730765.9919836819</v>
      </c>
      <c r="AQ32" s="856">
        <f>'2-C DRAW'!AN53+'2-D DRAW'!AN53+'2-E DRAW'!AN53</f>
        <v>4730765.9919836819</v>
      </c>
      <c r="AR32" s="856">
        <f>'2-C DRAW'!AO53+'2-D DRAW'!AO53+'2-E DRAW'!AO53</f>
        <v>4908963.1275905091</v>
      </c>
      <c r="AS32" s="856">
        <f>'2-C DRAW'!AP53+'2-D DRAW'!AP53+'2-E DRAW'!AP53</f>
        <v>4908963.1275905091</v>
      </c>
      <c r="AT32" s="856">
        <f>'2-C DRAW'!AQ53+'2-D DRAW'!AQ53+'2-E DRAW'!AQ53</f>
        <v>4908963.1275905091</v>
      </c>
      <c r="AU32" s="856">
        <f>'2-C DRAW'!AR53+'2-D DRAW'!AR53+'2-E DRAW'!AR53</f>
        <v>445263661.97716957</v>
      </c>
      <c r="AV32" s="425"/>
      <c r="AW32" s="425"/>
      <c r="AX32" s="425"/>
      <c r="AY32" s="425"/>
      <c r="AZ32" s="425"/>
      <c r="BA32" s="425"/>
      <c r="BB32" s="425"/>
      <c r="BC32" s="425"/>
      <c r="BD32" s="425"/>
      <c r="BE32" s="425"/>
      <c r="BF32" s="425"/>
      <c r="BG32" s="425"/>
      <c r="BH32" s="425"/>
      <c r="BI32" s="425"/>
      <c r="BJ32" s="425"/>
      <c r="BK32" s="425"/>
      <c r="BL32" s="425"/>
      <c r="BM32" s="425"/>
      <c r="BN32" s="425"/>
      <c r="BO32" s="426"/>
    </row>
    <row r="33" spans="1:67">
      <c r="A33" s="426" t="s">
        <v>379</v>
      </c>
      <c r="B33" s="427">
        <f ca="1">IF(B32&lt;0,0,IRR(C32:AU32))</f>
        <v>1.3812021425299914E-2</v>
      </c>
      <c r="C33" s="434"/>
      <c r="D33" s="431"/>
      <c r="E33" s="431"/>
      <c r="F33" s="431"/>
      <c r="G33" s="431"/>
      <c r="H33" s="431"/>
      <c r="I33" s="431"/>
      <c r="J33" s="431"/>
      <c r="K33" s="431"/>
      <c r="L33" s="431"/>
      <c r="M33" s="434"/>
      <c r="N33" s="431"/>
      <c r="O33" s="431"/>
      <c r="P33" s="431"/>
      <c r="Q33" s="431"/>
      <c r="R33" s="431"/>
      <c r="S33" s="434"/>
      <c r="T33" s="431"/>
      <c r="U33" s="431"/>
      <c r="V33" s="431"/>
      <c r="W33" s="431"/>
      <c r="X33" s="431"/>
      <c r="Y33" s="431"/>
      <c r="Z33" s="431"/>
      <c r="AA33" s="431"/>
      <c r="AB33" s="431"/>
      <c r="AC33" s="431"/>
      <c r="AD33" s="431"/>
      <c r="AE33" s="431"/>
      <c r="AF33" s="431"/>
      <c r="AG33" s="431"/>
      <c r="AH33" s="431"/>
      <c r="AI33" s="431"/>
      <c r="AJ33" s="431"/>
      <c r="AK33" s="431"/>
      <c r="AL33" s="431"/>
      <c r="AM33" s="431"/>
      <c r="AN33" s="431"/>
      <c r="AO33" s="431"/>
      <c r="AP33" s="431"/>
      <c r="AQ33" s="431"/>
      <c r="AR33" s="431"/>
      <c r="AS33" s="431"/>
      <c r="AT33" s="431"/>
      <c r="AU33" s="431"/>
      <c r="AV33" s="431"/>
      <c r="AW33" s="431"/>
      <c r="AX33" s="431"/>
      <c r="AY33" s="431"/>
      <c r="AZ33" s="431"/>
      <c r="BA33" s="431"/>
      <c r="BB33" s="431"/>
      <c r="BC33" s="431"/>
      <c r="BD33" s="431"/>
      <c r="BE33" s="431"/>
      <c r="BF33" s="431"/>
      <c r="BG33" s="431"/>
      <c r="BH33" s="431"/>
      <c r="BI33" s="431"/>
      <c r="BJ33" s="431"/>
      <c r="BK33" s="431"/>
      <c r="BL33" s="431"/>
      <c r="BM33" s="431"/>
      <c r="BN33" s="431"/>
      <c r="BO33" s="426"/>
    </row>
    <row r="34" spans="1:67">
      <c r="A34" s="426" t="s">
        <v>380</v>
      </c>
      <c r="B34" s="430">
        <f ca="1">POWER((1+B33),4)-1</f>
        <v>5.6403293494510232E-2</v>
      </c>
      <c r="C34" s="431"/>
      <c r="D34" s="431"/>
      <c r="E34" s="431"/>
      <c r="F34" s="431"/>
      <c r="G34" s="431"/>
      <c r="H34" s="431"/>
      <c r="I34" s="431"/>
      <c r="J34" s="431"/>
      <c r="K34" s="431"/>
      <c r="L34" s="431"/>
      <c r="M34" s="434"/>
      <c r="N34" s="431"/>
      <c r="O34" s="431"/>
      <c r="P34" s="431"/>
      <c r="Q34" s="431"/>
      <c r="R34" s="431"/>
      <c r="S34" s="434"/>
      <c r="T34" s="431"/>
      <c r="U34" s="431"/>
      <c r="V34" s="431"/>
      <c r="W34" s="431"/>
      <c r="X34" s="431"/>
      <c r="Y34" s="431"/>
      <c r="Z34" s="431"/>
      <c r="AA34" s="431"/>
      <c r="AB34" s="431"/>
      <c r="AC34" s="431"/>
      <c r="AD34" s="431"/>
      <c r="AE34" s="431"/>
      <c r="AF34" s="431"/>
      <c r="AG34" s="431"/>
      <c r="AH34" s="431"/>
      <c r="AI34" s="431"/>
      <c r="AJ34" s="431"/>
      <c r="AK34" s="431"/>
      <c r="AL34" s="431"/>
      <c r="AM34" s="431"/>
      <c r="AN34" s="431"/>
      <c r="AO34" s="431"/>
      <c r="AP34" s="431"/>
      <c r="AQ34" s="431"/>
      <c r="AR34" s="431"/>
      <c r="AS34" s="431"/>
      <c r="AT34" s="431"/>
      <c r="AU34" s="431"/>
      <c r="AV34" s="431"/>
      <c r="AW34" s="431"/>
      <c r="AX34" s="431"/>
      <c r="AY34" s="431"/>
      <c r="AZ34" s="431"/>
      <c r="BA34" s="431"/>
      <c r="BB34" s="431"/>
      <c r="BC34" s="431"/>
      <c r="BD34" s="431"/>
      <c r="BE34" s="431"/>
      <c r="BF34" s="431"/>
      <c r="BG34" s="431"/>
      <c r="BH34" s="431"/>
      <c r="BI34" s="431"/>
      <c r="BJ34" s="431"/>
      <c r="BK34" s="431"/>
      <c r="BL34" s="431"/>
      <c r="BM34" s="431"/>
      <c r="BN34" s="431"/>
      <c r="BO34" s="426"/>
    </row>
    <row r="35" spans="1:67">
      <c r="G35" s="5"/>
      <c r="AA35"/>
      <c r="AB35"/>
      <c r="AC35"/>
      <c r="AD35"/>
      <c r="AE35"/>
      <c r="AF35"/>
      <c r="AH35"/>
      <c r="AI35"/>
      <c r="AJ35"/>
    </row>
    <row r="36" spans="1:67">
      <c r="A36" s="118" t="s">
        <v>163</v>
      </c>
      <c r="G36" s="5"/>
      <c r="AB36" s="5"/>
      <c r="AE36" s="5"/>
    </row>
    <row r="37" spans="1:67">
      <c r="A37" s="1069" t="s">
        <v>372</v>
      </c>
      <c r="G37" s="5"/>
      <c r="AB37"/>
      <c r="AC37"/>
      <c r="AD37"/>
      <c r="AE37"/>
    </row>
    <row r="38" spans="1:67">
      <c r="A38" s="1069"/>
      <c r="G38" s="5"/>
      <c r="AB38"/>
      <c r="AC38"/>
      <c r="AD38"/>
      <c r="AE38"/>
      <c r="BO38" s="26" t="s">
        <v>373</v>
      </c>
    </row>
    <row r="39" spans="1:67" ht="15" thickBot="1">
      <c r="A39" s="1070"/>
      <c r="B39" s="421" t="s">
        <v>374</v>
      </c>
      <c r="C39" s="422">
        <v>46022</v>
      </c>
      <c r="D39" s="423">
        <f t="shared" ref="D39:AT39" si="8">EOMONTH(C39,3)</f>
        <v>46112</v>
      </c>
      <c r="E39" s="423">
        <f t="shared" si="8"/>
        <v>46203</v>
      </c>
      <c r="F39" s="423">
        <f t="shared" si="8"/>
        <v>46295</v>
      </c>
      <c r="G39" s="423">
        <f t="shared" si="8"/>
        <v>46387</v>
      </c>
      <c r="H39" s="423">
        <f t="shared" si="8"/>
        <v>46477</v>
      </c>
      <c r="I39" s="423">
        <f t="shared" si="8"/>
        <v>46568</v>
      </c>
      <c r="J39" s="423">
        <f t="shared" si="8"/>
        <v>46660</v>
      </c>
      <c r="K39" s="423">
        <f t="shared" si="8"/>
        <v>46752</v>
      </c>
      <c r="L39" s="423">
        <f t="shared" si="8"/>
        <v>46843</v>
      </c>
      <c r="M39" s="423">
        <f t="shared" si="8"/>
        <v>46934</v>
      </c>
      <c r="N39" s="423">
        <f t="shared" si="8"/>
        <v>47026</v>
      </c>
      <c r="O39" s="423">
        <f t="shared" si="8"/>
        <v>47118</v>
      </c>
      <c r="P39" s="423">
        <f t="shared" si="8"/>
        <v>47208</v>
      </c>
      <c r="Q39" s="423">
        <f t="shared" si="8"/>
        <v>47299</v>
      </c>
      <c r="R39" s="423">
        <f t="shared" si="8"/>
        <v>47391</v>
      </c>
      <c r="S39" s="423">
        <f t="shared" si="8"/>
        <v>47483</v>
      </c>
      <c r="T39" s="423">
        <f t="shared" si="8"/>
        <v>47573</v>
      </c>
      <c r="U39" s="423">
        <f t="shared" si="8"/>
        <v>47664</v>
      </c>
      <c r="V39" s="423">
        <f t="shared" si="8"/>
        <v>47756</v>
      </c>
      <c r="W39" s="423">
        <f t="shared" si="8"/>
        <v>47848</v>
      </c>
      <c r="X39" s="423">
        <f t="shared" si="8"/>
        <v>47938</v>
      </c>
      <c r="Y39" s="423">
        <f t="shared" si="8"/>
        <v>48029</v>
      </c>
      <c r="Z39" s="423">
        <f t="shared" si="8"/>
        <v>48121</v>
      </c>
      <c r="AA39" s="423">
        <f t="shared" si="8"/>
        <v>48213</v>
      </c>
      <c r="AB39" s="423">
        <f t="shared" si="8"/>
        <v>48304</v>
      </c>
      <c r="AC39" s="423">
        <f t="shared" si="8"/>
        <v>48395</v>
      </c>
      <c r="AD39" s="423">
        <f t="shared" si="8"/>
        <v>48487</v>
      </c>
      <c r="AE39" s="423">
        <f t="shared" si="8"/>
        <v>48579</v>
      </c>
      <c r="AF39" s="423">
        <f t="shared" si="8"/>
        <v>48669</v>
      </c>
      <c r="AG39" s="423">
        <f t="shared" si="8"/>
        <v>48760</v>
      </c>
      <c r="AH39" s="423">
        <f t="shared" si="8"/>
        <v>48852</v>
      </c>
      <c r="AI39" s="423">
        <f t="shared" si="8"/>
        <v>48944</v>
      </c>
      <c r="AJ39" s="423">
        <f t="shared" si="8"/>
        <v>49034</v>
      </c>
      <c r="AK39" s="423">
        <f t="shared" si="8"/>
        <v>49125</v>
      </c>
      <c r="AL39" s="423">
        <f t="shared" si="8"/>
        <v>49217</v>
      </c>
      <c r="AM39" s="423">
        <f t="shared" si="8"/>
        <v>49309</v>
      </c>
      <c r="AN39" s="423">
        <f t="shared" si="8"/>
        <v>49399</v>
      </c>
      <c r="AO39" s="423">
        <f t="shared" si="8"/>
        <v>49490</v>
      </c>
      <c r="AP39" s="423">
        <f t="shared" si="8"/>
        <v>49582</v>
      </c>
      <c r="AQ39" s="423">
        <f t="shared" si="8"/>
        <v>49674</v>
      </c>
      <c r="AR39" s="423">
        <f t="shared" si="8"/>
        <v>49765</v>
      </c>
      <c r="AS39" s="423">
        <f t="shared" si="8"/>
        <v>49856</v>
      </c>
      <c r="AT39" s="423">
        <f t="shared" si="8"/>
        <v>49948</v>
      </c>
      <c r="AU39" s="423">
        <v>50040</v>
      </c>
      <c r="AV39" s="423">
        <f t="shared" ref="AV39:BN39" si="9">EOMONTH(AU39,3)</f>
        <v>50130</v>
      </c>
      <c r="AW39" s="423">
        <f t="shared" si="9"/>
        <v>50221</v>
      </c>
      <c r="AX39" s="423">
        <f t="shared" si="9"/>
        <v>50313</v>
      </c>
      <c r="AY39" s="423">
        <f t="shared" si="9"/>
        <v>50405</v>
      </c>
      <c r="AZ39" s="423">
        <f t="shared" si="9"/>
        <v>50495</v>
      </c>
      <c r="BA39" s="423">
        <f t="shared" si="9"/>
        <v>50586</v>
      </c>
      <c r="BB39" s="423">
        <f t="shared" si="9"/>
        <v>50678</v>
      </c>
      <c r="BC39" s="423">
        <f t="shared" si="9"/>
        <v>50770</v>
      </c>
      <c r="BD39" s="423">
        <f t="shared" si="9"/>
        <v>50860</v>
      </c>
      <c r="BE39" s="423">
        <f t="shared" si="9"/>
        <v>50951</v>
      </c>
      <c r="BF39" s="423">
        <f t="shared" si="9"/>
        <v>51043</v>
      </c>
      <c r="BG39" s="423">
        <f t="shared" si="9"/>
        <v>51135</v>
      </c>
      <c r="BH39" s="423">
        <f t="shared" si="9"/>
        <v>51226</v>
      </c>
      <c r="BI39" s="423">
        <f t="shared" si="9"/>
        <v>51317</v>
      </c>
      <c r="BJ39" s="423">
        <f t="shared" si="9"/>
        <v>51409</v>
      </c>
      <c r="BK39" s="423">
        <f t="shared" si="9"/>
        <v>51501</v>
      </c>
      <c r="BL39" s="423">
        <f t="shared" si="9"/>
        <v>51591</v>
      </c>
      <c r="BM39" s="423">
        <f t="shared" si="9"/>
        <v>51682</v>
      </c>
      <c r="BN39" s="423">
        <f t="shared" si="9"/>
        <v>51774</v>
      </c>
      <c r="BO39" s="424"/>
    </row>
    <row r="40" spans="1:67">
      <c r="A40" s="207" t="s">
        <v>375</v>
      </c>
      <c r="B40" s="425">
        <f ca="1">SUM(T40:BF40)</f>
        <v>205920469.55557266</v>
      </c>
      <c r="C40" s="435"/>
      <c r="D40" s="435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5"/>
      <c r="Q40" s="435"/>
      <c r="R40" s="435"/>
      <c r="S40" s="435">
        <f>'3-F DRAW'!E57+'3-G DRAW'!E57</f>
        <v>0</v>
      </c>
      <c r="T40" s="435">
        <f ca="1">'3-F DRAW'!F57+'3-G DRAW'!F57</f>
        <v>-1588500.108</v>
      </c>
      <c r="U40" s="435">
        <f ca="1">'3-F DRAW'!G57+'3-G DRAW'!G57</f>
        <v>-1588500.108</v>
      </c>
      <c r="V40" s="435">
        <f ca="1">'3-F DRAW'!H57+'3-G DRAW'!H57</f>
        <v>-1588500.108</v>
      </c>
      <c r="W40" s="435">
        <f ca="1">'3-F DRAW'!I57+'3-G DRAW'!I57</f>
        <v>-1588500.108</v>
      </c>
      <c r="X40" s="435">
        <f ca="1">'3-F DRAW'!J57+'3-G DRAW'!J57</f>
        <v>-3246763.9680000003</v>
      </c>
      <c r="Y40" s="435">
        <f ca="1">'3-F DRAW'!K57+'3-G DRAW'!K57</f>
        <v>-12959251.76385056</v>
      </c>
      <c r="Z40" s="435">
        <f ca="1">'3-F DRAW'!L57+'3-G DRAW'!L57</f>
        <v>-15166741.936927322</v>
      </c>
      <c r="AA40" s="435">
        <f ca="1">'3-F DRAW'!M57+'3-G DRAW'!M57</f>
        <v>-29780575.683249481</v>
      </c>
      <c r="AB40" s="435">
        <f ca="1">'3-F DRAW'!N57+'3-G DRAW'!N57</f>
        <v>-51334534.44949536</v>
      </c>
      <c r="AC40" s="435">
        <f ca="1">'3-F DRAW'!O57+'3-G DRAW'!O57</f>
        <v>-52600053.048746094</v>
      </c>
      <c r="AD40" s="435">
        <f ca="1">'3-F DRAW'!P57+'3-G DRAW'!P57</f>
        <v>-12027821.515952975</v>
      </c>
      <c r="AE40" s="435">
        <f ca="1">'3-F DRAW'!Q57+'3-G DRAW'!Q57</f>
        <v>0</v>
      </c>
      <c r="AF40" s="435">
        <f ca="1">'3-F DRAW'!R57+'3-G DRAW'!R57</f>
        <v>0</v>
      </c>
      <c r="AG40" s="435">
        <f ca="1">'3-F DRAW'!S57+'3-G DRAW'!S57</f>
        <v>0</v>
      </c>
      <c r="AH40" s="435">
        <f ca="1">'3-F DRAW'!T57+'3-G DRAW'!T57</f>
        <v>0</v>
      </c>
      <c r="AI40" s="435">
        <f ca="1">'3-F DRAW'!U57+'3-G DRAW'!U57</f>
        <v>3453133.6439001919</v>
      </c>
      <c r="AJ40" s="856">
        <f ca="1">'3-F DRAW'!V57+'3-G DRAW'!Y57</f>
        <v>698019.59925559536</v>
      </c>
      <c r="AK40" s="856">
        <f ca="1">'3-F DRAW'!W57+'3-G DRAW'!Z57</f>
        <v>698019.59925559536</v>
      </c>
      <c r="AL40" s="856">
        <f ca="1">'3-F DRAW'!X57+'3-G DRAW'!AA57</f>
        <v>8427969.4677658416</v>
      </c>
      <c r="AM40" s="856">
        <f>'3-F DRAW'!Y57+'3-G DRAW'!AB57</f>
        <v>1875692.7344802362</v>
      </c>
      <c r="AN40" s="856">
        <f>'3-F DRAW'!Z57+'3-G DRAW'!AC57</f>
        <v>1651059.6919822781</v>
      </c>
      <c r="AO40" s="856">
        <f>'3-F DRAW'!AA57+'3-G DRAW'!AD57</f>
        <v>1651059.6919822781</v>
      </c>
      <c r="AP40" s="856">
        <f>'3-F DRAW'!AB57+'3-G DRAW'!AE57</f>
        <v>1651059.6919822781</v>
      </c>
      <c r="AQ40" s="856">
        <f>'3-F DRAW'!AC57+'3-G DRAW'!AF57</f>
        <v>1240184.2240937785</v>
      </c>
      <c r="AR40" s="856">
        <f>'3-F DRAW'!AD57+'3-G DRAW'!AG57</f>
        <v>1328281.7616737783</v>
      </c>
      <c r="AS40" s="856">
        <f>'3-F DRAW'!AE57+'3-G DRAW'!AH57</f>
        <v>1328281.7616737783</v>
      </c>
      <c r="AT40" s="856">
        <f>'3-F DRAW'!AF57+'3-G DRAW'!AI57</f>
        <v>1328281.7616737788</v>
      </c>
      <c r="AU40" s="856">
        <f>'3-F DRAW'!AG57+'3-G DRAW'!AJ57</f>
        <v>1460488.6028322678</v>
      </c>
      <c r="AV40" s="856">
        <f>'3-F DRAW'!AH57+'3-G DRAW'!AK57</f>
        <v>1552110.0419154682</v>
      </c>
      <c r="AW40" s="856">
        <f>'3-F DRAW'!AI57+'3-G DRAW'!AL57</f>
        <v>1552110.0419154677</v>
      </c>
      <c r="AX40" s="856">
        <f>'3-F DRAW'!AJ57+'3-G DRAW'!AM57</f>
        <v>1552110.0419154684</v>
      </c>
      <c r="AY40" s="856">
        <f>'3-F DRAW'!AK57+'3-G DRAW'!AN57</f>
        <v>1688944.1225145047</v>
      </c>
      <c r="AZ40" s="856">
        <f>'3-F DRAW'!AL57+'3-G DRAW'!AO57</f>
        <v>1784230.4191610331</v>
      </c>
      <c r="BA40" s="856">
        <f>'3-F DRAW'!AM57+'3-G DRAW'!AP57</f>
        <v>1784230.4191610331</v>
      </c>
      <c r="BB40" s="856">
        <f>'3-F DRAW'!AN57+'3-G DRAW'!AQ57</f>
        <v>1784230.4191610334</v>
      </c>
      <c r="BC40" s="856">
        <f>'3-F DRAW'!AO57+'3-G DRAW'!AR57</f>
        <v>118846292.04228219</v>
      </c>
      <c r="BD40" s="856">
        <f>'3-F DRAW'!AP57+'3-G DRAW'!AS57</f>
        <v>1177461.8625136716</v>
      </c>
      <c r="BE40" s="856">
        <f>'3-F DRAW'!AQ57+'3-G DRAW'!AT57</f>
        <v>1177461.8625136712</v>
      </c>
      <c r="BF40" s="856">
        <f>'3-F DRAW'!AR57+'3-G DRAW'!AU57</f>
        <v>229699498.84818929</v>
      </c>
      <c r="BG40" s="435"/>
      <c r="BH40" s="435"/>
      <c r="BI40" s="435"/>
      <c r="BJ40" s="435"/>
      <c r="BK40" s="435"/>
      <c r="BL40" s="435"/>
      <c r="BM40" s="435"/>
      <c r="BN40" s="435"/>
      <c r="BO40" s="425"/>
    </row>
    <row r="41" spans="1:67">
      <c r="A41" s="426" t="s">
        <v>376</v>
      </c>
      <c r="B41" s="427">
        <f ca="1">IF(B40&lt;0,0,IRR(T40:BF40))</f>
        <v>2.7489750774302824E-2</v>
      </c>
      <c r="C41" s="428"/>
      <c r="D41" s="428"/>
      <c r="E41" s="428"/>
      <c r="F41" s="428"/>
      <c r="G41" s="428"/>
      <c r="H41" s="428"/>
      <c r="I41" s="428"/>
      <c r="J41" s="428"/>
      <c r="K41" s="428"/>
      <c r="L41" s="428"/>
      <c r="M41" s="428"/>
      <c r="N41" s="428"/>
      <c r="O41" s="428"/>
      <c r="P41" s="428"/>
      <c r="Q41" s="428"/>
      <c r="R41" s="428"/>
      <c r="S41" s="428"/>
      <c r="T41" s="428"/>
      <c r="U41" s="428"/>
      <c r="V41" s="428"/>
      <c r="W41" s="428"/>
      <c r="X41" s="428"/>
      <c r="Y41" s="428"/>
      <c r="Z41" s="428"/>
      <c r="AA41" s="428"/>
      <c r="AB41" s="428"/>
      <c r="AC41" s="428"/>
      <c r="AD41" s="428"/>
      <c r="AE41" s="428"/>
      <c r="AF41" s="428"/>
      <c r="AG41" s="428"/>
      <c r="AH41" s="428"/>
      <c r="AI41" s="428"/>
      <c r="AJ41" s="428"/>
      <c r="AK41" s="428"/>
      <c r="AL41" s="428"/>
      <c r="AM41" s="428"/>
      <c r="AN41" s="428"/>
      <c r="AO41" s="428"/>
      <c r="AP41" s="428"/>
      <c r="AQ41" s="428"/>
      <c r="AR41" s="428"/>
      <c r="AS41" s="428"/>
      <c r="AT41" s="428"/>
      <c r="AU41" s="428"/>
      <c r="AV41" s="428"/>
      <c r="AW41" s="428"/>
      <c r="AX41" s="428"/>
      <c r="AY41" s="428"/>
      <c r="AZ41" s="428"/>
      <c r="BA41" s="428"/>
      <c r="BB41" s="428"/>
      <c r="BC41" s="428"/>
      <c r="BD41" s="428"/>
      <c r="BE41" s="428"/>
      <c r="BF41" s="428"/>
      <c r="BG41" s="428"/>
      <c r="BH41" s="428"/>
      <c r="BI41" s="428"/>
      <c r="BJ41" s="428"/>
      <c r="BK41" s="428"/>
      <c r="BL41" s="428"/>
      <c r="BM41" s="428"/>
      <c r="BN41" s="428"/>
      <c r="BO41" s="429"/>
    </row>
    <row r="42" spans="1:67">
      <c r="A42" s="426" t="s">
        <v>377</v>
      </c>
      <c r="B42" s="430">
        <f ca="1">POWER((1+B41),4)-1</f>
        <v>0.11457678706788044</v>
      </c>
      <c r="C42" s="431"/>
      <c r="D42" s="431"/>
      <c r="E42" s="431"/>
      <c r="F42" s="431"/>
      <c r="G42" s="431"/>
      <c r="H42" s="431"/>
      <c r="I42" s="431"/>
      <c r="J42" s="431"/>
      <c r="K42" s="431"/>
      <c r="L42" s="431"/>
      <c r="M42" s="431"/>
      <c r="N42" s="431"/>
      <c r="O42" s="431"/>
      <c r="P42" s="431"/>
      <c r="Q42" s="431"/>
      <c r="R42" s="431"/>
      <c r="S42" s="431"/>
      <c r="T42" s="431"/>
      <c r="U42" s="431"/>
      <c r="V42" s="431"/>
      <c r="W42" s="431"/>
      <c r="X42" s="431"/>
      <c r="Y42" s="431"/>
      <c r="Z42" s="431"/>
      <c r="AA42" s="431"/>
      <c r="AB42" s="431"/>
      <c r="AC42" s="431"/>
      <c r="AD42" s="431"/>
      <c r="AE42" s="431"/>
      <c r="AF42" s="431"/>
      <c r="AG42" s="431"/>
      <c r="AH42" s="431"/>
      <c r="AI42" s="431"/>
      <c r="AJ42" s="431"/>
      <c r="AK42" s="431"/>
      <c r="AL42" s="431"/>
      <c r="AM42" s="431"/>
      <c r="AN42" s="431"/>
      <c r="AO42" s="431"/>
      <c r="AP42" s="431"/>
      <c r="AQ42" s="431"/>
      <c r="AR42" s="431"/>
      <c r="AS42" s="431"/>
      <c r="AT42" s="431"/>
      <c r="AU42" s="431"/>
      <c r="AV42" s="431"/>
      <c r="AW42" s="431"/>
      <c r="AX42" s="431"/>
      <c r="AY42" s="431"/>
      <c r="AZ42" s="431"/>
      <c r="BA42" s="431"/>
      <c r="BB42" s="431"/>
      <c r="BC42" s="431"/>
      <c r="BD42" s="431"/>
      <c r="BE42" s="431"/>
      <c r="BF42" s="431"/>
      <c r="BG42" s="431"/>
      <c r="BH42" s="431"/>
      <c r="BI42" s="431"/>
      <c r="BJ42" s="431"/>
      <c r="BK42" s="431"/>
      <c r="BL42" s="431"/>
      <c r="BM42" s="431"/>
      <c r="BN42" s="431"/>
      <c r="BO42" s="432"/>
    </row>
    <row r="43" spans="1:67">
      <c r="A43" s="431"/>
      <c r="B43" s="433"/>
      <c r="C43" s="431"/>
      <c r="D43" s="431"/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1"/>
      <c r="AG43" s="431"/>
      <c r="AH43" s="431"/>
      <c r="AI43" s="431"/>
      <c r="AJ43" s="431"/>
      <c r="AK43" s="431"/>
      <c r="AL43" s="431"/>
      <c r="AM43" s="431"/>
      <c r="AN43" s="431"/>
      <c r="AO43" s="431"/>
      <c r="AP43" s="431"/>
      <c r="AQ43" s="431"/>
      <c r="AR43" s="431"/>
      <c r="AS43" s="431"/>
      <c r="AT43" s="431"/>
      <c r="AU43" s="431"/>
      <c r="AV43" s="431"/>
      <c r="AW43" s="431"/>
      <c r="AX43" s="431"/>
      <c r="AY43" s="431"/>
      <c r="AZ43" s="431"/>
      <c r="BA43" s="431"/>
      <c r="BB43" s="431"/>
      <c r="BC43" s="431"/>
      <c r="BD43" s="431"/>
      <c r="BE43" s="431"/>
      <c r="BF43" s="431"/>
      <c r="BG43" s="431"/>
      <c r="BH43" s="431"/>
      <c r="BI43" s="431"/>
      <c r="BJ43" s="431"/>
      <c r="BK43" s="431"/>
      <c r="BL43" s="431"/>
      <c r="BM43" s="431"/>
      <c r="BN43" s="431"/>
      <c r="BO43" s="432"/>
    </row>
    <row r="44" spans="1:67">
      <c r="A44" s="426" t="s">
        <v>378</v>
      </c>
      <c r="B44" s="425">
        <f ca="1">SUM(T44:BF44)</f>
        <v>283460567.88717341</v>
      </c>
      <c r="C44" s="435"/>
      <c r="D44" s="435"/>
      <c r="E44" s="435"/>
      <c r="F44" s="435"/>
      <c r="G44" s="435"/>
      <c r="H44" s="435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>
        <f>'3-F DRAW'!E53+'3-G DRAW'!E53</f>
        <v>0</v>
      </c>
      <c r="T44" s="435">
        <f ca="1">'3-F DRAW'!F53+'3-G DRAW'!F53</f>
        <v>-1588500.108</v>
      </c>
      <c r="U44" s="435">
        <f ca="1">'3-F DRAW'!G53+'3-G DRAW'!G53</f>
        <v>-1588500.108</v>
      </c>
      <c r="V44" s="435">
        <f ca="1">'3-F DRAW'!H53+'3-G DRAW'!H53</f>
        <v>-1588500.108</v>
      </c>
      <c r="W44" s="435">
        <f ca="1">'3-F DRAW'!I53+'3-G DRAW'!I53</f>
        <v>-1588500.108</v>
      </c>
      <c r="X44" s="435">
        <f ca="1">'3-F DRAW'!J53+'3-G DRAW'!J53</f>
        <v>-3246763.9680000003</v>
      </c>
      <c r="Y44" s="435">
        <f ca="1">'3-F DRAW'!K53+'3-G DRAW'!K53</f>
        <v>-12959251.76385056</v>
      </c>
      <c r="Z44" s="435">
        <f ca="1">'3-F DRAW'!L53+'3-G DRAW'!L53</f>
        <v>-15166741.936927322</v>
      </c>
      <c r="AA44" s="435">
        <f ca="1">'3-F DRAW'!M53+'3-G DRAW'!M53</f>
        <v>-29780575.683249481</v>
      </c>
      <c r="AB44" s="435">
        <f ca="1">'3-F DRAW'!N53+'3-G DRAW'!N53</f>
        <v>-51334534.44949536</v>
      </c>
      <c r="AC44" s="435">
        <f ca="1">'3-F DRAW'!O53+'3-G DRAW'!O53</f>
        <v>-71446827.635926187</v>
      </c>
      <c r="AD44" s="435">
        <f ca="1">'3-F DRAW'!P53+'3-G DRAW'!P53</f>
        <v>-77938366.048742756</v>
      </c>
      <c r="AE44" s="435">
        <f ca="1">'3-F DRAW'!Q53+'3-G DRAW'!Q53</f>
        <v>-67057004.500384212</v>
      </c>
      <c r="AF44" s="435">
        <f ca="1">'3-F DRAW'!R53+'3-G DRAW'!R53</f>
        <v>-48363670.656542614</v>
      </c>
      <c r="AG44" s="435">
        <f ca="1">'3-F DRAW'!S53+'3-G DRAW'!S53</f>
        <v>-28600841.954413097</v>
      </c>
      <c r="AH44" s="435">
        <f ca="1">'3-F DRAW'!T53+'3-G DRAW'!T53</f>
        <v>-13959125.164419021</v>
      </c>
      <c r="AI44" s="435">
        <f ca="1">'3-F DRAW'!U53+'3-G DRAW'!U53</f>
        <v>-6281933.2808400122</v>
      </c>
      <c r="AJ44" s="856">
        <f ca="1">'3-F DRAW'!V53+'3-G DRAW'!Y53</f>
        <v>-928379.44882714655</v>
      </c>
      <c r="AK44" s="856">
        <f ca="1">'3-F DRAW'!W53+'3-G DRAW'!Z53</f>
        <v>-1148916.2381833335</v>
      </c>
      <c r="AL44" s="856">
        <f ca="1">'3-F DRAW'!X53+'3-G DRAW'!AA53</f>
        <v>-735622.19925000006</v>
      </c>
      <c r="AM44" s="856">
        <f>'3-F DRAW'!Y53+'3-G DRAW'!AB53</f>
        <v>5767331.5091500003</v>
      </c>
      <c r="AN44" s="856">
        <f>'3-F DRAW'!Z53+'3-G DRAW'!AC53</f>
        <v>5852040.6798999999</v>
      </c>
      <c r="AO44" s="856">
        <f>'3-F DRAW'!AA53+'3-G DRAW'!AD53</f>
        <v>5852040.6798999999</v>
      </c>
      <c r="AP44" s="856">
        <f>'3-F DRAW'!AB53+'3-G DRAW'!AE53</f>
        <v>5852040.6798999999</v>
      </c>
      <c r="AQ44" s="856">
        <f>'3-F DRAW'!AC53+'3-G DRAW'!AF53</f>
        <v>5979776.7583140004</v>
      </c>
      <c r="AR44" s="856">
        <f>'3-F DRAW'!AD53+'3-G DRAW'!AG53</f>
        <v>6067874.2958940007</v>
      </c>
      <c r="AS44" s="856">
        <f>'3-F DRAW'!AE53+'3-G DRAW'!AH53</f>
        <v>6067874.2958940007</v>
      </c>
      <c r="AT44" s="856">
        <f>'3-F DRAW'!AF53+'3-G DRAW'!AI53</f>
        <v>6067874.2958940007</v>
      </c>
      <c r="AU44" s="856">
        <f>'3-F DRAW'!AG53+'3-G DRAW'!AJ53</f>
        <v>6200081.1370524894</v>
      </c>
      <c r="AV44" s="856">
        <f>'3-F DRAW'!AH53+'3-G DRAW'!AK53</f>
        <v>6291702.5761356894</v>
      </c>
      <c r="AW44" s="856">
        <f>'3-F DRAW'!AI53+'3-G DRAW'!AL53</f>
        <v>6291702.5761356894</v>
      </c>
      <c r="AX44" s="856">
        <f>'3-F DRAW'!AJ53+'3-G DRAW'!AM53</f>
        <v>6291702.5761356894</v>
      </c>
      <c r="AY44" s="856">
        <f>'3-F DRAW'!AK53+'3-G DRAW'!AN53</f>
        <v>6428536.6567347273</v>
      </c>
      <c r="AZ44" s="856">
        <f>'3-F DRAW'!AL53+'3-G DRAW'!AO53</f>
        <v>6523822.9533812553</v>
      </c>
      <c r="BA44" s="856">
        <f>'3-F DRAW'!AM53+'3-G DRAW'!AP53</f>
        <v>6523822.9533812553</v>
      </c>
      <c r="BB44" s="856">
        <f>'3-F DRAW'!AN53+'3-G DRAW'!AQ53</f>
        <v>6523822.9533812553</v>
      </c>
      <c r="BC44" s="856">
        <f>'3-F DRAW'!AO53+'3-G DRAW'!AR53</f>
        <v>216798237.27130148</v>
      </c>
      <c r="BD44" s="856">
        <f>'3-F DRAW'!AP53+'3-G DRAW'!AS53</f>
        <v>4188002.5139915301</v>
      </c>
      <c r="BE44" s="856">
        <f>'3-F DRAW'!AQ53+'3-G DRAW'!AT53</f>
        <v>4188002.5139915301</v>
      </c>
      <c r="BF44" s="856">
        <f>'3-F DRAW'!AR53+'3-G DRAW'!AU53</f>
        <v>395006833.3717559</v>
      </c>
      <c r="BG44" s="435"/>
      <c r="BH44" s="435"/>
      <c r="BI44" s="435"/>
      <c r="BJ44" s="435"/>
      <c r="BK44" s="435"/>
      <c r="BL44" s="435"/>
      <c r="BM44" s="435"/>
      <c r="BN44" s="435"/>
      <c r="BO44" s="426"/>
    </row>
    <row r="45" spans="1:67">
      <c r="A45" s="426" t="s">
        <v>379</v>
      </c>
      <c r="B45" s="427">
        <f ca="1">IF(B44&lt;0,0,IRR(T44:BF44))</f>
        <v>1.9741480720701698E-2</v>
      </c>
      <c r="C45" s="434"/>
      <c r="D45" s="431"/>
      <c r="E45" s="431"/>
      <c r="F45" s="431"/>
      <c r="G45" s="431"/>
      <c r="H45" s="431"/>
      <c r="I45" s="431"/>
      <c r="J45" s="431"/>
      <c r="K45" s="431"/>
      <c r="L45" s="431"/>
      <c r="M45" s="434"/>
      <c r="N45" s="431"/>
      <c r="O45" s="431"/>
      <c r="P45" s="431"/>
      <c r="Q45" s="431"/>
      <c r="R45" s="431"/>
      <c r="S45" s="434"/>
      <c r="T45" s="431"/>
      <c r="U45" s="431"/>
      <c r="V45" s="431"/>
      <c r="W45" s="431"/>
      <c r="X45" s="431"/>
      <c r="Y45" s="431"/>
      <c r="Z45" s="431"/>
      <c r="AA45" s="431"/>
      <c r="AB45" s="431"/>
      <c r="AC45" s="431"/>
      <c r="AD45" s="431"/>
      <c r="AE45" s="431"/>
      <c r="AF45" s="431"/>
      <c r="AG45" s="431"/>
      <c r="AH45" s="431"/>
      <c r="AI45" s="431"/>
      <c r="AJ45" s="431"/>
      <c r="AK45" s="431"/>
      <c r="AL45" s="431"/>
      <c r="AM45" s="431"/>
      <c r="AN45" s="431"/>
      <c r="AO45" s="431"/>
      <c r="AP45" s="431"/>
      <c r="AQ45" s="431"/>
      <c r="AR45" s="431"/>
      <c r="AS45" s="431"/>
      <c r="AT45" s="431"/>
      <c r="AU45" s="431"/>
      <c r="AV45" s="431"/>
      <c r="AW45" s="431"/>
      <c r="AX45" s="431"/>
      <c r="AY45" s="431"/>
      <c r="AZ45" s="431"/>
      <c r="BA45" s="431"/>
      <c r="BB45" s="431"/>
      <c r="BC45" s="431"/>
      <c r="BD45" s="431"/>
      <c r="BE45" s="431"/>
      <c r="BF45" s="431"/>
      <c r="BG45" s="431"/>
      <c r="BH45" s="431"/>
      <c r="BI45" s="431"/>
      <c r="BJ45" s="431"/>
      <c r="BK45" s="431"/>
      <c r="BL45" s="431"/>
      <c r="BM45" s="431"/>
      <c r="BN45" s="431"/>
      <c r="BO45" s="426"/>
    </row>
    <row r="46" spans="1:67">
      <c r="A46" s="426" t="s">
        <v>380</v>
      </c>
      <c r="B46" s="430">
        <f ca="1">POWER((1+B45),4)-1</f>
        <v>8.1335206213566602E-2</v>
      </c>
      <c r="C46" s="431"/>
      <c r="D46" s="431"/>
      <c r="E46" s="431"/>
      <c r="F46" s="431"/>
      <c r="G46" s="431"/>
      <c r="H46" s="431"/>
      <c r="I46" s="431"/>
      <c r="J46" s="431"/>
      <c r="K46" s="431"/>
      <c r="L46" s="431"/>
      <c r="M46" s="434"/>
      <c r="N46" s="431"/>
      <c r="O46" s="431"/>
      <c r="P46" s="431"/>
      <c r="Q46" s="431"/>
      <c r="R46" s="431"/>
      <c r="S46" s="434"/>
      <c r="T46" s="431"/>
      <c r="U46" s="431"/>
      <c r="V46" s="431"/>
      <c r="W46" s="431"/>
      <c r="X46" s="431"/>
      <c r="Y46" s="431"/>
      <c r="Z46" s="431"/>
      <c r="AA46" s="431"/>
      <c r="AB46" s="431"/>
      <c r="AC46" s="431"/>
      <c r="AD46" s="431"/>
      <c r="AE46" s="431"/>
      <c r="AF46" s="431"/>
      <c r="AG46" s="431"/>
      <c r="AH46" s="431"/>
      <c r="AI46" s="431"/>
      <c r="AJ46" s="431"/>
      <c r="AK46" s="431"/>
      <c r="AL46" s="431"/>
      <c r="AM46" s="431"/>
      <c r="AN46" s="431"/>
      <c r="AO46" s="431"/>
      <c r="AP46" s="431"/>
      <c r="AQ46" s="431"/>
      <c r="AR46" s="431"/>
      <c r="AS46" s="431"/>
      <c r="AT46" s="431"/>
      <c r="AU46" s="431"/>
      <c r="AV46" s="431"/>
      <c r="AW46" s="431"/>
      <c r="AX46" s="431"/>
      <c r="AY46" s="431"/>
      <c r="AZ46" s="431"/>
      <c r="BA46" s="431"/>
      <c r="BB46" s="431"/>
      <c r="BC46" s="431"/>
      <c r="BD46" s="431"/>
      <c r="BE46" s="431"/>
      <c r="BF46" s="431"/>
      <c r="BG46" s="431"/>
      <c r="BH46" s="431"/>
      <c r="BI46" s="431"/>
      <c r="BJ46" s="431"/>
      <c r="BK46" s="431"/>
      <c r="BL46" s="431"/>
      <c r="BM46" s="431"/>
      <c r="BN46" s="431"/>
      <c r="BO46" s="426"/>
    </row>
    <row r="47" spans="1:67">
      <c r="G47" s="5"/>
      <c r="AA47"/>
      <c r="AB47"/>
      <c r="AC47"/>
      <c r="AD47"/>
      <c r="AE47"/>
      <c r="AF47"/>
      <c r="AH47"/>
      <c r="AI47"/>
      <c r="AJ47"/>
    </row>
    <row r="48" spans="1:67">
      <c r="A48" s="118" t="s">
        <v>164</v>
      </c>
      <c r="G48" s="5"/>
      <c r="AB48" s="5"/>
      <c r="AE48" s="5"/>
    </row>
    <row r="49" spans="1:67">
      <c r="A49" s="1069" t="s">
        <v>372</v>
      </c>
      <c r="G49" s="5"/>
      <c r="AB49"/>
      <c r="AC49"/>
      <c r="AD49"/>
      <c r="AE49"/>
    </row>
    <row r="50" spans="1:67">
      <c r="A50" s="1069"/>
      <c r="G50" s="5"/>
      <c r="AB50"/>
      <c r="AC50"/>
      <c r="AD50"/>
      <c r="AE50"/>
      <c r="BO50" s="26" t="s">
        <v>373</v>
      </c>
    </row>
    <row r="51" spans="1:67" ht="15" thickBot="1">
      <c r="A51" s="1070"/>
      <c r="B51" s="421" t="s">
        <v>374</v>
      </c>
      <c r="C51" s="422">
        <v>46022</v>
      </c>
      <c r="D51" s="423">
        <f t="shared" ref="D51:AT51" si="10">EOMONTH(C51,3)</f>
        <v>46112</v>
      </c>
      <c r="E51" s="423">
        <f t="shared" si="10"/>
        <v>46203</v>
      </c>
      <c r="F51" s="423">
        <f t="shared" si="10"/>
        <v>46295</v>
      </c>
      <c r="G51" s="423">
        <f t="shared" si="10"/>
        <v>46387</v>
      </c>
      <c r="H51" s="423">
        <f t="shared" si="10"/>
        <v>46477</v>
      </c>
      <c r="I51" s="423">
        <f t="shared" si="10"/>
        <v>46568</v>
      </c>
      <c r="J51" s="423">
        <f t="shared" si="10"/>
        <v>46660</v>
      </c>
      <c r="K51" s="423">
        <f t="shared" si="10"/>
        <v>46752</v>
      </c>
      <c r="L51" s="423">
        <f t="shared" si="10"/>
        <v>46843</v>
      </c>
      <c r="M51" s="423">
        <f t="shared" si="10"/>
        <v>46934</v>
      </c>
      <c r="N51" s="423">
        <f t="shared" si="10"/>
        <v>47026</v>
      </c>
      <c r="O51" s="423">
        <f t="shared" si="10"/>
        <v>47118</v>
      </c>
      <c r="P51" s="423">
        <f t="shared" si="10"/>
        <v>47208</v>
      </c>
      <c r="Q51" s="423">
        <f t="shared" si="10"/>
        <v>47299</v>
      </c>
      <c r="R51" s="423">
        <f t="shared" si="10"/>
        <v>47391</v>
      </c>
      <c r="S51" s="423">
        <f t="shared" si="10"/>
        <v>47483</v>
      </c>
      <c r="T51" s="423">
        <f t="shared" si="10"/>
        <v>47573</v>
      </c>
      <c r="U51" s="423">
        <f t="shared" si="10"/>
        <v>47664</v>
      </c>
      <c r="V51" s="423">
        <f t="shared" si="10"/>
        <v>47756</v>
      </c>
      <c r="W51" s="423">
        <f t="shared" si="10"/>
        <v>47848</v>
      </c>
      <c r="X51" s="423">
        <f t="shared" si="10"/>
        <v>47938</v>
      </c>
      <c r="Y51" s="423">
        <f t="shared" si="10"/>
        <v>48029</v>
      </c>
      <c r="Z51" s="423">
        <f t="shared" si="10"/>
        <v>48121</v>
      </c>
      <c r="AA51" s="423">
        <f t="shared" si="10"/>
        <v>48213</v>
      </c>
      <c r="AB51" s="423">
        <f t="shared" si="10"/>
        <v>48304</v>
      </c>
      <c r="AC51" s="423">
        <f t="shared" si="10"/>
        <v>48395</v>
      </c>
      <c r="AD51" s="423">
        <f t="shared" si="10"/>
        <v>48487</v>
      </c>
      <c r="AE51" s="423">
        <f t="shared" si="10"/>
        <v>48579</v>
      </c>
      <c r="AF51" s="423">
        <f t="shared" si="10"/>
        <v>48669</v>
      </c>
      <c r="AG51" s="423">
        <f t="shared" si="10"/>
        <v>48760</v>
      </c>
      <c r="AH51" s="423">
        <f t="shared" si="10"/>
        <v>48852</v>
      </c>
      <c r="AI51" s="423">
        <f t="shared" si="10"/>
        <v>48944</v>
      </c>
      <c r="AJ51" s="423">
        <f t="shared" si="10"/>
        <v>49034</v>
      </c>
      <c r="AK51" s="423">
        <f t="shared" si="10"/>
        <v>49125</v>
      </c>
      <c r="AL51" s="423">
        <f t="shared" si="10"/>
        <v>49217</v>
      </c>
      <c r="AM51" s="423">
        <f t="shared" si="10"/>
        <v>49309</v>
      </c>
      <c r="AN51" s="423">
        <f t="shared" si="10"/>
        <v>49399</v>
      </c>
      <c r="AO51" s="423">
        <f t="shared" si="10"/>
        <v>49490</v>
      </c>
      <c r="AP51" s="423">
        <f t="shared" si="10"/>
        <v>49582</v>
      </c>
      <c r="AQ51" s="423">
        <f t="shared" si="10"/>
        <v>49674</v>
      </c>
      <c r="AR51" s="423">
        <f t="shared" si="10"/>
        <v>49765</v>
      </c>
      <c r="AS51" s="423">
        <f t="shared" si="10"/>
        <v>49856</v>
      </c>
      <c r="AT51" s="423">
        <f t="shared" si="10"/>
        <v>49948</v>
      </c>
      <c r="AU51" s="423">
        <v>50040</v>
      </c>
      <c r="AV51" s="423">
        <f t="shared" ref="AV51:BN51" si="11">EOMONTH(AU51,3)</f>
        <v>50130</v>
      </c>
      <c r="AW51" s="423">
        <f t="shared" si="11"/>
        <v>50221</v>
      </c>
      <c r="AX51" s="423">
        <f t="shared" si="11"/>
        <v>50313</v>
      </c>
      <c r="AY51" s="423">
        <f t="shared" si="11"/>
        <v>50405</v>
      </c>
      <c r="AZ51" s="423">
        <f t="shared" si="11"/>
        <v>50495</v>
      </c>
      <c r="BA51" s="423">
        <f t="shared" si="11"/>
        <v>50586</v>
      </c>
      <c r="BB51" s="423">
        <f t="shared" si="11"/>
        <v>50678</v>
      </c>
      <c r="BC51" s="423">
        <f t="shared" si="11"/>
        <v>50770</v>
      </c>
      <c r="BD51" s="423">
        <f t="shared" si="11"/>
        <v>50860</v>
      </c>
      <c r="BE51" s="423">
        <f t="shared" si="11"/>
        <v>50951</v>
      </c>
      <c r="BF51" s="423">
        <f t="shared" si="11"/>
        <v>51043</v>
      </c>
      <c r="BG51" s="423">
        <f t="shared" si="11"/>
        <v>51135</v>
      </c>
      <c r="BH51" s="423">
        <f t="shared" si="11"/>
        <v>51226</v>
      </c>
      <c r="BI51" s="423">
        <f t="shared" si="11"/>
        <v>51317</v>
      </c>
      <c r="BJ51" s="423">
        <f t="shared" si="11"/>
        <v>51409</v>
      </c>
      <c r="BK51" s="423">
        <f t="shared" si="11"/>
        <v>51501</v>
      </c>
      <c r="BL51" s="423">
        <f t="shared" si="11"/>
        <v>51591</v>
      </c>
      <c r="BM51" s="423">
        <f t="shared" si="11"/>
        <v>51682</v>
      </c>
      <c r="BN51" s="423">
        <f t="shared" si="11"/>
        <v>51774</v>
      </c>
      <c r="BO51" s="424"/>
    </row>
    <row r="52" spans="1:67">
      <c r="A52" s="207" t="s">
        <v>375</v>
      </c>
      <c r="B52" s="425">
        <f ca="1">SUM(AA52:BN52)</f>
        <v>236674281.97367528</v>
      </c>
      <c r="C52" s="435"/>
      <c r="D52" s="435"/>
      <c r="E52" s="435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435"/>
      <c r="T52" s="435"/>
      <c r="U52" s="435"/>
      <c r="V52" s="435"/>
      <c r="W52" s="435"/>
      <c r="X52" s="435"/>
      <c r="Y52" s="435"/>
      <c r="Z52" s="435"/>
      <c r="AA52" s="425">
        <f>'4-I DRAW'!E57+'4-J DRAW'!E57+'4-H DRAW'!E57</f>
        <v>0</v>
      </c>
      <c r="AB52" s="425">
        <f ca="1">'4-I DRAW'!F57+'4-J DRAW'!F57+'4-H DRAW'!F57</f>
        <v>-1460750.2919999999</v>
      </c>
      <c r="AC52" s="425">
        <f ca="1">'4-I DRAW'!G57+'4-J DRAW'!G57+'4-H DRAW'!G57</f>
        <v>-1460750.2919999999</v>
      </c>
      <c r="AD52" s="425">
        <f ca="1">'4-I DRAW'!H57+'4-J DRAW'!H57+'4-H DRAW'!H57</f>
        <v>-1460750.2919999999</v>
      </c>
      <c r="AE52" s="425">
        <f ca="1">'4-I DRAW'!I57+'4-J DRAW'!I57+'4-H DRAW'!I57</f>
        <v>-1460750.2919999999</v>
      </c>
      <c r="AF52" s="425">
        <f ca="1">'4-I DRAW'!J57+'4-J DRAW'!J57+'4-H DRAW'!J57</f>
        <v>-3968368.8119999999</v>
      </c>
      <c r="AG52" s="425">
        <f ca="1">'4-I DRAW'!K57+'4-J DRAW'!K57+'4-H DRAW'!K57</f>
        <v>-8553736.253109226</v>
      </c>
      <c r="AH52" s="425">
        <f ca="1">'4-I DRAW'!L57+'4-J DRAW'!L57+'4-H DRAW'!L57</f>
        <v>-7456389.4262626581</v>
      </c>
      <c r="AI52" s="425">
        <f ca="1">'4-I DRAW'!M57+'4-J DRAW'!M57+'4-H DRAW'!M57</f>
        <v>-15545401.717632936</v>
      </c>
      <c r="AJ52" s="425">
        <f ca="1">'4-I DRAW'!N57+'4-J DRAW'!N57+'4-H DRAW'!N57</f>
        <v>-32879150.10500453</v>
      </c>
      <c r="AK52" s="425">
        <f ca="1">'4-I DRAW'!O57+'4-J DRAW'!O57+'4-H DRAW'!O57</f>
        <v>-53895679.860702351</v>
      </c>
      <c r="AL52" s="425">
        <f ca="1">'4-I DRAW'!P57+'4-J DRAW'!P57+'4-H DRAW'!P57</f>
        <v>-22911701.665185101</v>
      </c>
      <c r="AM52" s="425">
        <f ca="1">'4-I DRAW'!Q57+'4-J DRAW'!Q57+'4-H DRAW'!Q57</f>
        <v>0</v>
      </c>
      <c r="AN52" s="425">
        <f ca="1">'4-I DRAW'!R57+'4-J DRAW'!R57+'4-H DRAW'!R57</f>
        <v>0</v>
      </c>
      <c r="AO52" s="425">
        <f ca="1">'4-I DRAW'!S57+'4-J DRAW'!S57+'4-H DRAW'!S57</f>
        <v>0</v>
      </c>
      <c r="AP52" s="425">
        <f ca="1">'4-I DRAW'!T57+'4-J DRAW'!T57+'4-H DRAW'!T57</f>
        <v>0</v>
      </c>
      <c r="AQ52" s="425">
        <f ca="1">'4-I DRAW'!U57+'4-J DRAW'!U57+'4-H DRAW'!U57</f>
        <v>0</v>
      </c>
      <c r="AR52" s="425">
        <f ca="1">'4-I DRAW'!V57+'4-J DRAW'!V57+'4-H DRAW'!V57</f>
        <v>0</v>
      </c>
      <c r="AS52" s="425">
        <f ca="1">'4-I DRAW'!W57+'4-J DRAW'!W57+'4-H DRAW'!W57</f>
        <v>0</v>
      </c>
      <c r="AT52" s="425">
        <f ca="1">'4-I DRAW'!X57+'4-J DRAW'!X57+'4-H DRAW'!X57</f>
        <v>14490048.959442148</v>
      </c>
      <c r="AU52" s="425">
        <f>'4-I DRAW'!Y57+'4-J DRAW'!Y57+'4-H DRAW'!Y57</f>
        <v>1661807.6881623003</v>
      </c>
      <c r="AV52" s="425">
        <f>'4-I DRAW'!Z57+'4-J DRAW'!Z57+'4-H DRAW'!Z57</f>
        <v>1661807.6881623003</v>
      </c>
      <c r="AW52" s="425">
        <f>'4-I DRAW'!AA57+'4-J DRAW'!AA57+'4-H DRAW'!AA57</f>
        <v>1661807.6881623003</v>
      </c>
      <c r="AX52" s="425">
        <f>'4-I DRAW'!AB57+'4-J DRAW'!AB57+'4-H DRAW'!AB57</f>
        <v>1661807.6881623003</v>
      </c>
      <c r="AY52" s="425">
        <f>'4-I DRAW'!AC57+'4-J DRAW'!AC57+'4-H DRAW'!AC57</f>
        <v>1083812.6431118173</v>
      </c>
      <c r="AZ52" s="425">
        <f>'4-I DRAW'!AD57+'4-J DRAW'!AD57+'4-H DRAW'!AD57</f>
        <v>1083812.6431118171</v>
      </c>
      <c r="BA52" s="425">
        <f>'4-I DRAW'!AE57+'4-J DRAW'!AE57+'4-H DRAW'!AE57</f>
        <v>1083812.6431118173</v>
      </c>
      <c r="BB52" s="425">
        <f>'4-I DRAW'!AF57+'4-J DRAW'!AF57+'4-H DRAW'!AF57</f>
        <v>1083812.6431118171</v>
      </c>
      <c r="BC52" s="425">
        <f>'4-I DRAW'!AG57+'4-J DRAW'!AG57+'4-H DRAW'!AG57</f>
        <v>1272445.7824191316</v>
      </c>
      <c r="BD52" s="425">
        <f>'4-I DRAW'!AH57+'4-J DRAW'!AH57+'4-H DRAW'!AH57</f>
        <v>1272445.7824191316</v>
      </c>
      <c r="BE52" s="425">
        <f>'4-I DRAW'!AI57+'4-J DRAW'!AI57+'4-H DRAW'!AI57</f>
        <v>1272445.7824191316</v>
      </c>
      <c r="BF52" s="425">
        <f>'4-I DRAW'!AJ57+'4-J DRAW'!AJ57+'4-H DRAW'!AJ57</f>
        <v>1272445.7824191321</v>
      </c>
      <c r="BG52" s="425">
        <f>'4-I DRAW'!AK57+'4-J DRAW'!AK57+'4-H DRAW'!AK57</f>
        <v>1467891.5338887097</v>
      </c>
      <c r="BH52" s="425">
        <f>'4-I DRAW'!AL57+'4-J DRAW'!AL57+'4-H DRAW'!AL57</f>
        <v>1467891.5338887102</v>
      </c>
      <c r="BI52" s="425">
        <f>'4-I DRAW'!AM57+'4-J DRAW'!AM57+'4-H DRAW'!AM57</f>
        <v>1467891.5338887102</v>
      </c>
      <c r="BJ52" s="425">
        <f>'4-I DRAW'!AN57+'4-J DRAW'!AN57+'4-H DRAW'!AN57</f>
        <v>1467891.5338887097</v>
      </c>
      <c r="BK52" s="425">
        <f>'4-I DRAW'!AO57+'4-J DRAW'!AO57+'4-H DRAW'!AO57</f>
        <v>1670401.3663256173</v>
      </c>
      <c r="BL52" s="425">
        <f>'4-I DRAW'!AP57+'4-J DRAW'!AP57+'4-H DRAW'!AP57</f>
        <v>1670401.3663256171</v>
      </c>
      <c r="BM52" s="425">
        <f>'4-I DRAW'!AQ57+'4-J DRAW'!AQ57+'4-H DRAW'!AQ57</f>
        <v>1670401.3663256171</v>
      </c>
      <c r="BN52" s="425">
        <f>'4-I DRAW'!AR57+'4-J DRAW'!AR57+'4-H DRAW'!AR57</f>
        <v>346282627.3328253</v>
      </c>
      <c r="BO52" s="425"/>
    </row>
    <row r="53" spans="1:67">
      <c r="A53" s="426" t="s">
        <v>376</v>
      </c>
      <c r="B53" s="427">
        <f ca="1">IF(B52&lt;0,0,IRR(AA52:BN52))</f>
        <v>3.3911385280816164E-2</v>
      </c>
      <c r="C53" s="428"/>
      <c r="D53" s="428"/>
      <c r="E53" s="428"/>
      <c r="F53" s="428"/>
      <c r="G53" s="428"/>
      <c r="H53" s="428"/>
      <c r="I53" s="428"/>
      <c r="J53" s="428"/>
      <c r="K53" s="428"/>
      <c r="L53" s="428"/>
      <c r="M53" s="428"/>
      <c r="N53" s="428"/>
      <c r="O53" s="428"/>
      <c r="P53" s="428"/>
      <c r="Q53" s="428"/>
      <c r="R53" s="428"/>
      <c r="S53" s="428"/>
      <c r="T53" s="428"/>
      <c r="U53" s="428"/>
      <c r="V53" s="428"/>
      <c r="W53" s="428"/>
      <c r="X53" s="428"/>
      <c r="Y53" s="428"/>
      <c r="Z53" s="428"/>
      <c r="AA53" s="428"/>
      <c r="AB53" s="428"/>
      <c r="AC53" s="428"/>
      <c r="AD53" s="428"/>
      <c r="AE53" s="428"/>
      <c r="AF53" s="428"/>
      <c r="AG53" s="428"/>
      <c r="AH53" s="428"/>
      <c r="AI53" s="428"/>
      <c r="AJ53" s="428"/>
      <c r="AK53" s="428"/>
      <c r="AL53" s="428"/>
      <c r="AM53" s="428"/>
      <c r="AN53" s="428"/>
      <c r="AO53" s="428"/>
      <c r="AP53" s="428"/>
      <c r="AQ53" s="428"/>
      <c r="AR53" s="428"/>
      <c r="AS53" s="428"/>
      <c r="AT53" s="428"/>
      <c r="AU53" s="428"/>
      <c r="AV53" s="428"/>
      <c r="AW53" s="428"/>
      <c r="AX53" s="428"/>
      <c r="AY53" s="428"/>
      <c r="AZ53" s="428"/>
      <c r="BA53" s="428"/>
      <c r="BB53" s="428"/>
      <c r="BC53" s="428"/>
      <c r="BD53" s="428"/>
      <c r="BE53" s="428"/>
      <c r="BF53" s="428"/>
      <c r="BG53" s="428"/>
      <c r="BH53" s="428"/>
      <c r="BI53" s="428"/>
      <c r="BJ53" s="428"/>
      <c r="BK53" s="428"/>
      <c r="BL53" s="428"/>
      <c r="BM53" s="428"/>
      <c r="BN53" s="428"/>
      <c r="BO53" s="429"/>
    </row>
    <row r="54" spans="1:67">
      <c r="A54" s="426" t="s">
        <v>377</v>
      </c>
      <c r="B54" s="430">
        <f ca="1">POWER((1+B53),4)-1</f>
        <v>0.1427027458296477</v>
      </c>
      <c r="C54" s="431"/>
      <c r="D54" s="431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  <c r="AB54" s="431"/>
      <c r="AC54" s="431"/>
      <c r="AD54" s="431"/>
      <c r="AE54" s="431"/>
      <c r="AF54" s="431"/>
      <c r="AG54" s="431"/>
      <c r="AH54" s="431"/>
      <c r="AI54" s="431"/>
      <c r="AJ54" s="431"/>
      <c r="AK54" s="431"/>
      <c r="AL54" s="431"/>
      <c r="AM54" s="431"/>
      <c r="AN54" s="431"/>
      <c r="AO54" s="431"/>
      <c r="AP54" s="431"/>
      <c r="AQ54" s="431"/>
      <c r="AR54" s="431"/>
      <c r="AS54" s="431"/>
      <c r="AT54" s="431"/>
      <c r="AU54" s="431"/>
      <c r="AV54" s="431"/>
      <c r="AW54" s="431"/>
      <c r="AX54" s="431"/>
      <c r="AY54" s="431"/>
      <c r="AZ54" s="431"/>
      <c r="BA54" s="431"/>
      <c r="BB54" s="431"/>
      <c r="BC54" s="431"/>
      <c r="BD54" s="431"/>
      <c r="BE54" s="431"/>
      <c r="BF54" s="431"/>
      <c r="BG54" s="431"/>
      <c r="BH54" s="431"/>
      <c r="BI54" s="431"/>
      <c r="BJ54" s="431"/>
      <c r="BK54" s="431"/>
      <c r="BL54" s="431"/>
      <c r="BM54" s="431"/>
      <c r="BN54" s="431"/>
      <c r="BO54" s="432"/>
    </row>
    <row r="55" spans="1:67">
      <c r="A55" s="431"/>
      <c r="B55" s="433"/>
      <c r="C55" s="431"/>
      <c r="D55" s="431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431"/>
      <c r="AE55" s="431"/>
      <c r="AF55" s="431"/>
      <c r="AG55" s="431"/>
      <c r="AH55" s="431"/>
      <c r="AI55" s="431"/>
      <c r="AJ55" s="431"/>
      <c r="AK55" s="431"/>
      <c r="AL55" s="431"/>
      <c r="AM55" s="431"/>
      <c r="AN55" s="431"/>
      <c r="AO55" s="431"/>
      <c r="AP55" s="431"/>
      <c r="AQ55" s="431"/>
      <c r="AR55" s="431"/>
      <c r="AS55" s="431"/>
      <c r="AT55" s="431"/>
      <c r="AU55" s="431"/>
      <c r="AV55" s="431"/>
      <c r="AW55" s="431"/>
      <c r="AX55" s="431"/>
      <c r="AY55" s="431"/>
      <c r="AZ55" s="431"/>
      <c r="BA55" s="431"/>
      <c r="BB55" s="431"/>
      <c r="BC55" s="431"/>
      <c r="BD55" s="431"/>
      <c r="BE55" s="431"/>
      <c r="BF55" s="431"/>
      <c r="BG55" s="431"/>
      <c r="BH55" s="431"/>
      <c r="BI55" s="431"/>
      <c r="BJ55" s="431"/>
      <c r="BK55" s="431"/>
      <c r="BL55" s="431"/>
      <c r="BM55" s="431"/>
      <c r="BN55" s="431"/>
      <c r="BO55" s="432"/>
    </row>
    <row r="56" spans="1:67">
      <c r="A56" s="426" t="s">
        <v>378</v>
      </c>
      <c r="B56" s="425">
        <f ca="1">SUM(AA56:BN56)</f>
        <v>268904406.6299926</v>
      </c>
      <c r="C56" s="435"/>
      <c r="D56" s="435"/>
      <c r="E56" s="435"/>
      <c r="F56" s="435"/>
      <c r="G56" s="435"/>
      <c r="H56" s="435"/>
      <c r="I56" s="435"/>
      <c r="J56" s="435"/>
      <c r="K56" s="435"/>
      <c r="L56" s="435"/>
      <c r="M56" s="435"/>
      <c r="N56" s="435"/>
      <c r="O56" s="435"/>
      <c r="P56" s="435"/>
      <c r="Q56" s="435"/>
      <c r="R56" s="435"/>
      <c r="S56" s="435"/>
      <c r="T56" s="435"/>
      <c r="U56" s="435"/>
      <c r="V56" s="435"/>
      <c r="W56" s="435"/>
      <c r="X56" s="435"/>
      <c r="Y56" s="435"/>
      <c r="Z56" s="435"/>
      <c r="AA56" s="425">
        <f>'4-I DRAW'!E53+'4-J DRAW'!E53+'4-H DRAW'!E53</f>
        <v>0</v>
      </c>
      <c r="AB56" s="425">
        <f ca="1">'4-I DRAW'!F53+'4-J DRAW'!F53+'4-H DRAW'!F53</f>
        <v>-1460750.2919999999</v>
      </c>
      <c r="AC56" s="425">
        <f ca="1">'4-I DRAW'!G53+'4-J DRAW'!G53+'4-H DRAW'!G53</f>
        <v>-1460750.2919999999</v>
      </c>
      <c r="AD56" s="425">
        <f ca="1">'4-I DRAW'!H53+'4-J DRAW'!H53+'4-H DRAW'!H53</f>
        <v>-1460750.2919999999</v>
      </c>
      <c r="AE56" s="425">
        <f ca="1">'4-I DRAW'!I53+'4-J DRAW'!I53+'4-H DRAW'!I53</f>
        <v>-1460750.2919999999</v>
      </c>
      <c r="AF56" s="425">
        <f ca="1">'4-I DRAW'!J53+'4-J DRAW'!J53+'4-H DRAW'!J53</f>
        <v>-3968368.8119999999</v>
      </c>
      <c r="AG56" s="425">
        <f ca="1">'4-I DRAW'!K53+'4-J DRAW'!K53+'4-H DRAW'!K53</f>
        <v>-8553736.253109226</v>
      </c>
      <c r="AH56" s="425">
        <f ca="1">'4-I DRAW'!L53+'4-J DRAW'!L53+'4-H DRAW'!L53</f>
        <v>-7456389.4262626581</v>
      </c>
      <c r="AI56" s="425">
        <f ca="1">'4-I DRAW'!M53+'4-J DRAW'!M53+'4-H DRAW'!M53</f>
        <v>-15545401.717632936</v>
      </c>
      <c r="AJ56" s="425">
        <f ca="1">'4-I DRAW'!N53+'4-J DRAW'!N53+'4-H DRAW'!N53</f>
        <v>-32879150.10500453</v>
      </c>
      <c r="AK56" s="425">
        <f ca="1">'4-I DRAW'!O53+'4-J DRAW'!O53+'4-H DRAW'!O53</f>
        <v>-56926327.944045991</v>
      </c>
      <c r="AL56" s="425">
        <f ca="1">'4-I DRAW'!P53+'4-J DRAW'!P53+'4-H DRAW'!P53</f>
        <v>-74261141.209489763</v>
      </c>
      <c r="AM56" s="425">
        <f ca="1">'4-I DRAW'!Q53+'4-J DRAW'!Q53+'4-H DRAW'!Q53</f>
        <v>-73551054.261989787</v>
      </c>
      <c r="AN56" s="425">
        <f ca="1">'4-I DRAW'!R53+'4-J DRAW'!R53+'4-H DRAW'!R53</f>
        <v>-55296240.996545956</v>
      </c>
      <c r="AO56" s="425">
        <f ca="1">'4-I DRAW'!S53+'4-J DRAW'!S53+'4-H DRAW'!S53</f>
        <v>-31779063.157504544</v>
      </c>
      <c r="AP56" s="425">
        <f ca="1">'4-I DRAW'!T53+'4-J DRAW'!T53+'4-H DRAW'!T53</f>
        <v>-14835314.770132935</v>
      </c>
      <c r="AQ56" s="425">
        <f ca="1">'4-I DRAW'!U53+'4-J DRAW'!U53+'4-H DRAW'!U53</f>
        <v>-11698399.962095995</v>
      </c>
      <c r="AR56" s="425">
        <f ca="1">'4-I DRAW'!V53+'4-J DRAW'!V53+'4-H DRAW'!V53</f>
        <v>-9143871.0589425545</v>
      </c>
      <c r="AS56" s="425">
        <f ca="1">'4-I DRAW'!W53+'4-J DRAW'!W53+'4-H DRAW'!W53</f>
        <v>-9456154.3437333331</v>
      </c>
      <c r="AT56" s="425">
        <f ca="1">'4-I DRAW'!X53+'4-J DRAW'!X53+'4-H DRAW'!X53</f>
        <v>-4089455.5019999999</v>
      </c>
      <c r="AU56" s="425">
        <f>'4-I DRAW'!Y53+'4-J DRAW'!Y53+'4-H DRAW'!Y53</f>
        <v>5150053.0855999999</v>
      </c>
      <c r="AV56" s="425">
        <f>'4-I DRAW'!Z53+'4-J DRAW'!Z53+'4-H DRAW'!Z53</f>
        <v>5150053.0855999999</v>
      </c>
      <c r="AW56" s="425">
        <f>'4-I DRAW'!AA53+'4-J DRAW'!AA53+'4-H DRAW'!AA53</f>
        <v>5150053.0855999999</v>
      </c>
      <c r="AX56" s="425">
        <f>'4-I DRAW'!AB53+'4-J DRAW'!AB53+'4-H DRAW'!AB53</f>
        <v>5150053.0855999999</v>
      </c>
      <c r="AY56" s="425">
        <f>'4-I DRAW'!AC53+'4-J DRAW'!AC53+'4-H DRAW'!AC53</f>
        <v>5332115.9416693021</v>
      </c>
      <c r="AZ56" s="425">
        <f>'4-I DRAW'!AD53+'4-J DRAW'!AD53+'4-H DRAW'!AD53</f>
        <v>5332115.9416693021</v>
      </c>
      <c r="BA56" s="425">
        <f>'4-I DRAW'!AE53+'4-J DRAW'!AE53+'4-H DRAW'!AE53</f>
        <v>5332115.9416693021</v>
      </c>
      <c r="BB56" s="425">
        <f>'4-I DRAW'!AF53+'4-J DRAW'!AF53+'4-H DRAW'!AF53</f>
        <v>5332115.9416693021</v>
      </c>
      <c r="BC56" s="425">
        <f>'4-I DRAW'!AG53+'4-J DRAW'!AG53+'4-H DRAW'!AG53</f>
        <v>5520749.0809766166</v>
      </c>
      <c r="BD56" s="425">
        <f>'4-I DRAW'!AH53+'4-J DRAW'!AH53+'4-H DRAW'!AH53</f>
        <v>5520749.0809766166</v>
      </c>
      <c r="BE56" s="425">
        <f>'4-I DRAW'!AI53+'4-J DRAW'!AI53+'4-H DRAW'!AI53</f>
        <v>5520749.0809766166</v>
      </c>
      <c r="BF56" s="425">
        <f>'4-I DRAW'!AJ53+'4-J DRAW'!AJ53+'4-H DRAW'!AJ53</f>
        <v>5520749.0809766166</v>
      </c>
      <c r="BG56" s="425">
        <f>'4-I DRAW'!AK53+'4-J DRAW'!AK53+'4-H DRAW'!AK53</f>
        <v>5716194.8324461933</v>
      </c>
      <c r="BH56" s="425">
        <f>'4-I DRAW'!AL53+'4-J DRAW'!AL53+'4-H DRAW'!AL53</f>
        <v>5716194.8324461933</v>
      </c>
      <c r="BI56" s="425">
        <f>'4-I DRAW'!AM53+'4-J DRAW'!AM53+'4-H DRAW'!AM53</f>
        <v>5716194.8324461933</v>
      </c>
      <c r="BJ56" s="425">
        <f>'4-I DRAW'!AN53+'4-J DRAW'!AN53+'4-H DRAW'!AN53</f>
        <v>5716194.8324461933</v>
      </c>
      <c r="BK56" s="425">
        <f>'4-I DRAW'!AO53+'4-J DRAW'!AO53+'4-H DRAW'!AO53</f>
        <v>5918704.6648831014</v>
      </c>
      <c r="BL56" s="425">
        <f>'4-I DRAW'!AP53+'4-J DRAW'!AP53+'4-H DRAW'!AP53</f>
        <v>5918704.6648831014</v>
      </c>
      <c r="BM56" s="425">
        <f>'4-I DRAW'!AQ53+'4-J DRAW'!AQ53+'4-H DRAW'!AQ53</f>
        <v>5918704.6648831014</v>
      </c>
      <c r="BN56" s="425">
        <f>'4-I DRAW'!AR53+'4-J DRAW'!AR53+'4-H DRAW'!AR53</f>
        <v>579554911.56106508</v>
      </c>
      <c r="BO56" s="426"/>
    </row>
    <row r="57" spans="1:67">
      <c r="A57" s="426" t="s">
        <v>379</v>
      </c>
      <c r="B57" s="427">
        <f ca="1">IF(B56&lt;0,0,IRR(AA56:BN56))</f>
        <v>1.9507628850054193E-2</v>
      </c>
      <c r="C57" s="434"/>
      <c r="D57" s="431"/>
      <c r="E57" s="431"/>
      <c r="F57" s="431"/>
      <c r="G57" s="431"/>
      <c r="H57" s="431"/>
      <c r="I57" s="431"/>
      <c r="J57" s="431"/>
      <c r="K57" s="431"/>
      <c r="L57" s="431"/>
      <c r="M57" s="434"/>
      <c r="N57" s="431"/>
      <c r="O57" s="431"/>
      <c r="P57" s="431"/>
      <c r="Q57" s="431"/>
      <c r="R57" s="431"/>
      <c r="S57" s="434"/>
      <c r="T57" s="431"/>
      <c r="U57" s="431"/>
      <c r="V57" s="431"/>
      <c r="W57" s="431"/>
      <c r="X57" s="431"/>
      <c r="Y57" s="431"/>
      <c r="Z57" s="431"/>
      <c r="AA57" s="431"/>
      <c r="AB57" s="431"/>
      <c r="AC57" s="431"/>
      <c r="AD57" s="431"/>
      <c r="AE57" s="431"/>
      <c r="AF57" s="431"/>
      <c r="AG57" s="431"/>
      <c r="AH57" s="431"/>
      <c r="AI57" s="431"/>
      <c r="AJ57" s="431"/>
      <c r="AK57" s="431"/>
      <c r="AL57" s="431"/>
      <c r="AM57" s="431"/>
      <c r="AN57" s="431"/>
      <c r="AO57" s="431"/>
      <c r="AP57" s="431"/>
      <c r="AQ57" s="431"/>
      <c r="AR57" s="431"/>
      <c r="AS57" s="431"/>
      <c r="AT57" s="431"/>
      <c r="AU57" s="431"/>
      <c r="AV57" s="431"/>
      <c r="AW57" s="431"/>
      <c r="AX57" s="431"/>
      <c r="AY57" s="431"/>
      <c r="AZ57" s="431"/>
      <c r="BA57" s="431"/>
      <c r="BB57" s="431"/>
      <c r="BC57" s="431"/>
      <c r="BD57" s="431"/>
      <c r="BE57" s="431"/>
      <c r="BF57" s="431"/>
      <c r="BG57" s="431"/>
      <c r="BH57" s="431"/>
      <c r="BI57" s="431"/>
      <c r="BJ57" s="431"/>
      <c r="BK57" s="431"/>
      <c r="BL57" s="431"/>
      <c r="BM57" s="431"/>
      <c r="BN57" s="431"/>
      <c r="BO57" s="426"/>
    </row>
    <row r="58" spans="1:67">
      <c r="A58" s="426" t="s">
        <v>380</v>
      </c>
      <c r="B58" s="430">
        <f ca="1">POWER((1+B57),4)-1</f>
        <v>8.0343640040851705E-2</v>
      </c>
      <c r="C58" s="431"/>
      <c r="D58" s="431"/>
      <c r="E58" s="431"/>
      <c r="F58" s="431"/>
      <c r="G58" s="431"/>
      <c r="H58" s="431"/>
      <c r="I58" s="431"/>
      <c r="J58" s="431"/>
      <c r="K58" s="431"/>
      <c r="L58" s="431"/>
      <c r="M58" s="434"/>
      <c r="N58" s="431"/>
      <c r="O58" s="431"/>
      <c r="P58" s="431"/>
      <c r="Q58" s="431"/>
      <c r="R58" s="431"/>
      <c r="S58" s="434"/>
      <c r="T58" s="431"/>
      <c r="U58" s="431"/>
      <c r="V58" s="431"/>
      <c r="W58" s="431"/>
      <c r="X58" s="431"/>
      <c r="Y58" s="431"/>
      <c r="Z58" s="431"/>
      <c r="AA58" s="431"/>
      <c r="AB58" s="431"/>
      <c r="AC58" s="431"/>
      <c r="AD58" s="431"/>
      <c r="AE58" s="431"/>
      <c r="AF58" s="431"/>
      <c r="AG58" s="431"/>
      <c r="AH58" s="431"/>
      <c r="AI58" s="431"/>
      <c r="AJ58" s="431"/>
      <c r="AK58" s="431"/>
      <c r="AL58" s="431"/>
      <c r="AM58" s="431"/>
      <c r="AN58" s="431"/>
      <c r="AO58" s="431"/>
      <c r="AP58" s="431"/>
      <c r="AQ58" s="431"/>
      <c r="AR58" s="431"/>
      <c r="AS58" s="431"/>
      <c r="AT58" s="431"/>
      <c r="AU58" s="431"/>
      <c r="AV58" s="431"/>
      <c r="AW58" s="431"/>
      <c r="AX58" s="431"/>
      <c r="AY58" s="431"/>
      <c r="AZ58" s="431"/>
      <c r="BA58" s="431"/>
      <c r="BB58" s="431"/>
      <c r="BC58" s="431"/>
      <c r="BD58" s="431"/>
      <c r="BE58" s="431"/>
      <c r="BF58" s="431"/>
      <c r="BG58" s="431"/>
      <c r="BH58" s="431"/>
      <c r="BI58" s="431"/>
      <c r="BJ58" s="431"/>
      <c r="BK58" s="431"/>
      <c r="BL58" s="431"/>
      <c r="BM58" s="431"/>
      <c r="BN58" s="431"/>
      <c r="BO58" s="426"/>
    </row>
    <row r="59" spans="1:67">
      <c r="G59" s="5"/>
      <c r="AA59"/>
      <c r="AB59"/>
      <c r="AC59"/>
      <c r="AD59"/>
      <c r="AE59"/>
      <c r="AF59"/>
    </row>
    <row r="60" spans="1:67">
      <c r="G60" s="5"/>
      <c r="AA60"/>
      <c r="AB60"/>
      <c r="AC60"/>
      <c r="AD60"/>
      <c r="AE60"/>
      <c r="AF60"/>
    </row>
    <row r="61" spans="1:67">
      <c r="G61" s="5"/>
      <c r="AA61"/>
      <c r="AB61"/>
      <c r="AC61"/>
      <c r="AD61"/>
      <c r="AE61"/>
      <c r="AF61"/>
    </row>
    <row r="62" spans="1:67">
      <c r="G62" s="5"/>
      <c r="AA62"/>
      <c r="AB62"/>
      <c r="AC62"/>
      <c r="AD62"/>
      <c r="AE62"/>
      <c r="AF62"/>
    </row>
    <row r="63" spans="1:67">
      <c r="G63" s="5"/>
      <c r="AA63"/>
      <c r="AB63"/>
      <c r="AC63"/>
      <c r="AD63"/>
      <c r="AE63"/>
      <c r="AF63"/>
    </row>
    <row r="64" spans="1:67">
      <c r="G64" s="5"/>
      <c r="AA64"/>
      <c r="AB64"/>
      <c r="AC64"/>
      <c r="AD64"/>
      <c r="AE64"/>
      <c r="AF64"/>
    </row>
    <row r="65" spans="7:32">
      <c r="G65" s="5"/>
      <c r="AA65"/>
      <c r="AB65"/>
      <c r="AC65"/>
      <c r="AD65"/>
      <c r="AE65"/>
      <c r="AF65"/>
    </row>
    <row r="66" spans="7:32">
      <c r="G66" s="5"/>
      <c r="AA66"/>
      <c r="AB66"/>
      <c r="AC66"/>
      <c r="AD66"/>
      <c r="AE66"/>
      <c r="AF66"/>
    </row>
    <row r="67" spans="7:32">
      <c r="G67" s="5"/>
      <c r="AA67"/>
      <c r="AB67"/>
      <c r="AC67"/>
      <c r="AD67"/>
      <c r="AE67"/>
      <c r="AF67"/>
    </row>
    <row r="68" spans="7:32">
      <c r="G68" s="5"/>
      <c r="AA68"/>
      <c r="AB68"/>
      <c r="AC68"/>
      <c r="AD68"/>
      <c r="AE68"/>
      <c r="AF68"/>
    </row>
    <row r="69" spans="7:32">
      <c r="G69" s="5"/>
      <c r="AA69"/>
      <c r="AB69"/>
      <c r="AC69"/>
      <c r="AD69"/>
      <c r="AE69"/>
      <c r="AF69"/>
    </row>
    <row r="70" spans="7:32">
      <c r="G70" s="5"/>
      <c r="AA70"/>
      <c r="AB70"/>
      <c r="AC70"/>
      <c r="AD70"/>
      <c r="AE70"/>
      <c r="AF70"/>
    </row>
    <row r="71" spans="7:32">
      <c r="G71" s="5"/>
      <c r="AA71"/>
      <c r="AB71"/>
      <c r="AC71"/>
      <c r="AD71"/>
      <c r="AE71"/>
      <c r="AF71"/>
    </row>
    <row r="72" spans="7:32">
      <c r="G72" s="5"/>
      <c r="AA72"/>
      <c r="AB72"/>
      <c r="AC72"/>
      <c r="AD72"/>
      <c r="AE72"/>
      <c r="AF72"/>
    </row>
    <row r="73" spans="7:32">
      <c r="G73" s="5"/>
      <c r="AA73"/>
      <c r="AB73"/>
      <c r="AC73"/>
      <c r="AD73"/>
      <c r="AE73"/>
      <c r="AF73"/>
    </row>
    <row r="74" spans="7:32">
      <c r="G74" s="5"/>
      <c r="AA74"/>
      <c r="AB74"/>
      <c r="AC74"/>
      <c r="AD74"/>
      <c r="AE74"/>
      <c r="AF74"/>
    </row>
    <row r="75" spans="7:32">
      <c r="G75" s="5"/>
      <c r="AA75"/>
      <c r="AB75"/>
      <c r="AC75"/>
      <c r="AD75"/>
      <c r="AE75"/>
      <c r="AF75"/>
    </row>
    <row r="76" spans="7:32">
      <c r="G76" s="5"/>
      <c r="AA76"/>
      <c r="AB76"/>
      <c r="AC76"/>
      <c r="AD76"/>
      <c r="AE76"/>
      <c r="AF76"/>
    </row>
    <row r="77" spans="7:32">
      <c r="G77" s="5"/>
      <c r="AA77"/>
      <c r="AB77"/>
      <c r="AC77"/>
      <c r="AD77"/>
      <c r="AE77"/>
      <c r="AF77"/>
    </row>
    <row r="78" spans="7:32">
      <c r="G78" s="5"/>
      <c r="AA78"/>
      <c r="AB78"/>
      <c r="AC78"/>
      <c r="AD78"/>
      <c r="AE78"/>
      <c r="AF78"/>
    </row>
    <row r="79" spans="7:32">
      <c r="G79" s="5"/>
      <c r="AA79"/>
      <c r="AB79"/>
      <c r="AC79"/>
      <c r="AD79"/>
      <c r="AE79"/>
      <c r="AF79"/>
    </row>
    <row r="80" spans="7:32">
      <c r="G80" s="5"/>
      <c r="AA80"/>
      <c r="AB80"/>
      <c r="AC80"/>
      <c r="AD80"/>
      <c r="AE80"/>
      <c r="AF80"/>
    </row>
    <row r="81" spans="7:32">
      <c r="G81" s="5"/>
      <c r="AA81"/>
      <c r="AB81"/>
      <c r="AC81"/>
      <c r="AD81"/>
      <c r="AE81"/>
      <c r="AF81"/>
    </row>
    <row r="82" spans="7:32">
      <c r="G82" s="5"/>
      <c r="AA82"/>
      <c r="AB82"/>
      <c r="AC82"/>
      <c r="AD82"/>
      <c r="AE82"/>
      <c r="AF82"/>
    </row>
    <row r="83" spans="7:32">
      <c r="G83" s="5"/>
      <c r="AA83"/>
      <c r="AB83"/>
      <c r="AC83"/>
      <c r="AD83"/>
      <c r="AE83"/>
      <c r="AF83"/>
    </row>
    <row r="84" spans="7:32">
      <c r="G84" s="5"/>
      <c r="AA84"/>
      <c r="AB84"/>
      <c r="AC84"/>
      <c r="AD84"/>
      <c r="AE84"/>
      <c r="AF84"/>
    </row>
    <row r="85" spans="7:32">
      <c r="G85" s="5"/>
      <c r="AA85"/>
      <c r="AB85"/>
      <c r="AC85"/>
      <c r="AD85"/>
      <c r="AE85"/>
      <c r="AF85"/>
    </row>
    <row r="86" spans="7:32">
      <c r="G86" s="5"/>
      <c r="AA86"/>
      <c r="AB86"/>
      <c r="AC86"/>
      <c r="AD86"/>
      <c r="AE86"/>
      <c r="AF86"/>
    </row>
    <row r="87" spans="7:32">
      <c r="G87" s="5"/>
      <c r="AA87"/>
      <c r="AB87"/>
      <c r="AC87"/>
      <c r="AD87"/>
      <c r="AE87"/>
      <c r="AF87"/>
    </row>
    <row r="88" spans="7:32">
      <c r="G88" s="5"/>
      <c r="AA88"/>
      <c r="AB88"/>
      <c r="AC88"/>
      <c r="AD88"/>
      <c r="AE88"/>
      <c r="AF88"/>
    </row>
    <row r="89" spans="7:32">
      <c r="G89" s="5"/>
      <c r="AA89"/>
      <c r="AB89"/>
      <c r="AC89"/>
      <c r="AD89"/>
      <c r="AE89"/>
      <c r="AF89"/>
    </row>
    <row r="90" spans="7:32">
      <c r="G90" s="5"/>
      <c r="AA90"/>
      <c r="AB90"/>
      <c r="AC90"/>
      <c r="AD90"/>
      <c r="AE90"/>
      <c r="AF90"/>
    </row>
    <row r="91" spans="7:32">
      <c r="G91" s="5"/>
      <c r="AA91"/>
      <c r="AB91"/>
      <c r="AC91"/>
      <c r="AD91"/>
      <c r="AE91"/>
      <c r="AF91"/>
    </row>
    <row r="92" spans="7:32">
      <c r="G92" s="5"/>
      <c r="AA92"/>
      <c r="AB92"/>
      <c r="AC92"/>
      <c r="AD92"/>
      <c r="AE92"/>
      <c r="AF92"/>
    </row>
    <row r="93" spans="7:32">
      <c r="G93" s="5"/>
      <c r="AA93"/>
      <c r="AB93"/>
      <c r="AC93"/>
      <c r="AD93"/>
      <c r="AE93"/>
      <c r="AF93"/>
    </row>
    <row r="94" spans="7:32">
      <c r="G94" s="5"/>
      <c r="AA94"/>
      <c r="AB94"/>
      <c r="AC94"/>
      <c r="AD94"/>
      <c r="AE94"/>
      <c r="AF94"/>
    </row>
    <row r="95" spans="7:32">
      <c r="G95" s="5"/>
      <c r="AA95"/>
      <c r="AB95"/>
      <c r="AC95"/>
      <c r="AD95"/>
      <c r="AE95"/>
      <c r="AF95"/>
    </row>
    <row r="96" spans="7:32">
      <c r="G96" s="5"/>
      <c r="AA96"/>
      <c r="AB96"/>
      <c r="AC96"/>
      <c r="AD96"/>
      <c r="AE96"/>
      <c r="AF96"/>
    </row>
    <row r="97" spans="7:32">
      <c r="G97" s="5"/>
      <c r="AA97"/>
      <c r="AB97"/>
      <c r="AC97"/>
      <c r="AD97"/>
      <c r="AE97"/>
      <c r="AF97"/>
    </row>
    <row r="98" spans="7:32">
      <c r="G98" s="5"/>
      <c r="AA98"/>
      <c r="AB98"/>
      <c r="AC98"/>
      <c r="AD98"/>
      <c r="AE98"/>
      <c r="AF98"/>
    </row>
    <row r="99" spans="7:32">
      <c r="G99" s="5"/>
      <c r="AA99"/>
      <c r="AB99"/>
      <c r="AC99"/>
      <c r="AD99"/>
      <c r="AE99"/>
      <c r="AF99"/>
    </row>
    <row r="100" spans="7:32">
      <c r="G100" s="5"/>
      <c r="AA100"/>
      <c r="AB100"/>
      <c r="AC100"/>
      <c r="AD100"/>
      <c r="AE100"/>
      <c r="AF100"/>
    </row>
    <row r="101" spans="7:32">
      <c r="G101" s="5"/>
      <c r="AA101"/>
      <c r="AB101"/>
      <c r="AC101"/>
      <c r="AD101"/>
      <c r="AE101"/>
      <c r="AF101"/>
    </row>
    <row r="102" spans="7:32">
      <c r="G102" s="5"/>
      <c r="AA102"/>
      <c r="AB102"/>
      <c r="AC102"/>
      <c r="AD102"/>
      <c r="AE102"/>
      <c r="AF102"/>
    </row>
    <row r="103" spans="7:32">
      <c r="G103" s="5"/>
      <c r="AA103"/>
      <c r="AB103"/>
      <c r="AC103"/>
      <c r="AD103"/>
      <c r="AE103"/>
      <c r="AF103"/>
    </row>
    <row r="104" spans="7:32">
      <c r="G104" s="5"/>
      <c r="AA104"/>
      <c r="AB104"/>
      <c r="AC104"/>
      <c r="AD104"/>
      <c r="AE104"/>
      <c r="AF104"/>
    </row>
    <row r="105" spans="7:32">
      <c r="G105" s="5"/>
      <c r="AA105"/>
      <c r="AB105"/>
      <c r="AC105"/>
      <c r="AD105"/>
      <c r="AE105"/>
      <c r="AF105"/>
    </row>
    <row r="106" spans="7:32">
      <c r="G106" s="5"/>
      <c r="AA106"/>
      <c r="AB106"/>
      <c r="AC106"/>
      <c r="AD106"/>
      <c r="AE106"/>
      <c r="AF106"/>
    </row>
    <row r="107" spans="7:32">
      <c r="G107" s="5"/>
      <c r="AA107"/>
      <c r="AB107"/>
      <c r="AC107"/>
      <c r="AD107"/>
      <c r="AE107"/>
      <c r="AF107"/>
    </row>
    <row r="108" spans="7:32">
      <c r="G108" s="5"/>
      <c r="AA108"/>
      <c r="AB108"/>
      <c r="AC108"/>
      <c r="AD108"/>
      <c r="AE108"/>
      <c r="AF108"/>
    </row>
    <row r="109" spans="7:32">
      <c r="G109" s="5"/>
      <c r="AA109"/>
      <c r="AB109"/>
      <c r="AC109"/>
      <c r="AD109"/>
      <c r="AE109"/>
      <c r="AF109"/>
    </row>
    <row r="110" spans="7:32">
      <c r="G110" s="5"/>
      <c r="AA110"/>
      <c r="AB110"/>
      <c r="AC110"/>
      <c r="AD110"/>
      <c r="AE110"/>
      <c r="AF110"/>
    </row>
    <row r="111" spans="7:32">
      <c r="G111" s="5"/>
      <c r="AA111"/>
      <c r="AB111"/>
      <c r="AC111"/>
      <c r="AD111"/>
      <c r="AE111"/>
      <c r="AF111"/>
    </row>
    <row r="112" spans="7:32">
      <c r="G112" s="5"/>
      <c r="AA112"/>
      <c r="AB112"/>
      <c r="AC112"/>
      <c r="AD112"/>
      <c r="AE112"/>
      <c r="AF112"/>
    </row>
    <row r="113" spans="7:32">
      <c r="G113" s="5"/>
      <c r="AA113"/>
      <c r="AB113"/>
      <c r="AC113"/>
      <c r="AD113"/>
      <c r="AE113"/>
      <c r="AF113"/>
    </row>
    <row r="114" spans="7:32">
      <c r="G114" s="5"/>
      <c r="AA114"/>
      <c r="AB114"/>
      <c r="AC114"/>
      <c r="AD114"/>
      <c r="AE114"/>
      <c r="AF114"/>
    </row>
    <row r="115" spans="7:32">
      <c r="G115" s="5"/>
      <c r="AA115"/>
      <c r="AB115"/>
      <c r="AC115"/>
      <c r="AD115"/>
      <c r="AE115"/>
      <c r="AF115"/>
    </row>
    <row r="116" spans="7:32">
      <c r="G116" s="5"/>
      <c r="AA116"/>
      <c r="AB116"/>
      <c r="AC116"/>
      <c r="AD116"/>
      <c r="AE116"/>
      <c r="AF116"/>
    </row>
    <row r="117" spans="7:32">
      <c r="G117" s="5"/>
      <c r="AA117"/>
      <c r="AB117"/>
      <c r="AC117"/>
      <c r="AD117"/>
      <c r="AE117"/>
      <c r="AF117"/>
    </row>
    <row r="118" spans="7:32">
      <c r="G118" s="5"/>
      <c r="AA118"/>
      <c r="AB118"/>
      <c r="AC118"/>
      <c r="AD118"/>
      <c r="AE118"/>
      <c r="AF118"/>
    </row>
    <row r="119" spans="7:32">
      <c r="G119" s="5"/>
      <c r="AA119"/>
      <c r="AB119"/>
      <c r="AC119"/>
      <c r="AD119"/>
      <c r="AE119"/>
      <c r="AF119"/>
    </row>
    <row r="120" spans="7:32">
      <c r="G120" s="5"/>
      <c r="AA120"/>
      <c r="AB120"/>
      <c r="AC120"/>
      <c r="AD120"/>
      <c r="AE120"/>
      <c r="AF120"/>
    </row>
    <row r="121" spans="7:32">
      <c r="G121" s="5"/>
      <c r="AA121"/>
      <c r="AB121"/>
      <c r="AC121"/>
      <c r="AD121"/>
      <c r="AE121"/>
      <c r="AF121"/>
    </row>
    <row r="122" spans="7:32">
      <c r="G122" s="5"/>
      <c r="AA122"/>
      <c r="AB122"/>
      <c r="AC122"/>
      <c r="AD122"/>
      <c r="AE122"/>
      <c r="AF122"/>
    </row>
    <row r="123" spans="7:32">
      <c r="G123" s="5"/>
      <c r="AA123"/>
      <c r="AB123"/>
      <c r="AC123"/>
      <c r="AD123"/>
      <c r="AE123"/>
      <c r="AF123"/>
    </row>
    <row r="124" spans="7:32">
      <c r="G124" s="5"/>
      <c r="AA124"/>
      <c r="AB124"/>
      <c r="AC124"/>
      <c r="AD124"/>
      <c r="AE124"/>
      <c r="AF124"/>
    </row>
    <row r="125" spans="7:32">
      <c r="G125" s="5"/>
      <c r="AA125"/>
      <c r="AB125"/>
      <c r="AC125"/>
      <c r="AD125"/>
      <c r="AE125"/>
      <c r="AF125"/>
    </row>
    <row r="126" spans="7:32">
      <c r="G126" s="5"/>
      <c r="AA126"/>
      <c r="AB126"/>
      <c r="AC126"/>
      <c r="AD126"/>
      <c r="AE126"/>
      <c r="AF126"/>
    </row>
    <row r="127" spans="7:32">
      <c r="G127" s="5"/>
      <c r="AA127"/>
      <c r="AB127"/>
      <c r="AC127"/>
      <c r="AD127"/>
      <c r="AE127"/>
      <c r="AF127"/>
    </row>
    <row r="128" spans="7:32">
      <c r="G128" s="5"/>
      <c r="AA128"/>
      <c r="AB128"/>
      <c r="AC128"/>
      <c r="AD128"/>
      <c r="AE128"/>
      <c r="AF128"/>
    </row>
    <row r="129" spans="7:32">
      <c r="G129" s="5"/>
      <c r="AA129"/>
      <c r="AB129"/>
      <c r="AC129"/>
      <c r="AD129"/>
      <c r="AE129"/>
      <c r="AF129"/>
    </row>
    <row r="130" spans="7:32">
      <c r="G130" s="5"/>
      <c r="AA130"/>
      <c r="AB130"/>
      <c r="AC130"/>
      <c r="AD130"/>
      <c r="AE130"/>
      <c r="AF130"/>
    </row>
    <row r="131" spans="7:32">
      <c r="G131" s="5"/>
      <c r="AA131"/>
      <c r="AB131"/>
      <c r="AC131"/>
      <c r="AD131"/>
      <c r="AE131"/>
      <c r="AF131"/>
    </row>
    <row r="132" spans="7:32">
      <c r="G132" s="5"/>
      <c r="AA132"/>
      <c r="AB132"/>
      <c r="AC132"/>
      <c r="AD132"/>
      <c r="AE132"/>
      <c r="AF132"/>
    </row>
    <row r="133" spans="7:32">
      <c r="G133" s="5"/>
      <c r="AA133"/>
      <c r="AB133"/>
      <c r="AC133"/>
      <c r="AD133"/>
      <c r="AE133"/>
      <c r="AF133"/>
    </row>
    <row r="134" spans="7:32">
      <c r="G134" s="5"/>
      <c r="AA134"/>
      <c r="AB134"/>
      <c r="AC134"/>
      <c r="AD134"/>
      <c r="AE134"/>
      <c r="AF134"/>
    </row>
    <row r="135" spans="7:32">
      <c r="G135" s="5"/>
      <c r="AA135"/>
      <c r="AB135"/>
      <c r="AC135"/>
      <c r="AD135"/>
      <c r="AE135"/>
      <c r="AF135"/>
    </row>
    <row r="136" spans="7:32">
      <c r="G136" s="5"/>
      <c r="AA136"/>
      <c r="AB136"/>
      <c r="AC136"/>
      <c r="AD136"/>
      <c r="AE136"/>
      <c r="AF136"/>
    </row>
    <row r="137" spans="7:32">
      <c r="G137" s="5"/>
      <c r="AA137"/>
      <c r="AB137"/>
      <c r="AC137"/>
      <c r="AD137"/>
      <c r="AE137"/>
      <c r="AF137"/>
    </row>
    <row r="138" spans="7:32">
      <c r="G138" s="5"/>
      <c r="AA138"/>
      <c r="AB138"/>
      <c r="AC138"/>
      <c r="AD138"/>
      <c r="AE138"/>
      <c r="AF138"/>
    </row>
    <row r="139" spans="7:32">
      <c r="G139" s="5"/>
      <c r="AA139"/>
      <c r="AB139"/>
      <c r="AC139"/>
      <c r="AD139"/>
      <c r="AE139"/>
      <c r="AF139"/>
    </row>
    <row r="140" spans="7:32">
      <c r="G140" s="5"/>
      <c r="AA140"/>
      <c r="AB140"/>
      <c r="AC140"/>
      <c r="AD140"/>
      <c r="AE140"/>
      <c r="AF140"/>
    </row>
    <row r="141" spans="7:32">
      <c r="G141" s="5"/>
      <c r="AA141"/>
      <c r="AB141"/>
      <c r="AC141"/>
      <c r="AD141"/>
      <c r="AE141"/>
      <c r="AF141"/>
    </row>
    <row r="142" spans="7:32">
      <c r="G142" s="5"/>
      <c r="AA142"/>
      <c r="AB142"/>
      <c r="AC142"/>
      <c r="AD142"/>
      <c r="AE142"/>
      <c r="AF142"/>
    </row>
    <row r="143" spans="7:32">
      <c r="G143" s="5"/>
      <c r="AA143"/>
      <c r="AB143"/>
      <c r="AC143"/>
      <c r="AD143"/>
      <c r="AE143"/>
      <c r="AF143"/>
    </row>
    <row r="144" spans="7:32">
      <c r="G144" s="5"/>
      <c r="AA144"/>
      <c r="AB144"/>
      <c r="AC144"/>
      <c r="AD144"/>
      <c r="AE144"/>
      <c r="AF144"/>
    </row>
    <row r="145" spans="7:32">
      <c r="G145" s="5"/>
      <c r="AA145"/>
      <c r="AB145"/>
      <c r="AC145"/>
      <c r="AD145"/>
      <c r="AE145"/>
      <c r="AF145"/>
    </row>
    <row r="146" spans="7:32">
      <c r="G146" s="5"/>
      <c r="AA146"/>
      <c r="AB146"/>
      <c r="AC146"/>
      <c r="AD146"/>
      <c r="AE146"/>
      <c r="AF146"/>
    </row>
    <row r="147" spans="7:32">
      <c r="G147" s="5"/>
      <c r="AA147"/>
      <c r="AB147"/>
      <c r="AC147"/>
      <c r="AD147"/>
      <c r="AE147"/>
      <c r="AF147"/>
    </row>
    <row r="148" spans="7:32">
      <c r="G148" s="5"/>
      <c r="AA148"/>
      <c r="AB148"/>
      <c r="AC148"/>
      <c r="AD148"/>
      <c r="AE148"/>
      <c r="AF148"/>
    </row>
    <row r="149" spans="7:32">
      <c r="G149" s="5"/>
      <c r="AA149"/>
      <c r="AB149"/>
      <c r="AC149"/>
      <c r="AD149"/>
      <c r="AE149"/>
      <c r="AF149"/>
    </row>
    <row r="150" spans="7:32">
      <c r="G150" s="5"/>
      <c r="AA150"/>
      <c r="AB150"/>
      <c r="AC150"/>
      <c r="AD150"/>
      <c r="AE150"/>
      <c r="AF150"/>
    </row>
    <row r="151" spans="7:32">
      <c r="G151" s="5"/>
      <c r="AA151"/>
      <c r="AB151"/>
      <c r="AC151"/>
      <c r="AD151"/>
      <c r="AE151"/>
      <c r="AF151"/>
    </row>
    <row r="152" spans="7:32">
      <c r="G152" s="5"/>
      <c r="AA152"/>
      <c r="AB152"/>
      <c r="AC152"/>
      <c r="AD152"/>
      <c r="AE152"/>
      <c r="AF152"/>
    </row>
    <row r="153" spans="7:32">
      <c r="G153" s="5"/>
      <c r="AA153"/>
      <c r="AB153"/>
      <c r="AC153"/>
      <c r="AD153"/>
      <c r="AE153"/>
      <c r="AF153"/>
    </row>
    <row r="154" spans="7:32">
      <c r="G154" s="5"/>
      <c r="AA154"/>
      <c r="AB154"/>
      <c r="AC154"/>
      <c r="AD154"/>
      <c r="AE154"/>
      <c r="AF154"/>
    </row>
    <row r="155" spans="7:32">
      <c r="G155" s="5"/>
      <c r="AA155"/>
      <c r="AB155"/>
      <c r="AC155"/>
      <c r="AD155"/>
      <c r="AE155"/>
      <c r="AF155"/>
    </row>
    <row r="156" spans="7:32">
      <c r="G156" s="5"/>
      <c r="AA156"/>
      <c r="AB156"/>
      <c r="AC156"/>
      <c r="AD156"/>
      <c r="AE156"/>
      <c r="AF156"/>
    </row>
    <row r="157" spans="7:32">
      <c r="G157" s="5"/>
      <c r="AA157"/>
      <c r="AB157"/>
      <c r="AC157"/>
      <c r="AD157"/>
      <c r="AE157"/>
      <c r="AF157"/>
    </row>
    <row r="158" spans="7:32">
      <c r="G158" s="5"/>
      <c r="AA158"/>
      <c r="AB158"/>
      <c r="AC158"/>
      <c r="AD158"/>
      <c r="AE158"/>
      <c r="AF158"/>
    </row>
    <row r="159" spans="7:32">
      <c r="G159" s="5"/>
      <c r="AA159"/>
      <c r="AB159"/>
      <c r="AC159"/>
      <c r="AD159"/>
      <c r="AE159"/>
      <c r="AF159"/>
    </row>
    <row r="160" spans="7:32">
      <c r="G160" s="5"/>
      <c r="AA160"/>
      <c r="AB160"/>
      <c r="AC160"/>
      <c r="AD160"/>
      <c r="AE160"/>
      <c r="AF160"/>
    </row>
    <row r="161" spans="7:32">
      <c r="G161" s="5"/>
      <c r="AA161"/>
      <c r="AB161"/>
      <c r="AC161"/>
      <c r="AD161"/>
      <c r="AE161"/>
      <c r="AF161"/>
    </row>
    <row r="162" spans="7:32">
      <c r="G162" s="5"/>
      <c r="AA162"/>
      <c r="AB162"/>
      <c r="AC162"/>
      <c r="AD162"/>
      <c r="AE162"/>
      <c r="AF162"/>
    </row>
    <row r="163" spans="7:32">
      <c r="G163" s="5"/>
      <c r="AA163"/>
      <c r="AB163"/>
      <c r="AC163"/>
      <c r="AD163"/>
      <c r="AE163"/>
      <c r="AF163"/>
    </row>
    <row r="164" spans="7:32">
      <c r="G164" s="5"/>
      <c r="AA164"/>
      <c r="AB164"/>
      <c r="AC164"/>
      <c r="AD164"/>
      <c r="AE164"/>
      <c r="AF164"/>
    </row>
    <row r="165" spans="7:32">
      <c r="G165" s="5"/>
      <c r="AA165"/>
      <c r="AB165"/>
      <c r="AC165"/>
      <c r="AD165"/>
      <c r="AE165"/>
      <c r="AF165"/>
    </row>
    <row r="166" spans="7:32">
      <c r="G166" s="5"/>
      <c r="AA166"/>
      <c r="AB166"/>
      <c r="AC166"/>
      <c r="AD166"/>
      <c r="AE166"/>
      <c r="AF166"/>
    </row>
    <row r="167" spans="7:32">
      <c r="G167" s="5"/>
      <c r="AA167"/>
      <c r="AB167"/>
      <c r="AC167"/>
      <c r="AD167"/>
      <c r="AE167"/>
      <c r="AF167"/>
    </row>
    <row r="168" spans="7:32">
      <c r="G168" s="5"/>
      <c r="AA168"/>
      <c r="AB168"/>
      <c r="AC168"/>
      <c r="AD168"/>
      <c r="AE168"/>
      <c r="AF168"/>
    </row>
    <row r="169" spans="7:32">
      <c r="G169" s="5"/>
      <c r="AA169"/>
      <c r="AB169"/>
      <c r="AC169"/>
      <c r="AD169"/>
      <c r="AE169"/>
      <c r="AF169"/>
    </row>
    <row r="170" spans="7:32">
      <c r="G170" s="5"/>
      <c r="AA170"/>
      <c r="AB170"/>
      <c r="AC170"/>
      <c r="AD170"/>
      <c r="AE170"/>
      <c r="AF170"/>
    </row>
    <row r="171" spans="7:32">
      <c r="G171" s="5"/>
      <c r="AA171"/>
      <c r="AB171"/>
      <c r="AC171"/>
      <c r="AD171"/>
      <c r="AE171"/>
      <c r="AF171"/>
    </row>
    <row r="172" spans="7:32">
      <c r="G172" s="5"/>
      <c r="AA172"/>
      <c r="AB172"/>
      <c r="AC172"/>
      <c r="AD172"/>
      <c r="AE172"/>
      <c r="AF172"/>
    </row>
    <row r="173" spans="7:32">
      <c r="G173" s="5"/>
      <c r="AA173"/>
      <c r="AB173"/>
      <c r="AC173"/>
      <c r="AD173"/>
      <c r="AE173"/>
      <c r="AF173"/>
    </row>
    <row r="174" spans="7:32">
      <c r="G174" s="5"/>
      <c r="AA174"/>
      <c r="AB174"/>
      <c r="AC174"/>
      <c r="AD174"/>
      <c r="AE174"/>
      <c r="AF174"/>
    </row>
    <row r="175" spans="7:32">
      <c r="G175" s="5"/>
      <c r="AA175"/>
      <c r="AB175"/>
      <c r="AC175"/>
      <c r="AD175"/>
      <c r="AE175"/>
      <c r="AF175"/>
    </row>
    <row r="176" spans="7:32">
      <c r="G176" s="5"/>
      <c r="AA176"/>
      <c r="AB176"/>
      <c r="AC176"/>
      <c r="AD176"/>
      <c r="AE176"/>
      <c r="AF176"/>
    </row>
    <row r="177" spans="7:32">
      <c r="G177" s="5"/>
      <c r="AA177"/>
      <c r="AB177"/>
      <c r="AC177"/>
      <c r="AD177"/>
      <c r="AE177"/>
      <c r="AF177"/>
    </row>
    <row r="178" spans="7:32">
      <c r="G178" s="5"/>
      <c r="AA178"/>
      <c r="AB178"/>
      <c r="AC178"/>
      <c r="AD178"/>
      <c r="AE178"/>
      <c r="AF178"/>
    </row>
    <row r="179" spans="7:32">
      <c r="G179" s="5"/>
      <c r="AA179"/>
      <c r="AB179"/>
      <c r="AC179"/>
      <c r="AD179"/>
      <c r="AE179"/>
      <c r="AF179"/>
    </row>
    <row r="180" spans="7:32">
      <c r="G180" s="5"/>
      <c r="AA180"/>
      <c r="AB180"/>
      <c r="AC180"/>
      <c r="AD180"/>
      <c r="AE180"/>
      <c r="AF180"/>
    </row>
    <row r="181" spans="7:32">
      <c r="G181" s="5"/>
      <c r="AA181"/>
      <c r="AB181"/>
      <c r="AC181"/>
      <c r="AD181"/>
      <c r="AE181"/>
      <c r="AF181"/>
    </row>
    <row r="182" spans="7:32">
      <c r="G182" s="5"/>
      <c r="AA182"/>
      <c r="AB182"/>
      <c r="AC182"/>
      <c r="AD182"/>
      <c r="AE182"/>
      <c r="AF182"/>
    </row>
    <row r="183" spans="7:32">
      <c r="G183" s="5"/>
      <c r="AA183"/>
      <c r="AB183"/>
      <c r="AC183"/>
      <c r="AD183"/>
      <c r="AE183"/>
      <c r="AF183"/>
    </row>
    <row r="184" spans="7:32">
      <c r="G184" s="5"/>
      <c r="AA184"/>
      <c r="AB184"/>
      <c r="AC184"/>
      <c r="AD184"/>
      <c r="AE184"/>
      <c r="AF184"/>
    </row>
    <row r="185" spans="7:32">
      <c r="G185" s="5"/>
      <c r="AA185"/>
      <c r="AB185"/>
      <c r="AC185"/>
      <c r="AD185"/>
      <c r="AE185"/>
      <c r="AF185"/>
    </row>
    <row r="186" spans="7:32">
      <c r="G186" s="5"/>
      <c r="AA186"/>
      <c r="AB186"/>
      <c r="AC186"/>
      <c r="AD186"/>
      <c r="AE186"/>
      <c r="AF186"/>
    </row>
    <row r="187" spans="7:32">
      <c r="G187" s="5"/>
      <c r="AA187"/>
      <c r="AB187"/>
      <c r="AC187"/>
      <c r="AD187"/>
      <c r="AE187"/>
      <c r="AF187"/>
    </row>
    <row r="188" spans="7:32">
      <c r="G188" s="5"/>
      <c r="AA188"/>
      <c r="AB188"/>
      <c r="AC188"/>
      <c r="AD188"/>
      <c r="AE188"/>
      <c r="AF188"/>
    </row>
    <row r="189" spans="7:32">
      <c r="G189" s="5"/>
      <c r="AA189"/>
      <c r="AB189"/>
      <c r="AC189"/>
      <c r="AD189"/>
      <c r="AE189"/>
      <c r="AF189"/>
    </row>
    <row r="190" spans="7:32">
      <c r="G190" s="5"/>
      <c r="AA190"/>
      <c r="AB190"/>
      <c r="AC190"/>
      <c r="AD190"/>
      <c r="AE190"/>
      <c r="AF190"/>
    </row>
    <row r="191" spans="7:32">
      <c r="G191" s="5"/>
      <c r="AA191"/>
      <c r="AB191"/>
      <c r="AC191"/>
      <c r="AD191"/>
      <c r="AE191"/>
      <c r="AF191"/>
    </row>
    <row r="192" spans="7:32">
      <c r="G192" s="5"/>
      <c r="AA192"/>
      <c r="AB192"/>
      <c r="AC192"/>
      <c r="AD192"/>
      <c r="AE192"/>
      <c r="AF192"/>
    </row>
    <row r="193" spans="7:32">
      <c r="G193" s="5"/>
      <c r="AA193"/>
      <c r="AB193"/>
      <c r="AC193"/>
      <c r="AD193"/>
      <c r="AE193"/>
      <c r="AF193"/>
    </row>
    <row r="194" spans="7:32">
      <c r="G194" s="5"/>
      <c r="AA194"/>
      <c r="AB194"/>
      <c r="AC194"/>
      <c r="AD194"/>
      <c r="AE194"/>
      <c r="AF194"/>
    </row>
    <row r="195" spans="7:32">
      <c r="G195" s="5"/>
      <c r="AA195"/>
      <c r="AB195"/>
      <c r="AC195"/>
      <c r="AD195"/>
      <c r="AE195"/>
      <c r="AF195"/>
    </row>
    <row r="196" spans="7:32">
      <c r="G196" s="5"/>
      <c r="AA196"/>
      <c r="AB196"/>
      <c r="AC196"/>
      <c r="AD196"/>
      <c r="AE196"/>
      <c r="AF196"/>
    </row>
    <row r="197" spans="7:32">
      <c r="G197" s="5"/>
      <c r="AA197"/>
      <c r="AB197"/>
      <c r="AC197"/>
      <c r="AD197"/>
      <c r="AE197"/>
      <c r="AF197"/>
    </row>
    <row r="198" spans="7:32">
      <c r="G198" s="5"/>
      <c r="AA198"/>
      <c r="AB198"/>
      <c r="AC198"/>
      <c r="AD198"/>
      <c r="AE198"/>
      <c r="AF198"/>
    </row>
    <row r="199" spans="7:32">
      <c r="G199" s="5"/>
      <c r="AA199"/>
      <c r="AB199"/>
      <c r="AC199"/>
      <c r="AD199"/>
      <c r="AE199"/>
      <c r="AF199"/>
    </row>
    <row r="200" spans="7:32">
      <c r="G200" s="5"/>
      <c r="AA200"/>
      <c r="AB200"/>
      <c r="AC200"/>
      <c r="AD200"/>
      <c r="AE200"/>
      <c r="AF200"/>
    </row>
    <row r="201" spans="7:32">
      <c r="G201" s="5"/>
      <c r="AA201"/>
      <c r="AB201"/>
      <c r="AC201"/>
      <c r="AD201"/>
      <c r="AE201"/>
      <c r="AF201"/>
    </row>
    <row r="202" spans="7:32">
      <c r="G202" s="5"/>
      <c r="AA202"/>
      <c r="AB202"/>
      <c r="AC202"/>
      <c r="AD202"/>
      <c r="AE202"/>
      <c r="AF202"/>
    </row>
    <row r="203" spans="7:32">
      <c r="G203" s="5"/>
      <c r="AA203"/>
      <c r="AB203"/>
      <c r="AC203"/>
      <c r="AD203"/>
      <c r="AE203"/>
      <c r="AF203"/>
    </row>
    <row r="204" spans="7:32">
      <c r="G204" s="5"/>
      <c r="AA204"/>
      <c r="AB204"/>
      <c r="AC204"/>
      <c r="AD204"/>
      <c r="AE204"/>
      <c r="AF204"/>
    </row>
    <row r="205" spans="7:32">
      <c r="G205" s="5"/>
      <c r="AA205"/>
      <c r="AB205"/>
      <c r="AC205"/>
      <c r="AD205"/>
      <c r="AE205"/>
      <c r="AF205"/>
    </row>
    <row r="206" spans="7:32">
      <c r="G206" s="5"/>
      <c r="AA206"/>
      <c r="AB206"/>
      <c r="AC206"/>
      <c r="AD206"/>
      <c r="AE206"/>
      <c r="AF206"/>
    </row>
    <row r="207" spans="7:32">
      <c r="G207" s="5"/>
      <c r="AA207"/>
      <c r="AB207"/>
      <c r="AC207"/>
      <c r="AD207"/>
      <c r="AE207"/>
      <c r="AF207"/>
    </row>
    <row r="208" spans="7:32">
      <c r="G208" s="5"/>
      <c r="AA208"/>
      <c r="AB208"/>
      <c r="AC208"/>
      <c r="AD208"/>
      <c r="AE208"/>
      <c r="AF208"/>
    </row>
    <row r="209" spans="7:32">
      <c r="G209" s="5"/>
      <c r="AA209"/>
      <c r="AB209"/>
      <c r="AC209"/>
      <c r="AD209"/>
      <c r="AE209"/>
      <c r="AF209"/>
    </row>
    <row r="210" spans="7:32">
      <c r="G210" s="5"/>
      <c r="AA210"/>
      <c r="AB210"/>
      <c r="AC210"/>
      <c r="AD210"/>
      <c r="AE210"/>
      <c r="AF210"/>
    </row>
    <row r="211" spans="7:32">
      <c r="G211" s="5"/>
      <c r="AA211"/>
      <c r="AB211"/>
      <c r="AC211"/>
      <c r="AD211"/>
      <c r="AE211"/>
      <c r="AF211"/>
    </row>
    <row r="212" spans="7:32">
      <c r="G212" s="5"/>
      <c r="AA212"/>
      <c r="AB212"/>
      <c r="AC212"/>
      <c r="AD212"/>
      <c r="AE212"/>
      <c r="AF212"/>
    </row>
    <row r="213" spans="7:32">
      <c r="G213" s="5"/>
      <c r="AA213"/>
      <c r="AB213"/>
      <c r="AC213"/>
      <c r="AD213"/>
      <c r="AE213"/>
      <c r="AF213"/>
    </row>
    <row r="214" spans="7:32">
      <c r="G214" s="5"/>
      <c r="AA214"/>
      <c r="AB214"/>
      <c r="AC214"/>
      <c r="AD214"/>
      <c r="AE214"/>
      <c r="AF214"/>
    </row>
    <row r="215" spans="7:32">
      <c r="G215" s="5"/>
      <c r="AA215"/>
      <c r="AB215"/>
      <c r="AC215"/>
      <c r="AD215"/>
      <c r="AE215"/>
      <c r="AF215"/>
    </row>
    <row r="216" spans="7:32">
      <c r="G216" s="5"/>
      <c r="AA216"/>
      <c r="AB216"/>
      <c r="AC216"/>
      <c r="AD216"/>
      <c r="AE216"/>
      <c r="AF216"/>
    </row>
    <row r="217" spans="7:32">
      <c r="G217" s="5"/>
      <c r="AA217"/>
      <c r="AB217"/>
      <c r="AC217"/>
      <c r="AD217"/>
      <c r="AE217"/>
      <c r="AF217"/>
    </row>
    <row r="218" spans="7:32">
      <c r="G218" s="5"/>
      <c r="AA218"/>
      <c r="AB218"/>
      <c r="AC218"/>
      <c r="AD218"/>
      <c r="AE218"/>
      <c r="AF218"/>
    </row>
    <row r="219" spans="7:32">
      <c r="G219" s="5"/>
      <c r="AA219"/>
      <c r="AB219"/>
      <c r="AC219"/>
      <c r="AD219"/>
      <c r="AE219"/>
      <c r="AF219"/>
    </row>
    <row r="220" spans="7:32">
      <c r="G220" s="5"/>
      <c r="AA220"/>
      <c r="AB220"/>
      <c r="AC220"/>
      <c r="AD220"/>
      <c r="AE220"/>
      <c r="AF220"/>
    </row>
    <row r="221" spans="7:32">
      <c r="G221" s="5"/>
      <c r="AA221"/>
      <c r="AB221"/>
      <c r="AC221"/>
      <c r="AD221"/>
      <c r="AE221"/>
      <c r="AF221"/>
    </row>
    <row r="222" spans="7:32">
      <c r="G222" s="5"/>
      <c r="AA222"/>
      <c r="AB222"/>
      <c r="AC222"/>
      <c r="AD222"/>
      <c r="AE222"/>
      <c r="AF222"/>
    </row>
    <row r="223" spans="7:32">
      <c r="G223" s="5"/>
      <c r="AA223"/>
      <c r="AB223"/>
      <c r="AC223"/>
      <c r="AD223"/>
      <c r="AE223"/>
      <c r="AF223"/>
    </row>
    <row r="224" spans="7:32">
      <c r="G224" s="5"/>
      <c r="AA224"/>
      <c r="AB224"/>
      <c r="AC224"/>
      <c r="AD224"/>
      <c r="AE224"/>
      <c r="AF224"/>
    </row>
    <row r="225" spans="7:32">
      <c r="G225" s="5"/>
      <c r="AA225"/>
      <c r="AB225"/>
      <c r="AC225"/>
      <c r="AD225"/>
      <c r="AE225"/>
      <c r="AF225"/>
    </row>
    <row r="226" spans="7:32">
      <c r="G226" s="5"/>
      <c r="AA226"/>
      <c r="AB226"/>
      <c r="AC226"/>
      <c r="AD226"/>
      <c r="AE226"/>
      <c r="AF226"/>
    </row>
    <row r="227" spans="7:32">
      <c r="G227" s="5"/>
      <c r="AA227"/>
      <c r="AB227"/>
      <c r="AC227"/>
      <c r="AD227"/>
      <c r="AE227"/>
      <c r="AF227"/>
    </row>
    <row r="228" spans="7:32">
      <c r="G228" s="5"/>
      <c r="AA228"/>
      <c r="AB228"/>
      <c r="AC228"/>
      <c r="AD228"/>
      <c r="AE228"/>
      <c r="AF228"/>
    </row>
    <row r="229" spans="7:32">
      <c r="G229" s="5"/>
      <c r="AA229"/>
      <c r="AB229"/>
      <c r="AC229"/>
      <c r="AD229"/>
      <c r="AE229"/>
      <c r="AF229"/>
    </row>
    <row r="230" spans="7:32">
      <c r="G230" s="5"/>
      <c r="AA230"/>
      <c r="AB230"/>
      <c r="AC230"/>
      <c r="AD230"/>
      <c r="AE230"/>
      <c r="AF230"/>
    </row>
    <row r="231" spans="7:32">
      <c r="G231" s="5"/>
      <c r="AA231"/>
      <c r="AB231"/>
      <c r="AC231"/>
      <c r="AD231"/>
      <c r="AE231"/>
      <c r="AF231"/>
    </row>
    <row r="232" spans="7:32">
      <c r="G232" s="5"/>
      <c r="AA232"/>
      <c r="AB232"/>
      <c r="AC232"/>
      <c r="AD232"/>
      <c r="AE232"/>
      <c r="AF232"/>
    </row>
    <row r="233" spans="7:32">
      <c r="G233" s="5"/>
      <c r="AA233"/>
      <c r="AB233"/>
      <c r="AC233"/>
      <c r="AD233"/>
      <c r="AE233"/>
      <c r="AF233"/>
    </row>
    <row r="234" spans="7:32">
      <c r="G234" s="5"/>
      <c r="AA234"/>
      <c r="AB234"/>
      <c r="AC234"/>
      <c r="AD234"/>
      <c r="AE234"/>
      <c r="AF234"/>
    </row>
    <row r="235" spans="7:32">
      <c r="G235" s="5"/>
      <c r="AA235"/>
      <c r="AB235"/>
      <c r="AC235"/>
      <c r="AD235"/>
      <c r="AE235"/>
      <c r="AF235"/>
    </row>
    <row r="236" spans="7:32">
      <c r="G236" s="5"/>
      <c r="AA236"/>
      <c r="AB236"/>
      <c r="AC236"/>
      <c r="AD236"/>
      <c r="AE236"/>
      <c r="AF236"/>
    </row>
    <row r="237" spans="7:32">
      <c r="G237" s="5"/>
      <c r="AA237"/>
      <c r="AB237"/>
      <c r="AC237"/>
      <c r="AD237"/>
      <c r="AE237"/>
      <c r="AF237"/>
    </row>
    <row r="238" spans="7:32">
      <c r="G238" s="5"/>
      <c r="AA238"/>
      <c r="AB238"/>
      <c r="AC238"/>
      <c r="AD238"/>
      <c r="AE238"/>
      <c r="AF238"/>
    </row>
    <row r="239" spans="7:32">
      <c r="G239" s="5"/>
      <c r="AA239"/>
      <c r="AB239"/>
      <c r="AC239"/>
      <c r="AD239"/>
      <c r="AE239"/>
      <c r="AF239"/>
    </row>
    <row r="240" spans="7:32">
      <c r="G240" s="5"/>
      <c r="AA240"/>
      <c r="AB240"/>
      <c r="AC240"/>
      <c r="AD240"/>
      <c r="AE240"/>
      <c r="AF240"/>
    </row>
    <row r="241" spans="7:32">
      <c r="G241" s="5"/>
      <c r="AA241"/>
      <c r="AB241"/>
      <c r="AC241"/>
      <c r="AD241"/>
      <c r="AE241"/>
      <c r="AF241"/>
    </row>
    <row r="242" spans="7:32">
      <c r="G242" s="5"/>
      <c r="AA242"/>
      <c r="AB242"/>
      <c r="AC242"/>
      <c r="AD242"/>
      <c r="AE242"/>
      <c r="AF242"/>
    </row>
    <row r="243" spans="7:32">
      <c r="G243" s="5"/>
      <c r="AA243"/>
      <c r="AB243"/>
      <c r="AC243"/>
      <c r="AD243"/>
      <c r="AE243"/>
      <c r="AF243"/>
    </row>
    <row r="244" spans="7:32">
      <c r="G244" s="5"/>
      <c r="AA244"/>
      <c r="AB244"/>
      <c r="AC244"/>
      <c r="AD244"/>
      <c r="AE244"/>
      <c r="AF244"/>
    </row>
    <row r="245" spans="7:32">
      <c r="G245" s="5"/>
      <c r="AA245"/>
      <c r="AB245"/>
      <c r="AC245"/>
      <c r="AD245"/>
      <c r="AE245"/>
      <c r="AF245"/>
    </row>
    <row r="246" spans="7:32">
      <c r="G246" s="5"/>
      <c r="AA246"/>
      <c r="AB246"/>
      <c r="AC246"/>
      <c r="AD246"/>
      <c r="AE246"/>
      <c r="AF246"/>
    </row>
    <row r="247" spans="7:32">
      <c r="G247" s="5"/>
      <c r="AA247"/>
      <c r="AB247"/>
      <c r="AC247"/>
      <c r="AD247"/>
      <c r="AE247"/>
      <c r="AF247"/>
    </row>
    <row r="248" spans="7:32">
      <c r="G248" s="5"/>
      <c r="AA248"/>
      <c r="AB248"/>
      <c r="AC248"/>
      <c r="AD248"/>
      <c r="AE248"/>
      <c r="AF248"/>
    </row>
    <row r="249" spans="7:32">
      <c r="G249" s="5"/>
      <c r="AA249"/>
      <c r="AB249"/>
      <c r="AC249"/>
      <c r="AD249"/>
      <c r="AE249"/>
      <c r="AF249"/>
    </row>
    <row r="250" spans="7:32">
      <c r="G250" s="5"/>
      <c r="AA250"/>
      <c r="AB250"/>
      <c r="AC250"/>
      <c r="AD250"/>
      <c r="AE250"/>
      <c r="AF250"/>
    </row>
    <row r="251" spans="7:32">
      <c r="G251" s="5"/>
      <c r="AA251"/>
      <c r="AB251"/>
      <c r="AC251"/>
      <c r="AD251"/>
      <c r="AE251"/>
      <c r="AF251"/>
    </row>
    <row r="252" spans="7:32">
      <c r="G252" s="5"/>
      <c r="AA252"/>
      <c r="AB252"/>
      <c r="AC252"/>
      <c r="AD252"/>
      <c r="AE252"/>
      <c r="AF252"/>
    </row>
    <row r="253" spans="7:32">
      <c r="G253" s="5"/>
      <c r="AA253"/>
      <c r="AB253"/>
      <c r="AC253"/>
      <c r="AD253"/>
      <c r="AE253"/>
      <c r="AF253"/>
    </row>
    <row r="254" spans="7:32">
      <c r="G254" s="5"/>
      <c r="AA254"/>
      <c r="AB254"/>
      <c r="AC254"/>
      <c r="AD254"/>
      <c r="AE254"/>
      <c r="AF254"/>
    </row>
    <row r="255" spans="7:32">
      <c r="G255" s="5"/>
      <c r="AA255"/>
      <c r="AB255"/>
      <c r="AC255"/>
      <c r="AD255"/>
      <c r="AE255"/>
      <c r="AF255"/>
    </row>
    <row r="256" spans="7:32">
      <c r="G256" s="5"/>
      <c r="AA256"/>
      <c r="AB256"/>
      <c r="AC256"/>
      <c r="AD256"/>
      <c r="AE256"/>
      <c r="AF256"/>
    </row>
    <row r="257" spans="7:32">
      <c r="G257" s="5"/>
      <c r="AA257"/>
      <c r="AB257"/>
      <c r="AC257"/>
      <c r="AD257"/>
      <c r="AE257"/>
      <c r="AF257"/>
    </row>
    <row r="258" spans="7:32">
      <c r="G258" s="5"/>
      <c r="AA258"/>
      <c r="AB258"/>
      <c r="AC258"/>
      <c r="AD258"/>
      <c r="AE258"/>
      <c r="AF258"/>
    </row>
    <row r="259" spans="7:32">
      <c r="G259" s="5"/>
      <c r="AA259"/>
      <c r="AB259"/>
      <c r="AC259"/>
      <c r="AD259"/>
      <c r="AE259"/>
      <c r="AF259"/>
    </row>
    <row r="260" spans="7:32">
      <c r="G260" s="5"/>
      <c r="AA260"/>
      <c r="AB260"/>
      <c r="AC260"/>
      <c r="AD260"/>
      <c r="AE260"/>
      <c r="AF260"/>
    </row>
    <row r="261" spans="7:32">
      <c r="G261" s="5"/>
      <c r="AA261"/>
      <c r="AB261"/>
      <c r="AC261"/>
      <c r="AD261"/>
      <c r="AE261"/>
      <c r="AF261"/>
    </row>
    <row r="262" spans="7:32">
      <c r="G262" s="5"/>
      <c r="AA262"/>
      <c r="AB262"/>
      <c r="AC262"/>
      <c r="AD262"/>
      <c r="AE262"/>
      <c r="AF262"/>
    </row>
    <row r="263" spans="7:32">
      <c r="G263" s="5"/>
      <c r="AA263"/>
      <c r="AB263"/>
      <c r="AC263"/>
      <c r="AD263"/>
      <c r="AE263"/>
      <c r="AF263"/>
    </row>
    <row r="264" spans="7:32">
      <c r="G264" s="5"/>
      <c r="AA264"/>
      <c r="AB264"/>
      <c r="AC264"/>
      <c r="AD264"/>
      <c r="AE264"/>
      <c r="AF264"/>
    </row>
    <row r="265" spans="7:32">
      <c r="G265" s="5"/>
      <c r="AA265"/>
      <c r="AB265"/>
      <c r="AC265"/>
      <c r="AD265"/>
      <c r="AE265"/>
      <c r="AF265"/>
    </row>
    <row r="266" spans="7:32">
      <c r="G266" s="5"/>
      <c r="AA266"/>
      <c r="AB266"/>
      <c r="AC266"/>
      <c r="AD266"/>
      <c r="AE266"/>
      <c r="AF266"/>
    </row>
    <row r="267" spans="7:32">
      <c r="G267" s="5"/>
      <c r="AA267"/>
      <c r="AB267"/>
      <c r="AC267"/>
      <c r="AD267"/>
      <c r="AE267"/>
      <c r="AF267"/>
    </row>
    <row r="268" spans="7:32">
      <c r="G268" s="5"/>
      <c r="AA268"/>
      <c r="AB268"/>
      <c r="AC268"/>
      <c r="AD268"/>
      <c r="AE268"/>
      <c r="AF268"/>
    </row>
    <row r="269" spans="7:32">
      <c r="G269" s="5"/>
      <c r="AA269"/>
      <c r="AB269"/>
      <c r="AC269"/>
      <c r="AD269"/>
      <c r="AE269"/>
      <c r="AF269"/>
    </row>
    <row r="270" spans="7:32">
      <c r="G270" s="5"/>
      <c r="AA270"/>
      <c r="AB270"/>
      <c r="AC270"/>
      <c r="AD270"/>
      <c r="AE270"/>
      <c r="AF270"/>
    </row>
    <row r="271" spans="7:32">
      <c r="G271" s="5"/>
      <c r="AA271"/>
      <c r="AB271"/>
      <c r="AC271"/>
      <c r="AD271"/>
      <c r="AE271"/>
      <c r="AF271"/>
    </row>
    <row r="272" spans="7:32">
      <c r="G272" s="5"/>
      <c r="AA272"/>
      <c r="AB272"/>
      <c r="AC272"/>
      <c r="AD272"/>
      <c r="AE272"/>
      <c r="AF272"/>
    </row>
    <row r="273" spans="7:32">
      <c r="G273" s="5"/>
      <c r="AA273"/>
      <c r="AB273"/>
      <c r="AC273"/>
      <c r="AD273"/>
      <c r="AE273"/>
      <c r="AF273"/>
    </row>
    <row r="274" spans="7:32">
      <c r="G274" s="5"/>
      <c r="AA274"/>
      <c r="AB274"/>
      <c r="AC274"/>
      <c r="AD274"/>
      <c r="AE274"/>
      <c r="AF274"/>
    </row>
    <row r="275" spans="7:32">
      <c r="G275" s="5"/>
      <c r="AA275"/>
      <c r="AB275"/>
      <c r="AC275"/>
      <c r="AD275"/>
      <c r="AE275"/>
      <c r="AF275"/>
    </row>
    <row r="276" spans="7:32">
      <c r="G276" s="5"/>
      <c r="AA276"/>
      <c r="AB276"/>
      <c r="AC276"/>
      <c r="AD276"/>
      <c r="AE276"/>
      <c r="AF276"/>
    </row>
    <row r="277" spans="7:32">
      <c r="G277" s="5"/>
      <c r="AA277"/>
      <c r="AB277"/>
      <c r="AC277"/>
      <c r="AD277"/>
      <c r="AE277"/>
      <c r="AF277"/>
    </row>
    <row r="278" spans="7:32">
      <c r="G278" s="5"/>
      <c r="AA278"/>
      <c r="AB278"/>
      <c r="AC278"/>
      <c r="AD278"/>
      <c r="AE278"/>
      <c r="AF278"/>
    </row>
    <row r="279" spans="7:32">
      <c r="G279" s="5"/>
      <c r="AA279"/>
      <c r="AB279"/>
      <c r="AC279"/>
      <c r="AD279"/>
      <c r="AE279"/>
      <c r="AF279"/>
    </row>
    <row r="280" spans="7:32">
      <c r="G280" s="5"/>
      <c r="AA280"/>
      <c r="AB280"/>
      <c r="AC280"/>
      <c r="AD280"/>
      <c r="AE280"/>
      <c r="AF280"/>
    </row>
    <row r="281" spans="7:32">
      <c r="G281" s="5"/>
      <c r="AA281"/>
      <c r="AB281"/>
      <c r="AC281"/>
      <c r="AD281"/>
      <c r="AE281"/>
      <c r="AF281"/>
    </row>
    <row r="282" spans="7:32">
      <c r="G282" s="5"/>
      <c r="AA282"/>
      <c r="AB282"/>
      <c r="AC282"/>
      <c r="AD282"/>
      <c r="AE282"/>
      <c r="AF282"/>
    </row>
    <row r="283" spans="7:32">
      <c r="G283" s="5"/>
      <c r="AA283"/>
      <c r="AB283"/>
      <c r="AC283"/>
      <c r="AD283"/>
      <c r="AE283"/>
      <c r="AF283"/>
    </row>
    <row r="284" spans="7:32">
      <c r="G284" s="5"/>
      <c r="AA284"/>
      <c r="AB284"/>
      <c r="AC284"/>
      <c r="AD284"/>
      <c r="AE284"/>
      <c r="AF284"/>
    </row>
    <row r="285" spans="7:32">
      <c r="G285" s="5"/>
      <c r="AA285"/>
      <c r="AB285"/>
      <c r="AC285"/>
      <c r="AD285"/>
      <c r="AE285"/>
      <c r="AF285"/>
    </row>
    <row r="286" spans="7:32">
      <c r="G286" s="5"/>
      <c r="AA286"/>
      <c r="AB286"/>
      <c r="AC286"/>
      <c r="AD286"/>
      <c r="AE286"/>
      <c r="AF286"/>
    </row>
    <row r="287" spans="7:32">
      <c r="G287" s="5"/>
      <c r="AA287"/>
      <c r="AB287"/>
      <c r="AC287"/>
      <c r="AD287"/>
      <c r="AE287"/>
      <c r="AF287"/>
    </row>
    <row r="288" spans="7:32">
      <c r="G288" s="5"/>
      <c r="AA288"/>
      <c r="AB288"/>
      <c r="AC288"/>
      <c r="AD288"/>
      <c r="AE288"/>
      <c r="AF288"/>
    </row>
    <row r="289" spans="7:32">
      <c r="G289" s="5"/>
      <c r="AA289"/>
      <c r="AB289"/>
      <c r="AC289"/>
      <c r="AD289"/>
      <c r="AE289"/>
      <c r="AF289"/>
    </row>
    <row r="290" spans="7:32">
      <c r="G290" s="5"/>
      <c r="AA290"/>
      <c r="AB290"/>
      <c r="AC290"/>
      <c r="AD290"/>
      <c r="AE290"/>
      <c r="AF290"/>
    </row>
    <row r="291" spans="7:32">
      <c r="G291" s="5"/>
      <c r="AA291"/>
      <c r="AB291"/>
      <c r="AC291"/>
      <c r="AD291"/>
      <c r="AE291"/>
      <c r="AF291"/>
    </row>
    <row r="292" spans="7:32">
      <c r="G292" s="5"/>
      <c r="AA292"/>
      <c r="AB292"/>
      <c r="AC292"/>
      <c r="AD292"/>
      <c r="AE292"/>
      <c r="AF292"/>
    </row>
    <row r="293" spans="7:32">
      <c r="G293" s="5"/>
      <c r="AA293"/>
      <c r="AB293"/>
      <c r="AC293"/>
      <c r="AD293"/>
      <c r="AE293"/>
      <c r="AF293"/>
    </row>
    <row r="294" spans="7:32">
      <c r="G294" s="5"/>
      <c r="AA294"/>
      <c r="AB294"/>
      <c r="AC294"/>
      <c r="AD294"/>
      <c r="AE294"/>
      <c r="AF294"/>
    </row>
    <row r="295" spans="7:32">
      <c r="G295" s="5"/>
      <c r="AA295"/>
      <c r="AB295"/>
      <c r="AC295"/>
      <c r="AD295"/>
      <c r="AE295"/>
      <c r="AF295"/>
    </row>
    <row r="296" spans="7:32">
      <c r="G296" s="5"/>
      <c r="AA296"/>
      <c r="AB296"/>
      <c r="AC296"/>
      <c r="AD296"/>
      <c r="AE296"/>
      <c r="AF296"/>
    </row>
    <row r="297" spans="7:32">
      <c r="G297" s="5"/>
      <c r="AA297"/>
      <c r="AB297"/>
      <c r="AC297"/>
      <c r="AD297"/>
      <c r="AE297"/>
      <c r="AF297"/>
    </row>
    <row r="298" spans="7:32">
      <c r="G298" s="5"/>
      <c r="AA298"/>
      <c r="AB298"/>
      <c r="AC298"/>
      <c r="AD298"/>
      <c r="AE298"/>
      <c r="AF298"/>
    </row>
    <row r="299" spans="7:32">
      <c r="G299" s="5"/>
      <c r="AA299"/>
      <c r="AB299"/>
      <c r="AC299"/>
      <c r="AD299"/>
      <c r="AE299"/>
      <c r="AF299"/>
    </row>
    <row r="300" spans="7:32">
      <c r="G300" s="5"/>
      <c r="AA300"/>
      <c r="AB300"/>
      <c r="AC300"/>
      <c r="AD300"/>
      <c r="AE300"/>
      <c r="AF300"/>
    </row>
    <row r="301" spans="7:32">
      <c r="G301" s="5"/>
      <c r="AA301"/>
      <c r="AB301"/>
      <c r="AC301"/>
      <c r="AD301"/>
      <c r="AE301"/>
      <c r="AF301"/>
    </row>
    <row r="302" spans="7:32">
      <c r="G302" s="5"/>
      <c r="AA302"/>
      <c r="AB302"/>
      <c r="AC302"/>
      <c r="AD302"/>
      <c r="AE302"/>
      <c r="AF302"/>
    </row>
    <row r="303" spans="7:32">
      <c r="G303" s="5"/>
      <c r="AA303"/>
      <c r="AB303"/>
      <c r="AC303"/>
      <c r="AD303"/>
      <c r="AE303"/>
      <c r="AF303"/>
    </row>
    <row r="304" spans="7:32">
      <c r="G304" s="5"/>
      <c r="AA304"/>
      <c r="AB304"/>
      <c r="AC304"/>
      <c r="AD304"/>
      <c r="AE304"/>
      <c r="AF304"/>
    </row>
    <row r="305" spans="7:32">
      <c r="G305" s="5"/>
      <c r="AA305"/>
      <c r="AB305"/>
      <c r="AC305"/>
      <c r="AD305"/>
      <c r="AE305"/>
      <c r="AF305"/>
    </row>
    <row r="306" spans="7:32">
      <c r="G306" s="5"/>
      <c r="AA306"/>
      <c r="AB306"/>
      <c r="AC306"/>
      <c r="AD306"/>
      <c r="AE306"/>
      <c r="AF306"/>
    </row>
    <row r="307" spans="7:32">
      <c r="G307" s="5"/>
      <c r="AA307"/>
      <c r="AB307"/>
      <c r="AC307"/>
      <c r="AD307"/>
      <c r="AE307"/>
      <c r="AF307"/>
    </row>
    <row r="308" spans="7:32">
      <c r="G308" s="5"/>
      <c r="AA308"/>
      <c r="AB308"/>
      <c r="AC308"/>
      <c r="AD308"/>
      <c r="AE308"/>
      <c r="AF308"/>
    </row>
    <row r="309" spans="7:32">
      <c r="G309" s="5"/>
      <c r="AA309"/>
      <c r="AB309"/>
      <c r="AC309"/>
      <c r="AD309"/>
      <c r="AE309"/>
      <c r="AF309"/>
    </row>
    <row r="310" spans="7:32">
      <c r="G310" s="5"/>
      <c r="AA310"/>
      <c r="AB310"/>
      <c r="AC310"/>
      <c r="AD310"/>
      <c r="AE310"/>
      <c r="AF310"/>
    </row>
    <row r="311" spans="7:32">
      <c r="G311" s="5"/>
      <c r="AA311"/>
      <c r="AB311"/>
      <c r="AC311"/>
      <c r="AD311"/>
      <c r="AE311"/>
      <c r="AF311"/>
    </row>
    <row r="312" spans="7:32">
      <c r="G312" s="5"/>
      <c r="AA312"/>
      <c r="AB312"/>
      <c r="AC312"/>
      <c r="AD312"/>
      <c r="AE312"/>
      <c r="AF312"/>
    </row>
    <row r="313" spans="7:32">
      <c r="G313" s="5"/>
      <c r="AA313"/>
      <c r="AB313"/>
      <c r="AC313"/>
      <c r="AD313"/>
      <c r="AE313"/>
      <c r="AF313"/>
    </row>
    <row r="314" spans="7:32">
      <c r="G314" s="5"/>
      <c r="AA314"/>
      <c r="AB314"/>
      <c r="AC314"/>
      <c r="AD314"/>
      <c r="AE314"/>
      <c r="AF314"/>
    </row>
    <row r="315" spans="7:32">
      <c r="G315" s="5"/>
      <c r="AA315"/>
      <c r="AB315"/>
      <c r="AC315"/>
      <c r="AD315"/>
      <c r="AE315"/>
      <c r="AF315"/>
    </row>
    <row r="316" spans="7:32">
      <c r="G316" s="5"/>
      <c r="AA316"/>
      <c r="AB316"/>
      <c r="AC316"/>
      <c r="AD316"/>
      <c r="AE316"/>
      <c r="AF316"/>
    </row>
    <row r="317" spans="7:32">
      <c r="G317" s="5"/>
      <c r="AA317"/>
      <c r="AB317"/>
      <c r="AC317"/>
      <c r="AD317"/>
      <c r="AE317"/>
      <c r="AF317"/>
    </row>
    <row r="318" spans="7:32">
      <c r="G318" s="5"/>
      <c r="AA318"/>
      <c r="AB318"/>
      <c r="AC318"/>
      <c r="AD318"/>
      <c r="AE318"/>
      <c r="AF318"/>
    </row>
    <row r="319" spans="7:32">
      <c r="G319" s="5"/>
      <c r="AA319"/>
      <c r="AB319"/>
      <c r="AC319"/>
      <c r="AD319"/>
      <c r="AE319"/>
      <c r="AF319"/>
    </row>
    <row r="320" spans="7:32">
      <c r="G320" s="5"/>
      <c r="AA320"/>
      <c r="AB320"/>
      <c r="AC320"/>
      <c r="AD320"/>
      <c r="AE320"/>
      <c r="AF320"/>
    </row>
    <row r="321" spans="7:32">
      <c r="G321" s="5"/>
      <c r="AA321"/>
      <c r="AB321"/>
      <c r="AC321"/>
      <c r="AD321"/>
      <c r="AE321"/>
      <c r="AF321"/>
    </row>
    <row r="322" spans="7:32">
      <c r="G322" s="5"/>
      <c r="AA322"/>
      <c r="AB322"/>
      <c r="AC322"/>
      <c r="AD322"/>
      <c r="AE322"/>
      <c r="AF322"/>
    </row>
    <row r="323" spans="7:32">
      <c r="G323" s="5"/>
      <c r="AA323"/>
      <c r="AB323"/>
      <c r="AC323"/>
      <c r="AD323"/>
      <c r="AE323"/>
      <c r="AF323"/>
    </row>
    <row r="324" spans="7:32">
      <c r="G324" s="5"/>
      <c r="AA324"/>
      <c r="AB324"/>
      <c r="AC324"/>
      <c r="AD324"/>
      <c r="AE324"/>
      <c r="AF324"/>
    </row>
    <row r="325" spans="7:32">
      <c r="G325" s="5"/>
      <c r="AA325"/>
      <c r="AB325"/>
      <c r="AC325"/>
      <c r="AD325"/>
      <c r="AE325"/>
      <c r="AF325"/>
    </row>
    <row r="326" spans="7:32">
      <c r="G326" s="5"/>
      <c r="AA326"/>
      <c r="AB326"/>
      <c r="AC326"/>
      <c r="AD326"/>
      <c r="AE326"/>
      <c r="AF326"/>
    </row>
    <row r="327" spans="7:32">
      <c r="G327" s="5"/>
      <c r="AA327"/>
      <c r="AB327"/>
      <c r="AC327"/>
      <c r="AD327"/>
      <c r="AE327"/>
      <c r="AF327"/>
    </row>
    <row r="328" spans="7:32">
      <c r="G328" s="5"/>
      <c r="AA328"/>
      <c r="AB328"/>
      <c r="AC328"/>
      <c r="AD328"/>
      <c r="AE328"/>
      <c r="AF328"/>
    </row>
    <row r="329" spans="7:32">
      <c r="G329" s="5"/>
      <c r="AA329"/>
      <c r="AB329"/>
      <c r="AC329"/>
      <c r="AD329"/>
      <c r="AE329"/>
      <c r="AF329"/>
    </row>
    <row r="330" spans="7:32">
      <c r="G330" s="5"/>
      <c r="AA330"/>
      <c r="AB330"/>
      <c r="AC330"/>
      <c r="AD330"/>
      <c r="AE330"/>
      <c r="AF330"/>
    </row>
    <row r="331" spans="7:32">
      <c r="G331" s="5"/>
      <c r="AA331"/>
      <c r="AB331"/>
      <c r="AC331"/>
      <c r="AD331"/>
      <c r="AE331"/>
      <c r="AF331"/>
    </row>
    <row r="332" spans="7:32">
      <c r="G332" s="5"/>
      <c r="AA332"/>
      <c r="AB332"/>
      <c r="AC332"/>
      <c r="AD332"/>
      <c r="AE332"/>
      <c r="AF332"/>
    </row>
    <row r="333" spans="7:32">
      <c r="G333" s="5"/>
      <c r="AA333"/>
      <c r="AB333"/>
      <c r="AC333"/>
      <c r="AD333"/>
      <c r="AE333"/>
      <c r="AF333"/>
    </row>
    <row r="334" spans="7:32">
      <c r="G334" s="5"/>
      <c r="AA334"/>
      <c r="AB334"/>
      <c r="AC334"/>
      <c r="AD334"/>
      <c r="AE334"/>
      <c r="AF334"/>
    </row>
    <row r="335" spans="7:32">
      <c r="G335" s="5"/>
      <c r="AA335"/>
      <c r="AB335"/>
      <c r="AC335"/>
      <c r="AD335"/>
      <c r="AE335"/>
      <c r="AF335"/>
    </row>
    <row r="336" spans="7:32">
      <c r="G336" s="5"/>
      <c r="AA336"/>
      <c r="AB336"/>
      <c r="AC336"/>
      <c r="AD336"/>
      <c r="AE336"/>
      <c r="AF336"/>
    </row>
    <row r="337" spans="7:32">
      <c r="G337" s="5"/>
      <c r="AA337"/>
      <c r="AB337"/>
      <c r="AC337"/>
      <c r="AD337"/>
      <c r="AE337"/>
      <c r="AF337"/>
    </row>
    <row r="338" spans="7:32">
      <c r="G338" s="5"/>
      <c r="AA338"/>
      <c r="AB338"/>
      <c r="AC338"/>
      <c r="AD338"/>
      <c r="AE338"/>
      <c r="AF338"/>
    </row>
    <row r="339" spans="7:32">
      <c r="G339" s="5"/>
      <c r="AA339"/>
      <c r="AB339"/>
      <c r="AC339"/>
      <c r="AD339"/>
      <c r="AE339"/>
      <c r="AF339"/>
    </row>
    <row r="340" spans="7:32">
      <c r="G340" s="5"/>
      <c r="AA340"/>
      <c r="AB340"/>
      <c r="AC340"/>
      <c r="AD340"/>
      <c r="AE340"/>
      <c r="AF340"/>
    </row>
    <row r="341" spans="7:32">
      <c r="G341" s="5"/>
      <c r="AA341"/>
      <c r="AB341"/>
      <c r="AC341"/>
      <c r="AD341"/>
      <c r="AE341"/>
      <c r="AF341"/>
    </row>
    <row r="342" spans="7:32">
      <c r="G342" s="5"/>
      <c r="AA342"/>
      <c r="AB342"/>
      <c r="AC342"/>
      <c r="AD342"/>
      <c r="AE342"/>
      <c r="AF342"/>
    </row>
    <row r="343" spans="7:32">
      <c r="G343" s="5"/>
      <c r="AA343"/>
      <c r="AB343"/>
      <c r="AC343"/>
      <c r="AD343"/>
      <c r="AE343"/>
      <c r="AF343"/>
    </row>
    <row r="344" spans="7:32">
      <c r="G344" s="5"/>
      <c r="AA344"/>
      <c r="AB344"/>
      <c r="AC344"/>
      <c r="AD344"/>
      <c r="AE344"/>
      <c r="AF344"/>
    </row>
    <row r="345" spans="7:32">
      <c r="G345" s="5"/>
      <c r="AA345"/>
      <c r="AB345"/>
      <c r="AC345"/>
      <c r="AD345"/>
      <c r="AE345"/>
      <c r="AF345"/>
    </row>
    <row r="346" spans="7:32">
      <c r="G346" s="5"/>
      <c r="AA346"/>
      <c r="AB346"/>
      <c r="AC346"/>
      <c r="AD346"/>
      <c r="AE346"/>
      <c r="AF346"/>
    </row>
    <row r="347" spans="7:32">
      <c r="G347" s="5"/>
      <c r="AA347"/>
      <c r="AB347"/>
      <c r="AC347"/>
      <c r="AD347"/>
      <c r="AE347"/>
      <c r="AF347"/>
    </row>
    <row r="348" spans="7:32">
      <c r="G348" s="5"/>
      <c r="AA348"/>
      <c r="AB348"/>
      <c r="AC348"/>
      <c r="AD348"/>
      <c r="AE348"/>
      <c r="AF348"/>
    </row>
    <row r="349" spans="7:32">
      <c r="G349" s="5"/>
      <c r="AA349"/>
      <c r="AB349"/>
      <c r="AC349"/>
      <c r="AD349"/>
      <c r="AE349"/>
      <c r="AF349"/>
    </row>
    <row r="350" spans="7:32">
      <c r="G350" s="5"/>
      <c r="AA350"/>
      <c r="AB350"/>
      <c r="AC350"/>
      <c r="AD350"/>
      <c r="AE350"/>
      <c r="AF350"/>
    </row>
    <row r="351" spans="7:32">
      <c r="G351" s="5"/>
      <c r="AA351"/>
      <c r="AB351"/>
      <c r="AC351"/>
      <c r="AD351"/>
      <c r="AE351"/>
      <c r="AF351"/>
    </row>
    <row r="352" spans="7:32">
      <c r="G352" s="5"/>
      <c r="AA352"/>
      <c r="AB352"/>
      <c r="AC352"/>
      <c r="AD352"/>
      <c r="AE352"/>
      <c r="AF352"/>
    </row>
    <row r="353" spans="7:32">
      <c r="G353" s="5"/>
      <c r="AA353"/>
      <c r="AB353"/>
      <c r="AC353"/>
      <c r="AD353"/>
      <c r="AE353"/>
      <c r="AF353"/>
    </row>
    <row r="354" spans="7:32">
      <c r="G354" s="5"/>
      <c r="AA354"/>
      <c r="AB354"/>
      <c r="AC354"/>
      <c r="AD354"/>
      <c r="AE354"/>
      <c r="AF354"/>
    </row>
    <row r="355" spans="7:32">
      <c r="G355" s="5"/>
      <c r="AA355"/>
      <c r="AB355"/>
      <c r="AC355"/>
      <c r="AD355"/>
      <c r="AE355"/>
      <c r="AF355"/>
    </row>
    <row r="356" spans="7:32">
      <c r="G356" s="5"/>
      <c r="AA356"/>
      <c r="AB356"/>
      <c r="AC356"/>
      <c r="AD356"/>
      <c r="AE356"/>
      <c r="AF356"/>
    </row>
    <row r="357" spans="7:32">
      <c r="G357" s="5"/>
      <c r="AA357"/>
      <c r="AB357"/>
      <c r="AC357"/>
      <c r="AD357"/>
      <c r="AE357"/>
      <c r="AF357"/>
    </row>
    <row r="358" spans="7:32">
      <c r="G358" s="5"/>
      <c r="AA358"/>
      <c r="AB358"/>
      <c r="AC358"/>
      <c r="AD358"/>
      <c r="AE358"/>
      <c r="AF358"/>
    </row>
    <row r="359" spans="7:32">
      <c r="G359" s="5"/>
      <c r="AA359"/>
      <c r="AB359"/>
      <c r="AC359"/>
      <c r="AD359"/>
      <c r="AE359"/>
      <c r="AF359"/>
    </row>
    <row r="360" spans="7:32">
      <c r="G360" s="5"/>
      <c r="AA360"/>
      <c r="AB360"/>
      <c r="AC360"/>
      <c r="AD360"/>
      <c r="AE360"/>
      <c r="AF360"/>
    </row>
    <row r="361" spans="7:32">
      <c r="G361" s="5"/>
      <c r="AA361"/>
      <c r="AB361"/>
      <c r="AC361"/>
      <c r="AD361"/>
      <c r="AE361"/>
      <c r="AF361"/>
    </row>
    <row r="362" spans="7:32">
      <c r="G362" s="5"/>
      <c r="AA362"/>
      <c r="AB362"/>
      <c r="AC362"/>
      <c r="AD362"/>
      <c r="AE362"/>
      <c r="AF362"/>
    </row>
    <row r="363" spans="7:32">
      <c r="G363" s="5"/>
      <c r="AA363"/>
      <c r="AB363"/>
      <c r="AC363"/>
      <c r="AD363"/>
      <c r="AE363"/>
      <c r="AF363"/>
    </row>
    <row r="364" spans="7:32">
      <c r="G364" s="5"/>
      <c r="AA364"/>
      <c r="AB364"/>
      <c r="AC364"/>
      <c r="AD364"/>
      <c r="AE364"/>
      <c r="AF364"/>
    </row>
    <row r="365" spans="7:32">
      <c r="G365" s="5"/>
      <c r="AA365"/>
      <c r="AB365"/>
      <c r="AC365"/>
      <c r="AD365"/>
      <c r="AE365"/>
      <c r="AF365"/>
    </row>
    <row r="366" spans="7:32">
      <c r="G366" s="5"/>
      <c r="AA366"/>
      <c r="AB366"/>
      <c r="AC366"/>
      <c r="AD366"/>
      <c r="AE366"/>
      <c r="AF366"/>
    </row>
    <row r="367" spans="7:32">
      <c r="G367" s="5"/>
      <c r="AA367"/>
      <c r="AB367"/>
      <c r="AC367"/>
      <c r="AD367"/>
      <c r="AE367"/>
      <c r="AF367"/>
    </row>
    <row r="368" spans="7:32">
      <c r="G368" s="5"/>
      <c r="AA368"/>
      <c r="AB368"/>
      <c r="AC368"/>
      <c r="AD368"/>
      <c r="AE368"/>
      <c r="AF368"/>
    </row>
    <row r="369" spans="7:32">
      <c r="G369" s="5"/>
      <c r="AA369"/>
      <c r="AB369"/>
      <c r="AC369"/>
      <c r="AD369"/>
      <c r="AE369"/>
      <c r="AF369"/>
    </row>
    <row r="370" spans="7:32">
      <c r="G370" s="5"/>
      <c r="AA370"/>
      <c r="AB370"/>
      <c r="AC370"/>
      <c r="AD370"/>
      <c r="AE370"/>
      <c r="AF370"/>
    </row>
    <row r="371" spans="7:32">
      <c r="G371" s="5"/>
      <c r="AA371"/>
      <c r="AB371"/>
      <c r="AC371"/>
      <c r="AD371"/>
      <c r="AE371"/>
      <c r="AF371"/>
    </row>
    <row r="372" spans="7:32">
      <c r="G372" s="5"/>
      <c r="AA372"/>
      <c r="AB372"/>
      <c r="AC372"/>
      <c r="AD372"/>
      <c r="AE372"/>
      <c r="AF372"/>
    </row>
    <row r="373" spans="7:32">
      <c r="G373" s="5"/>
      <c r="AA373"/>
      <c r="AB373"/>
      <c r="AC373"/>
      <c r="AD373"/>
      <c r="AE373"/>
      <c r="AF373"/>
    </row>
    <row r="374" spans="7:32">
      <c r="G374" s="5"/>
      <c r="AA374"/>
      <c r="AB374"/>
      <c r="AC374"/>
      <c r="AD374"/>
      <c r="AE374"/>
      <c r="AF374"/>
    </row>
    <row r="375" spans="7:32">
      <c r="G375" s="5"/>
      <c r="AA375"/>
      <c r="AB375"/>
      <c r="AC375"/>
      <c r="AD375"/>
      <c r="AE375"/>
      <c r="AF375"/>
    </row>
    <row r="376" spans="7:32">
      <c r="G376" s="5"/>
      <c r="AA376"/>
      <c r="AB376"/>
      <c r="AC376"/>
      <c r="AD376"/>
      <c r="AE376"/>
      <c r="AF376"/>
    </row>
    <row r="377" spans="7:32">
      <c r="G377" s="5"/>
      <c r="AA377"/>
      <c r="AB377"/>
      <c r="AC377"/>
      <c r="AD377"/>
      <c r="AE377"/>
      <c r="AF377"/>
    </row>
    <row r="378" spans="7:32">
      <c r="G378" s="5"/>
      <c r="AA378"/>
      <c r="AB378"/>
      <c r="AC378"/>
      <c r="AD378"/>
      <c r="AE378"/>
      <c r="AF378"/>
    </row>
    <row r="379" spans="7:32">
      <c r="G379" s="5"/>
      <c r="AA379"/>
      <c r="AB379"/>
      <c r="AC379"/>
      <c r="AD379"/>
      <c r="AE379"/>
      <c r="AF379"/>
    </row>
    <row r="380" spans="7:32">
      <c r="G380" s="5"/>
      <c r="AA380"/>
      <c r="AB380"/>
      <c r="AC380"/>
      <c r="AD380"/>
      <c r="AE380"/>
      <c r="AF380"/>
    </row>
    <row r="381" spans="7:32">
      <c r="G381" s="5"/>
      <c r="AA381"/>
      <c r="AB381"/>
      <c r="AC381"/>
      <c r="AD381"/>
      <c r="AE381"/>
      <c r="AF381"/>
    </row>
    <row r="382" spans="7:32">
      <c r="G382" s="5"/>
      <c r="AA382"/>
      <c r="AB382"/>
      <c r="AC382"/>
      <c r="AD382"/>
      <c r="AE382"/>
      <c r="AF382"/>
    </row>
    <row r="383" spans="7:32">
      <c r="G383" s="5"/>
      <c r="AA383"/>
      <c r="AB383"/>
      <c r="AC383"/>
      <c r="AD383"/>
      <c r="AE383"/>
      <c r="AF383"/>
    </row>
    <row r="384" spans="7:32">
      <c r="G384" s="5"/>
      <c r="AA384"/>
      <c r="AB384"/>
      <c r="AC384"/>
      <c r="AD384"/>
      <c r="AE384"/>
      <c r="AF384"/>
    </row>
    <row r="385" spans="7:32">
      <c r="G385" s="5"/>
      <c r="AA385"/>
      <c r="AB385"/>
      <c r="AC385"/>
      <c r="AD385"/>
      <c r="AE385"/>
      <c r="AF385"/>
    </row>
    <row r="386" spans="7:32">
      <c r="G386" s="5"/>
      <c r="AA386"/>
      <c r="AB386"/>
      <c r="AC386"/>
      <c r="AD386"/>
      <c r="AE386"/>
      <c r="AF386"/>
    </row>
    <row r="387" spans="7:32">
      <c r="G387" s="5"/>
      <c r="AA387"/>
      <c r="AB387"/>
      <c r="AC387"/>
      <c r="AD387"/>
      <c r="AE387"/>
      <c r="AF387"/>
    </row>
    <row r="388" spans="7:32">
      <c r="G388" s="5"/>
      <c r="AA388"/>
      <c r="AB388"/>
      <c r="AC388"/>
      <c r="AD388"/>
      <c r="AE388"/>
      <c r="AF388"/>
    </row>
    <row r="389" spans="7:32">
      <c r="G389" s="5"/>
      <c r="AA389"/>
      <c r="AB389"/>
      <c r="AC389"/>
      <c r="AD389"/>
      <c r="AE389"/>
      <c r="AF389"/>
    </row>
    <row r="390" spans="7:32">
      <c r="G390" s="5"/>
      <c r="AA390"/>
      <c r="AB390"/>
      <c r="AC390"/>
      <c r="AD390"/>
      <c r="AE390"/>
      <c r="AF390"/>
    </row>
    <row r="391" spans="7:32">
      <c r="G391" s="5"/>
      <c r="AA391"/>
      <c r="AB391"/>
      <c r="AC391"/>
      <c r="AD391"/>
      <c r="AE391"/>
      <c r="AF391"/>
    </row>
    <row r="392" spans="7:32">
      <c r="G392" s="5"/>
      <c r="AA392"/>
      <c r="AB392"/>
      <c r="AC392"/>
      <c r="AD392"/>
      <c r="AE392"/>
      <c r="AF392"/>
    </row>
    <row r="393" spans="7:32">
      <c r="G393" s="5"/>
      <c r="AA393"/>
      <c r="AB393"/>
      <c r="AC393"/>
      <c r="AD393"/>
      <c r="AE393"/>
      <c r="AF393"/>
    </row>
    <row r="394" spans="7:32">
      <c r="G394" s="5"/>
      <c r="AA394"/>
      <c r="AB394"/>
      <c r="AC394"/>
      <c r="AD394"/>
      <c r="AE394"/>
      <c r="AF394"/>
    </row>
    <row r="395" spans="7:32">
      <c r="G395" s="5"/>
      <c r="AA395"/>
      <c r="AB395"/>
      <c r="AC395"/>
      <c r="AD395"/>
      <c r="AE395"/>
      <c r="AF395"/>
    </row>
    <row r="396" spans="7:32">
      <c r="G396" s="5"/>
      <c r="AA396"/>
      <c r="AB396"/>
      <c r="AC396"/>
      <c r="AD396"/>
      <c r="AE396"/>
      <c r="AF396"/>
    </row>
    <row r="397" spans="7:32">
      <c r="G397" s="5"/>
      <c r="AA397"/>
      <c r="AB397"/>
      <c r="AC397"/>
      <c r="AD397"/>
      <c r="AE397"/>
      <c r="AF397"/>
    </row>
    <row r="398" spans="7:32">
      <c r="G398" s="5"/>
      <c r="AA398"/>
      <c r="AB398"/>
      <c r="AC398"/>
      <c r="AD398"/>
      <c r="AE398"/>
      <c r="AF398"/>
    </row>
    <row r="399" spans="7:32">
      <c r="G399" s="5"/>
      <c r="AA399"/>
      <c r="AB399"/>
      <c r="AC399"/>
      <c r="AD399"/>
      <c r="AE399"/>
      <c r="AF399"/>
    </row>
    <row r="400" spans="7:32">
      <c r="G400" s="5"/>
      <c r="AA400"/>
      <c r="AB400"/>
      <c r="AC400"/>
      <c r="AD400"/>
      <c r="AE400"/>
      <c r="AF400"/>
    </row>
    <row r="401" spans="7:32">
      <c r="G401" s="5"/>
      <c r="AA401"/>
      <c r="AB401"/>
      <c r="AC401"/>
      <c r="AD401"/>
      <c r="AE401"/>
      <c r="AF401"/>
    </row>
    <row r="402" spans="7:32">
      <c r="G402" s="5"/>
      <c r="AA402"/>
      <c r="AB402"/>
      <c r="AC402"/>
      <c r="AD402"/>
      <c r="AE402"/>
      <c r="AF402"/>
    </row>
    <row r="403" spans="7:32">
      <c r="G403" s="5"/>
      <c r="AA403"/>
      <c r="AB403"/>
      <c r="AC403"/>
      <c r="AD403"/>
      <c r="AE403"/>
      <c r="AF403"/>
    </row>
    <row r="404" spans="7:32">
      <c r="G404" s="5"/>
      <c r="AA404"/>
      <c r="AB404"/>
      <c r="AC404"/>
      <c r="AD404"/>
      <c r="AE404"/>
      <c r="AF404"/>
    </row>
    <row r="405" spans="7:32">
      <c r="G405" s="5"/>
      <c r="AA405"/>
      <c r="AB405"/>
      <c r="AC405"/>
      <c r="AD405"/>
      <c r="AE405"/>
      <c r="AF405"/>
    </row>
    <row r="406" spans="7:32">
      <c r="G406" s="5"/>
      <c r="AA406"/>
      <c r="AB406"/>
      <c r="AC406"/>
      <c r="AD406"/>
      <c r="AE406"/>
      <c r="AF406"/>
    </row>
    <row r="407" spans="7:32">
      <c r="G407" s="5"/>
      <c r="AA407"/>
      <c r="AB407"/>
      <c r="AC407"/>
      <c r="AD407"/>
      <c r="AE407"/>
      <c r="AF407"/>
    </row>
    <row r="408" spans="7:32">
      <c r="G408" s="5"/>
      <c r="AA408"/>
      <c r="AB408"/>
      <c r="AC408"/>
      <c r="AD408"/>
      <c r="AE408"/>
      <c r="AF408"/>
    </row>
    <row r="409" spans="7:32">
      <c r="G409" s="5"/>
      <c r="AA409"/>
      <c r="AB409"/>
      <c r="AC409"/>
      <c r="AD409"/>
      <c r="AE409"/>
      <c r="AF409"/>
    </row>
    <row r="410" spans="7:32">
      <c r="G410" s="5"/>
      <c r="AA410"/>
      <c r="AB410"/>
      <c r="AC410"/>
      <c r="AD410"/>
      <c r="AE410"/>
      <c r="AF410"/>
    </row>
    <row r="411" spans="7:32">
      <c r="G411" s="5"/>
      <c r="AA411"/>
      <c r="AB411"/>
      <c r="AC411"/>
      <c r="AD411"/>
      <c r="AE411"/>
      <c r="AF411"/>
    </row>
    <row r="412" spans="7:32">
      <c r="G412" s="5"/>
      <c r="AA412"/>
      <c r="AB412"/>
      <c r="AC412"/>
      <c r="AD412"/>
      <c r="AE412"/>
      <c r="AF412"/>
    </row>
    <row r="413" spans="7:32">
      <c r="G413" s="5"/>
      <c r="AA413"/>
      <c r="AB413"/>
      <c r="AC413"/>
      <c r="AD413"/>
      <c r="AE413"/>
      <c r="AF413"/>
    </row>
    <row r="414" spans="7:32">
      <c r="G414" s="5"/>
      <c r="AA414"/>
      <c r="AB414"/>
      <c r="AC414"/>
      <c r="AD414"/>
      <c r="AE414"/>
      <c r="AF414"/>
    </row>
    <row r="415" spans="7:32">
      <c r="G415" s="5"/>
      <c r="AA415"/>
      <c r="AB415"/>
      <c r="AC415"/>
      <c r="AD415"/>
      <c r="AE415"/>
      <c r="AF415"/>
    </row>
    <row r="416" spans="7:32">
      <c r="G416" s="5"/>
      <c r="AA416"/>
      <c r="AB416"/>
      <c r="AC416"/>
      <c r="AD416"/>
      <c r="AE416"/>
      <c r="AF416"/>
    </row>
    <row r="417" spans="7:32">
      <c r="G417" s="5"/>
      <c r="AA417"/>
      <c r="AB417"/>
      <c r="AC417"/>
      <c r="AD417"/>
      <c r="AE417"/>
      <c r="AF417"/>
    </row>
    <row r="418" spans="7:32">
      <c r="G418" s="5"/>
      <c r="AA418"/>
      <c r="AB418"/>
      <c r="AC418"/>
      <c r="AD418"/>
      <c r="AE418"/>
      <c r="AF418"/>
    </row>
    <row r="419" spans="7:32">
      <c r="G419" s="5"/>
      <c r="AA419"/>
      <c r="AB419"/>
      <c r="AC419"/>
      <c r="AD419"/>
      <c r="AE419"/>
      <c r="AF419"/>
    </row>
    <row r="420" spans="7:32">
      <c r="G420" s="5"/>
      <c r="AA420"/>
      <c r="AB420"/>
      <c r="AC420"/>
      <c r="AD420"/>
      <c r="AE420"/>
      <c r="AF420"/>
    </row>
    <row r="421" spans="7:32">
      <c r="G421" s="5"/>
      <c r="AA421"/>
      <c r="AB421"/>
      <c r="AC421"/>
      <c r="AD421"/>
      <c r="AE421"/>
      <c r="AF421"/>
    </row>
    <row r="422" spans="7:32">
      <c r="G422" s="5"/>
      <c r="AA422"/>
      <c r="AB422"/>
      <c r="AC422"/>
      <c r="AD422"/>
      <c r="AE422"/>
      <c r="AF422"/>
    </row>
    <row r="423" spans="7:32">
      <c r="G423" s="5"/>
      <c r="AA423"/>
      <c r="AB423"/>
      <c r="AC423"/>
      <c r="AD423"/>
      <c r="AE423"/>
      <c r="AF423"/>
    </row>
    <row r="424" spans="7:32">
      <c r="G424" s="5"/>
      <c r="AA424"/>
      <c r="AB424"/>
      <c r="AC424"/>
      <c r="AD424"/>
      <c r="AE424"/>
      <c r="AF424"/>
    </row>
    <row r="425" spans="7:32">
      <c r="G425" s="5"/>
      <c r="AA425"/>
      <c r="AB425"/>
      <c r="AC425"/>
      <c r="AD425"/>
      <c r="AE425"/>
      <c r="AF425"/>
    </row>
    <row r="426" spans="7:32">
      <c r="G426" s="5"/>
      <c r="AA426"/>
      <c r="AB426"/>
      <c r="AC426"/>
      <c r="AD426"/>
      <c r="AE426"/>
      <c r="AF426"/>
    </row>
    <row r="427" spans="7:32">
      <c r="G427" s="5"/>
      <c r="AA427"/>
      <c r="AB427"/>
      <c r="AC427"/>
      <c r="AD427"/>
      <c r="AE427"/>
      <c r="AF427"/>
    </row>
    <row r="428" spans="7:32">
      <c r="G428" s="5"/>
      <c r="AA428"/>
      <c r="AB428"/>
      <c r="AC428"/>
      <c r="AD428"/>
      <c r="AE428"/>
      <c r="AF428"/>
    </row>
    <row r="429" spans="7:32">
      <c r="G429" s="5"/>
      <c r="AA429"/>
      <c r="AB429"/>
      <c r="AC429"/>
      <c r="AD429"/>
      <c r="AE429"/>
      <c r="AF429"/>
    </row>
    <row r="430" spans="7:32">
      <c r="G430" s="5"/>
      <c r="AA430"/>
      <c r="AB430"/>
      <c r="AC430"/>
      <c r="AD430"/>
      <c r="AE430"/>
      <c r="AF430"/>
    </row>
    <row r="431" spans="7:32">
      <c r="G431" s="5"/>
      <c r="AA431"/>
      <c r="AB431"/>
      <c r="AC431"/>
      <c r="AD431"/>
      <c r="AE431"/>
      <c r="AF431"/>
    </row>
    <row r="432" spans="7:32">
      <c r="G432" s="5"/>
      <c r="AA432"/>
      <c r="AB432"/>
      <c r="AC432"/>
      <c r="AD432"/>
      <c r="AE432"/>
      <c r="AF432"/>
    </row>
    <row r="433" spans="7:32">
      <c r="G433" s="5"/>
      <c r="AA433"/>
      <c r="AB433"/>
      <c r="AC433"/>
      <c r="AD433"/>
      <c r="AE433"/>
      <c r="AF433"/>
    </row>
    <row r="434" spans="7:32">
      <c r="G434" s="5"/>
      <c r="AA434"/>
      <c r="AB434"/>
      <c r="AC434"/>
      <c r="AD434"/>
      <c r="AE434"/>
      <c r="AF434"/>
    </row>
    <row r="435" spans="7:32">
      <c r="G435" s="5"/>
      <c r="AA435"/>
      <c r="AB435"/>
      <c r="AC435"/>
      <c r="AD435"/>
      <c r="AE435"/>
      <c r="AF435"/>
    </row>
    <row r="436" spans="7:32">
      <c r="G436" s="5"/>
      <c r="AA436"/>
      <c r="AB436"/>
      <c r="AC436"/>
      <c r="AD436"/>
      <c r="AE436"/>
      <c r="AF436"/>
    </row>
    <row r="437" spans="7:32">
      <c r="G437" s="5"/>
      <c r="AA437"/>
      <c r="AB437"/>
      <c r="AC437"/>
      <c r="AD437"/>
      <c r="AE437"/>
      <c r="AF437"/>
    </row>
    <row r="438" spans="7:32">
      <c r="G438" s="5"/>
      <c r="AA438"/>
      <c r="AB438"/>
      <c r="AC438"/>
      <c r="AD438"/>
      <c r="AE438"/>
      <c r="AF438"/>
    </row>
    <row r="439" spans="7:32">
      <c r="G439" s="5"/>
      <c r="AA439"/>
      <c r="AB439"/>
      <c r="AC439"/>
      <c r="AD439"/>
      <c r="AE439"/>
      <c r="AF439"/>
    </row>
    <row r="440" spans="7:32">
      <c r="G440" s="5"/>
      <c r="AA440"/>
      <c r="AB440"/>
      <c r="AC440"/>
      <c r="AD440"/>
      <c r="AE440"/>
      <c r="AF440"/>
    </row>
    <row r="441" spans="7:32">
      <c r="G441" s="5"/>
      <c r="AA441"/>
      <c r="AB441"/>
      <c r="AC441"/>
      <c r="AD441"/>
      <c r="AE441"/>
      <c r="AF441"/>
    </row>
    <row r="442" spans="7:32">
      <c r="G442" s="5"/>
      <c r="AA442"/>
      <c r="AB442"/>
      <c r="AC442"/>
      <c r="AD442"/>
      <c r="AE442"/>
      <c r="AF442"/>
    </row>
    <row r="443" spans="7:32">
      <c r="G443" s="5"/>
      <c r="AA443"/>
      <c r="AB443"/>
      <c r="AC443"/>
      <c r="AD443"/>
      <c r="AE443"/>
      <c r="AF443"/>
    </row>
    <row r="444" spans="7:32">
      <c r="G444" s="5"/>
      <c r="AA444"/>
      <c r="AB444"/>
      <c r="AC444"/>
      <c r="AD444"/>
      <c r="AE444"/>
      <c r="AF444"/>
    </row>
    <row r="445" spans="7:32">
      <c r="G445" s="5"/>
      <c r="AA445"/>
      <c r="AB445"/>
      <c r="AC445"/>
      <c r="AD445"/>
      <c r="AE445"/>
      <c r="AF445"/>
    </row>
    <row r="446" spans="7:32">
      <c r="G446" s="5"/>
      <c r="AA446"/>
      <c r="AB446"/>
      <c r="AC446"/>
      <c r="AD446"/>
      <c r="AE446"/>
      <c r="AF446"/>
    </row>
    <row r="447" spans="7:32">
      <c r="G447" s="5"/>
      <c r="AA447"/>
      <c r="AB447"/>
      <c r="AC447"/>
      <c r="AD447"/>
      <c r="AE447"/>
      <c r="AF447"/>
    </row>
    <row r="448" spans="7:32">
      <c r="G448" s="5"/>
      <c r="AA448"/>
      <c r="AB448"/>
      <c r="AC448"/>
      <c r="AD448"/>
      <c r="AE448"/>
      <c r="AF448"/>
    </row>
    <row r="449" spans="7:32">
      <c r="G449" s="5"/>
      <c r="AA449"/>
      <c r="AB449"/>
      <c r="AC449"/>
      <c r="AD449"/>
      <c r="AE449"/>
      <c r="AF449"/>
    </row>
    <row r="450" spans="7:32">
      <c r="G450" s="5"/>
      <c r="AA450"/>
      <c r="AB450"/>
      <c r="AC450"/>
      <c r="AD450"/>
      <c r="AE450"/>
      <c r="AF450"/>
    </row>
    <row r="451" spans="7:32">
      <c r="G451" s="5"/>
      <c r="AA451"/>
      <c r="AB451"/>
      <c r="AC451"/>
      <c r="AD451"/>
      <c r="AE451"/>
      <c r="AF451"/>
    </row>
    <row r="452" spans="7:32">
      <c r="G452" s="5"/>
      <c r="AA452"/>
      <c r="AB452"/>
      <c r="AC452"/>
      <c r="AD452"/>
      <c r="AE452"/>
      <c r="AF452"/>
    </row>
    <row r="453" spans="7:32">
      <c r="G453" s="5"/>
      <c r="AA453"/>
      <c r="AB453"/>
      <c r="AC453"/>
      <c r="AD453"/>
      <c r="AE453"/>
      <c r="AF453"/>
    </row>
    <row r="454" spans="7:32">
      <c r="G454" s="5"/>
      <c r="AA454"/>
      <c r="AB454"/>
      <c r="AC454"/>
      <c r="AD454"/>
      <c r="AE454"/>
      <c r="AF454"/>
    </row>
    <row r="455" spans="7:32">
      <c r="G455" s="5"/>
      <c r="AA455"/>
      <c r="AB455"/>
      <c r="AC455"/>
      <c r="AD455"/>
      <c r="AE455"/>
      <c r="AF455"/>
    </row>
    <row r="456" spans="7:32">
      <c r="G456" s="5"/>
      <c r="AA456"/>
      <c r="AB456"/>
      <c r="AC456"/>
      <c r="AD456"/>
      <c r="AE456"/>
      <c r="AF456"/>
    </row>
    <row r="457" spans="7:32">
      <c r="G457" s="5"/>
      <c r="AA457"/>
      <c r="AB457"/>
      <c r="AC457"/>
      <c r="AD457"/>
      <c r="AE457"/>
      <c r="AF457"/>
    </row>
    <row r="458" spans="7:32">
      <c r="G458" s="5"/>
      <c r="AA458"/>
      <c r="AB458"/>
      <c r="AC458"/>
      <c r="AD458"/>
      <c r="AE458"/>
      <c r="AF458"/>
    </row>
    <row r="459" spans="7:32">
      <c r="G459" s="5"/>
      <c r="AA459"/>
      <c r="AB459"/>
      <c r="AC459"/>
      <c r="AD459"/>
      <c r="AE459"/>
      <c r="AF459"/>
    </row>
    <row r="460" spans="7:32">
      <c r="G460" s="5"/>
      <c r="AA460"/>
      <c r="AB460"/>
      <c r="AC460"/>
      <c r="AD460"/>
      <c r="AE460"/>
      <c r="AF460"/>
    </row>
    <row r="461" spans="7:32">
      <c r="G461" s="5"/>
      <c r="AA461"/>
      <c r="AB461"/>
      <c r="AC461"/>
      <c r="AD461"/>
      <c r="AE461"/>
      <c r="AF461"/>
    </row>
    <row r="462" spans="7:32">
      <c r="G462" s="5"/>
      <c r="AA462"/>
      <c r="AB462"/>
      <c r="AC462"/>
      <c r="AD462"/>
      <c r="AE462"/>
      <c r="AF462"/>
    </row>
    <row r="463" spans="7:32">
      <c r="G463" s="5"/>
      <c r="AA463"/>
      <c r="AB463"/>
      <c r="AC463"/>
      <c r="AD463"/>
      <c r="AE463"/>
      <c r="AF463"/>
    </row>
    <row r="464" spans="7:32">
      <c r="G464" s="5"/>
      <c r="AA464"/>
      <c r="AB464"/>
      <c r="AC464"/>
      <c r="AD464"/>
      <c r="AE464"/>
      <c r="AF464"/>
    </row>
    <row r="465" spans="7:32">
      <c r="G465" s="5"/>
      <c r="AA465"/>
      <c r="AB465"/>
      <c r="AC465"/>
      <c r="AD465"/>
      <c r="AE465"/>
      <c r="AF465"/>
    </row>
    <row r="466" spans="7:32">
      <c r="G466" s="5"/>
      <c r="AA466"/>
      <c r="AB466"/>
      <c r="AC466"/>
      <c r="AD466"/>
      <c r="AE466"/>
      <c r="AF466"/>
    </row>
    <row r="467" spans="7:32">
      <c r="G467" s="5"/>
      <c r="AA467"/>
      <c r="AB467"/>
      <c r="AC467"/>
      <c r="AD467"/>
      <c r="AE467"/>
      <c r="AF467"/>
    </row>
    <row r="468" spans="7:32">
      <c r="G468" s="5"/>
      <c r="AA468"/>
      <c r="AB468"/>
      <c r="AC468"/>
      <c r="AD468"/>
      <c r="AE468"/>
      <c r="AF468"/>
    </row>
    <row r="469" spans="7:32">
      <c r="G469" s="5"/>
      <c r="AA469"/>
      <c r="AB469"/>
      <c r="AC469"/>
      <c r="AD469"/>
      <c r="AE469"/>
      <c r="AF469"/>
    </row>
    <row r="470" spans="7:32">
      <c r="G470" s="5"/>
      <c r="AA470"/>
      <c r="AB470"/>
      <c r="AC470"/>
      <c r="AD470"/>
      <c r="AE470"/>
      <c r="AF470"/>
    </row>
    <row r="471" spans="7:32">
      <c r="G471" s="5"/>
      <c r="AA471"/>
      <c r="AB471"/>
      <c r="AC471"/>
      <c r="AD471"/>
      <c r="AE471"/>
      <c r="AF471"/>
    </row>
    <row r="472" spans="7:32">
      <c r="G472" s="5"/>
      <c r="AA472"/>
      <c r="AB472"/>
      <c r="AC472"/>
      <c r="AD472"/>
      <c r="AE472"/>
      <c r="AF472"/>
    </row>
    <row r="473" spans="7:32">
      <c r="G473" s="5"/>
      <c r="AA473"/>
      <c r="AB473"/>
      <c r="AC473"/>
      <c r="AD473"/>
      <c r="AE473"/>
      <c r="AF473"/>
    </row>
    <row r="474" spans="7:32">
      <c r="G474" s="5"/>
      <c r="AA474"/>
      <c r="AB474"/>
      <c r="AC474"/>
      <c r="AD474"/>
      <c r="AE474"/>
      <c r="AF474"/>
    </row>
    <row r="475" spans="7:32">
      <c r="G475" s="5"/>
      <c r="AA475"/>
      <c r="AB475"/>
      <c r="AC475"/>
      <c r="AD475"/>
      <c r="AE475"/>
      <c r="AF475"/>
    </row>
    <row r="476" spans="7:32">
      <c r="G476" s="5"/>
      <c r="AA476"/>
      <c r="AB476"/>
      <c r="AC476"/>
      <c r="AD476"/>
      <c r="AE476"/>
      <c r="AF476"/>
    </row>
    <row r="477" spans="7:32">
      <c r="G477" s="5"/>
      <c r="AA477"/>
      <c r="AB477"/>
      <c r="AC477"/>
      <c r="AD477"/>
      <c r="AE477"/>
      <c r="AF477"/>
    </row>
    <row r="478" spans="7:32">
      <c r="G478" s="5"/>
      <c r="AA478"/>
      <c r="AB478"/>
      <c r="AC478"/>
      <c r="AD478"/>
      <c r="AE478"/>
      <c r="AF478"/>
    </row>
    <row r="479" spans="7:32">
      <c r="G479" s="5"/>
      <c r="AA479"/>
      <c r="AB479"/>
      <c r="AC479"/>
      <c r="AD479"/>
      <c r="AE479"/>
      <c r="AF479"/>
    </row>
    <row r="480" spans="7:32">
      <c r="G480" s="5"/>
      <c r="AA480"/>
      <c r="AB480"/>
      <c r="AC480"/>
      <c r="AD480"/>
      <c r="AE480"/>
      <c r="AF480"/>
    </row>
    <row r="481" spans="7:32">
      <c r="G481" s="5"/>
      <c r="AA481"/>
      <c r="AB481"/>
      <c r="AC481"/>
      <c r="AD481"/>
      <c r="AE481"/>
      <c r="AF481"/>
    </row>
    <row r="482" spans="7:32">
      <c r="G482" s="5"/>
      <c r="AA482"/>
      <c r="AB482"/>
      <c r="AC482"/>
      <c r="AD482"/>
      <c r="AE482"/>
      <c r="AF482"/>
    </row>
    <row r="483" spans="7:32">
      <c r="G483" s="5"/>
      <c r="AA483"/>
      <c r="AB483"/>
      <c r="AC483"/>
      <c r="AD483"/>
      <c r="AE483"/>
      <c r="AF483"/>
    </row>
    <row r="484" spans="7:32">
      <c r="G484" s="5"/>
      <c r="AA484"/>
      <c r="AB484"/>
      <c r="AC484"/>
      <c r="AD484"/>
      <c r="AE484"/>
      <c r="AF484"/>
    </row>
    <row r="485" spans="7:32">
      <c r="G485" s="5"/>
      <c r="AA485"/>
      <c r="AB485"/>
      <c r="AC485"/>
      <c r="AD485"/>
      <c r="AE485"/>
      <c r="AF485"/>
    </row>
    <row r="486" spans="7:32">
      <c r="G486" s="5"/>
      <c r="AA486"/>
      <c r="AB486"/>
      <c r="AC486"/>
      <c r="AD486"/>
      <c r="AE486"/>
      <c r="AF486"/>
    </row>
    <row r="487" spans="7:32">
      <c r="G487" s="5"/>
      <c r="AA487"/>
      <c r="AB487"/>
      <c r="AC487"/>
      <c r="AD487"/>
      <c r="AE487"/>
      <c r="AF487"/>
    </row>
    <row r="488" spans="7:32">
      <c r="G488" s="5"/>
      <c r="AA488"/>
      <c r="AB488"/>
      <c r="AC488"/>
      <c r="AD488"/>
      <c r="AE488"/>
      <c r="AF488"/>
    </row>
    <row r="489" spans="7:32">
      <c r="G489" s="5"/>
      <c r="AA489"/>
      <c r="AB489"/>
      <c r="AC489"/>
      <c r="AD489"/>
      <c r="AE489"/>
      <c r="AF489"/>
    </row>
    <row r="490" spans="7:32">
      <c r="G490" s="5"/>
      <c r="AA490"/>
      <c r="AB490"/>
      <c r="AC490"/>
      <c r="AD490"/>
      <c r="AE490"/>
      <c r="AF490"/>
    </row>
    <row r="491" spans="7:32">
      <c r="G491" s="5"/>
      <c r="AA491"/>
      <c r="AB491"/>
      <c r="AC491"/>
      <c r="AD491"/>
      <c r="AE491"/>
      <c r="AF491"/>
    </row>
    <row r="492" spans="7:32">
      <c r="G492" s="5"/>
      <c r="AA492"/>
      <c r="AB492"/>
      <c r="AC492"/>
      <c r="AD492"/>
      <c r="AE492"/>
      <c r="AF492"/>
    </row>
    <row r="493" spans="7:32">
      <c r="G493" s="5"/>
      <c r="AA493"/>
      <c r="AB493"/>
      <c r="AC493"/>
      <c r="AD493"/>
      <c r="AE493"/>
      <c r="AF493"/>
    </row>
    <row r="494" spans="7:32">
      <c r="G494" s="5"/>
      <c r="AA494"/>
      <c r="AB494"/>
      <c r="AC494"/>
      <c r="AD494"/>
      <c r="AE494"/>
      <c r="AF494"/>
    </row>
    <row r="495" spans="7:32">
      <c r="G495" s="5"/>
      <c r="AA495"/>
      <c r="AB495"/>
      <c r="AC495"/>
      <c r="AD495"/>
      <c r="AE495"/>
      <c r="AF495"/>
    </row>
    <row r="496" spans="7:32">
      <c r="G496" s="5"/>
      <c r="AA496"/>
      <c r="AB496"/>
      <c r="AC496"/>
      <c r="AD496"/>
      <c r="AE496"/>
      <c r="AF496"/>
    </row>
    <row r="497" spans="7:32">
      <c r="G497" s="5"/>
      <c r="AA497"/>
      <c r="AB497"/>
      <c r="AC497"/>
      <c r="AD497"/>
      <c r="AE497"/>
      <c r="AF497"/>
    </row>
    <row r="498" spans="7:32">
      <c r="G498" s="5"/>
      <c r="AA498"/>
      <c r="AB498"/>
      <c r="AC498"/>
      <c r="AD498"/>
      <c r="AE498"/>
      <c r="AF498"/>
    </row>
    <row r="499" spans="7:32">
      <c r="G499" s="5"/>
      <c r="AA499"/>
      <c r="AB499"/>
      <c r="AC499"/>
      <c r="AD499"/>
      <c r="AE499"/>
      <c r="AF499"/>
    </row>
    <row r="500" spans="7:32">
      <c r="G500" s="5"/>
      <c r="AA500"/>
      <c r="AB500"/>
      <c r="AC500"/>
      <c r="AD500"/>
      <c r="AE500"/>
      <c r="AF500"/>
    </row>
    <row r="501" spans="7:32">
      <c r="G501" s="5"/>
      <c r="AA501"/>
      <c r="AB501"/>
      <c r="AC501"/>
      <c r="AD501"/>
      <c r="AE501"/>
      <c r="AF501"/>
    </row>
    <row r="502" spans="7:32">
      <c r="G502" s="5"/>
      <c r="AA502"/>
      <c r="AB502"/>
      <c r="AC502"/>
      <c r="AD502"/>
      <c r="AE502"/>
      <c r="AF502"/>
    </row>
    <row r="503" spans="7:32">
      <c r="G503" s="5"/>
      <c r="AA503"/>
      <c r="AB503"/>
      <c r="AC503"/>
      <c r="AD503"/>
      <c r="AE503"/>
      <c r="AF503"/>
    </row>
    <row r="504" spans="7:32">
      <c r="G504" s="5"/>
      <c r="AA504"/>
      <c r="AB504"/>
      <c r="AC504"/>
      <c r="AD504"/>
      <c r="AE504"/>
      <c r="AF504"/>
    </row>
    <row r="505" spans="7:32">
      <c r="G505" s="5"/>
      <c r="AA505"/>
      <c r="AB505"/>
      <c r="AC505"/>
      <c r="AD505"/>
      <c r="AE505"/>
      <c r="AF505"/>
    </row>
    <row r="506" spans="7:32">
      <c r="G506" s="5"/>
      <c r="AA506"/>
      <c r="AB506"/>
      <c r="AC506"/>
      <c r="AD506"/>
      <c r="AE506"/>
      <c r="AF506"/>
    </row>
    <row r="507" spans="7:32">
      <c r="G507" s="5"/>
      <c r="AA507"/>
      <c r="AB507"/>
      <c r="AC507"/>
      <c r="AD507"/>
      <c r="AE507"/>
      <c r="AF507"/>
    </row>
    <row r="508" spans="7:32">
      <c r="G508" s="5"/>
      <c r="AA508"/>
      <c r="AB508"/>
      <c r="AC508"/>
      <c r="AD508"/>
      <c r="AE508"/>
      <c r="AF508"/>
    </row>
    <row r="509" spans="7:32">
      <c r="G509" s="5"/>
      <c r="AA509"/>
      <c r="AB509"/>
      <c r="AC509"/>
      <c r="AD509"/>
      <c r="AE509"/>
      <c r="AF509"/>
    </row>
    <row r="510" spans="7:32">
      <c r="G510" s="5"/>
      <c r="AA510"/>
      <c r="AB510"/>
      <c r="AC510"/>
      <c r="AD510"/>
      <c r="AE510"/>
      <c r="AF510"/>
    </row>
    <row r="511" spans="7:32">
      <c r="G511" s="5"/>
      <c r="AA511"/>
      <c r="AB511"/>
      <c r="AC511"/>
      <c r="AD511"/>
      <c r="AE511"/>
      <c r="AF511"/>
    </row>
    <row r="512" spans="7:32">
      <c r="G512" s="5"/>
      <c r="AA512"/>
      <c r="AB512"/>
      <c r="AC512"/>
      <c r="AD512"/>
      <c r="AE512"/>
      <c r="AF512"/>
    </row>
    <row r="513" spans="7:32">
      <c r="G513" s="5"/>
      <c r="AA513"/>
      <c r="AB513"/>
      <c r="AC513"/>
      <c r="AD513"/>
      <c r="AE513"/>
      <c r="AF513"/>
    </row>
    <row r="514" spans="7:32">
      <c r="G514" s="5"/>
      <c r="AA514"/>
      <c r="AB514"/>
      <c r="AC514"/>
      <c r="AD514"/>
      <c r="AE514"/>
      <c r="AF514"/>
    </row>
    <row r="515" spans="7:32">
      <c r="G515" s="5"/>
      <c r="AA515"/>
      <c r="AB515"/>
      <c r="AC515"/>
      <c r="AD515"/>
      <c r="AE515"/>
      <c r="AF515"/>
    </row>
    <row r="516" spans="7:32">
      <c r="G516" s="5"/>
      <c r="AA516"/>
      <c r="AB516"/>
      <c r="AC516"/>
      <c r="AD516"/>
      <c r="AE516"/>
      <c r="AF516"/>
    </row>
    <row r="517" spans="7:32">
      <c r="G517" s="5"/>
      <c r="AA517"/>
      <c r="AB517"/>
      <c r="AC517"/>
      <c r="AD517"/>
      <c r="AE517"/>
      <c r="AF517"/>
    </row>
    <row r="518" spans="7:32">
      <c r="G518" s="5"/>
      <c r="AA518"/>
      <c r="AB518"/>
      <c r="AC518"/>
      <c r="AD518"/>
      <c r="AE518"/>
      <c r="AF518"/>
    </row>
    <row r="519" spans="7:32">
      <c r="G519" s="5"/>
      <c r="AA519"/>
      <c r="AB519"/>
      <c r="AC519"/>
      <c r="AD519"/>
      <c r="AE519"/>
      <c r="AF519"/>
    </row>
    <row r="520" spans="7:32">
      <c r="G520" s="5"/>
      <c r="AA520"/>
      <c r="AB520"/>
      <c r="AC520"/>
      <c r="AD520"/>
      <c r="AE520"/>
      <c r="AF520"/>
    </row>
    <row r="521" spans="7:32">
      <c r="G521" s="5"/>
      <c r="AA521"/>
      <c r="AB521"/>
      <c r="AC521"/>
      <c r="AD521"/>
      <c r="AE521"/>
      <c r="AF521"/>
    </row>
    <row r="522" spans="7:32">
      <c r="G522" s="5"/>
      <c r="AA522"/>
      <c r="AB522"/>
      <c r="AC522"/>
      <c r="AD522"/>
      <c r="AE522"/>
      <c r="AF522"/>
    </row>
    <row r="523" spans="7:32">
      <c r="G523" s="5"/>
      <c r="AA523"/>
      <c r="AB523"/>
      <c r="AC523"/>
      <c r="AD523"/>
      <c r="AE523"/>
      <c r="AF523"/>
    </row>
    <row r="524" spans="7:32">
      <c r="G524" s="5"/>
      <c r="AA524"/>
      <c r="AB524"/>
      <c r="AC524"/>
      <c r="AD524"/>
      <c r="AE524"/>
      <c r="AF524"/>
    </row>
    <row r="525" spans="7:32">
      <c r="G525" s="5"/>
      <c r="AA525"/>
      <c r="AB525"/>
      <c r="AC525"/>
      <c r="AD525"/>
      <c r="AE525"/>
      <c r="AF525"/>
    </row>
    <row r="526" spans="7:32">
      <c r="G526" s="5"/>
      <c r="AA526"/>
      <c r="AB526"/>
      <c r="AC526"/>
      <c r="AD526"/>
      <c r="AE526"/>
      <c r="AF526"/>
    </row>
    <row r="527" spans="7:32">
      <c r="G527" s="5"/>
      <c r="AA527"/>
      <c r="AB527"/>
      <c r="AC527"/>
      <c r="AD527"/>
      <c r="AE527"/>
      <c r="AF527"/>
    </row>
    <row r="528" spans="7:32">
      <c r="G528" s="5"/>
      <c r="AA528"/>
      <c r="AB528"/>
      <c r="AC528"/>
      <c r="AD528"/>
      <c r="AE528"/>
      <c r="AF528"/>
    </row>
    <row r="529" spans="7:32">
      <c r="G529" s="5"/>
      <c r="AA529"/>
      <c r="AB529"/>
      <c r="AC529"/>
      <c r="AD529"/>
      <c r="AE529"/>
      <c r="AF529"/>
    </row>
    <row r="530" spans="7:32">
      <c r="G530" s="5"/>
      <c r="AA530"/>
      <c r="AB530"/>
      <c r="AC530"/>
      <c r="AD530"/>
      <c r="AE530"/>
      <c r="AF530"/>
    </row>
    <row r="531" spans="7:32">
      <c r="G531" s="5"/>
      <c r="AA531"/>
      <c r="AB531"/>
      <c r="AC531"/>
      <c r="AD531"/>
      <c r="AE531"/>
      <c r="AF531"/>
    </row>
    <row r="532" spans="7:32">
      <c r="G532" s="5"/>
      <c r="AA532"/>
      <c r="AB532"/>
      <c r="AC532"/>
      <c r="AD532"/>
      <c r="AE532"/>
      <c r="AF532"/>
    </row>
    <row r="533" spans="7:32">
      <c r="G533" s="5"/>
      <c r="AA533"/>
      <c r="AB533"/>
      <c r="AC533"/>
      <c r="AD533"/>
      <c r="AE533"/>
      <c r="AF533"/>
    </row>
    <row r="534" spans="7:32">
      <c r="G534" s="5"/>
      <c r="AA534"/>
      <c r="AB534"/>
      <c r="AC534"/>
      <c r="AD534"/>
      <c r="AE534"/>
      <c r="AF534"/>
    </row>
    <row r="535" spans="7:32">
      <c r="G535" s="5"/>
      <c r="AA535"/>
      <c r="AB535"/>
      <c r="AC535"/>
      <c r="AD535"/>
      <c r="AE535"/>
      <c r="AF535"/>
    </row>
    <row r="536" spans="7:32">
      <c r="G536" s="5"/>
      <c r="AA536"/>
      <c r="AB536"/>
      <c r="AC536"/>
      <c r="AD536"/>
      <c r="AE536"/>
      <c r="AF536"/>
    </row>
    <row r="537" spans="7:32">
      <c r="G537" s="5"/>
      <c r="AA537"/>
      <c r="AB537"/>
      <c r="AC537"/>
      <c r="AD537"/>
      <c r="AE537"/>
      <c r="AF537"/>
    </row>
    <row r="538" spans="7:32">
      <c r="G538" s="5"/>
      <c r="AA538"/>
      <c r="AB538"/>
      <c r="AC538"/>
      <c r="AD538"/>
      <c r="AE538"/>
      <c r="AF538"/>
    </row>
    <row r="539" spans="7:32">
      <c r="G539" s="5"/>
      <c r="AA539"/>
      <c r="AB539"/>
      <c r="AC539"/>
      <c r="AD539"/>
      <c r="AE539"/>
      <c r="AF539"/>
    </row>
    <row r="540" spans="7:32">
      <c r="G540" s="5"/>
      <c r="AA540"/>
      <c r="AB540"/>
      <c r="AC540"/>
      <c r="AD540"/>
      <c r="AE540"/>
      <c r="AF540"/>
    </row>
    <row r="541" spans="7:32">
      <c r="G541" s="5"/>
      <c r="AA541"/>
      <c r="AB541"/>
      <c r="AC541"/>
      <c r="AD541"/>
      <c r="AE541"/>
      <c r="AF541"/>
    </row>
    <row r="542" spans="7:32">
      <c r="G542" s="5"/>
      <c r="AA542"/>
      <c r="AB542"/>
      <c r="AC542"/>
      <c r="AD542"/>
      <c r="AE542"/>
      <c r="AF542"/>
    </row>
    <row r="543" spans="7:32">
      <c r="G543" s="5"/>
      <c r="AA543"/>
      <c r="AB543"/>
      <c r="AC543"/>
      <c r="AD543"/>
      <c r="AE543"/>
      <c r="AF543"/>
    </row>
    <row r="544" spans="7:32">
      <c r="G544" s="5"/>
      <c r="AA544"/>
      <c r="AB544"/>
      <c r="AC544"/>
      <c r="AD544"/>
      <c r="AE544"/>
      <c r="AF544"/>
    </row>
    <row r="545" spans="7:32">
      <c r="G545" s="5"/>
      <c r="AA545"/>
      <c r="AB545"/>
      <c r="AC545"/>
      <c r="AD545"/>
      <c r="AE545"/>
      <c r="AF545"/>
    </row>
    <row r="546" spans="7:32">
      <c r="G546" s="5"/>
      <c r="AA546"/>
      <c r="AB546"/>
      <c r="AC546"/>
      <c r="AD546"/>
      <c r="AE546"/>
      <c r="AF546"/>
    </row>
    <row r="547" spans="7:32">
      <c r="G547" s="5"/>
      <c r="AA547"/>
      <c r="AB547"/>
      <c r="AC547"/>
      <c r="AD547"/>
      <c r="AE547"/>
      <c r="AF547"/>
    </row>
    <row r="548" spans="7:32">
      <c r="G548" s="5"/>
      <c r="AA548"/>
      <c r="AB548"/>
      <c r="AC548"/>
      <c r="AD548"/>
      <c r="AE548"/>
      <c r="AF548"/>
    </row>
    <row r="549" spans="7:32">
      <c r="G549" s="5"/>
      <c r="AA549"/>
      <c r="AB549"/>
      <c r="AC549"/>
      <c r="AD549"/>
      <c r="AE549"/>
      <c r="AF549"/>
    </row>
    <row r="550" spans="7:32">
      <c r="G550" s="5"/>
      <c r="AA550"/>
      <c r="AB550"/>
      <c r="AC550"/>
      <c r="AD550"/>
      <c r="AE550"/>
      <c r="AF550"/>
    </row>
    <row r="551" spans="7:32">
      <c r="G551" s="5"/>
      <c r="AA551"/>
      <c r="AB551"/>
      <c r="AC551"/>
      <c r="AD551"/>
      <c r="AE551"/>
      <c r="AF551"/>
    </row>
    <row r="552" spans="7:32">
      <c r="G552" s="5"/>
      <c r="AA552"/>
      <c r="AB552"/>
      <c r="AC552"/>
      <c r="AD552"/>
      <c r="AE552"/>
      <c r="AF552"/>
    </row>
    <row r="553" spans="7:32">
      <c r="G553" s="5"/>
      <c r="AA553"/>
      <c r="AB553"/>
      <c r="AC553"/>
      <c r="AD553"/>
      <c r="AE553"/>
      <c r="AF553"/>
    </row>
    <row r="554" spans="7:32">
      <c r="G554" s="5"/>
      <c r="AA554"/>
      <c r="AB554"/>
      <c r="AC554"/>
      <c r="AD554"/>
      <c r="AE554"/>
      <c r="AF554"/>
    </row>
    <row r="555" spans="7:32">
      <c r="G555" s="5"/>
      <c r="AA555"/>
      <c r="AB555"/>
      <c r="AC555"/>
      <c r="AD555"/>
      <c r="AE555"/>
      <c r="AF555"/>
    </row>
    <row r="556" spans="7:32">
      <c r="G556" s="5"/>
      <c r="AA556"/>
      <c r="AB556"/>
      <c r="AC556"/>
      <c r="AD556"/>
      <c r="AE556"/>
      <c r="AF556"/>
    </row>
    <row r="557" spans="7:32">
      <c r="G557" s="5"/>
      <c r="AA557"/>
      <c r="AB557"/>
      <c r="AC557"/>
      <c r="AD557"/>
      <c r="AE557"/>
      <c r="AF557"/>
    </row>
    <row r="558" spans="7:32">
      <c r="G558" s="5"/>
      <c r="AA558"/>
      <c r="AB558"/>
      <c r="AC558"/>
      <c r="AD558"/>
      <c r="AE558"/>
      <c r="AF558"/>
    </row>
    <row r="559" spans="7:32">
      <c r="G559" s="5"/>
      <c r="AA559"/>
      <c r="AB559"/>
      <c r="AC559"/>
      <c r="AD559"/>
      <c r="AE559"/>
      <c r="AF559"/>
    </row>
    <row r="560" spans="7:32">
      <c r="G560" s="5"/>
      <c r="AA560"/>
      <c r="AB560"/>
      <c r="AC560"/>
      <c r="AD560"/>
      <c r="AE560"/>
      <c r="AF560"/>
    </row>
    <row r="561" spans="7:32">
      <c r="G561" s="5"/>
      <c r="AA561"/>
      <c r="AB561"/>
      <c r="AC561"/>
      <c r="AD561"/>
      <c r="AE561"/>
      <c r="AF561"/>
    </row>
    <row r="562" spans="7:32">
      <c r="G562" s="5"/>
      <c r="AA562"/>
      <c r="AB562"/>
      <c r="AC562"/>
      <c r="AD562"/>
      <c r="AE562"/>
      <c r="AF562"/>
    </row>
    <row r="563" spans="7:32">
      <c r="G563" s="5"/>
      <c r="AA563"/>
      <c r="AB563"/>
      <c r="AC563"/>
      <c r="AD563"/>
      <c r="AE563"/>
      <c r="AF563"/>
    </row>
    <row r="564" spans="7:32">
      <c r="G564" s="5"/>
      <c r="AA564"/>
      <c r="AB564"/>
      <c r="AC564"/>
      <c r="AD564"/>
      <c r="AE564"/>
      <c r="AF564"/>
    </row>
    <row r="565" spans="7:32">
      <c r="G565" s="5"/>
      <c r="AA565"/>
      <c r="AB565"/>
      <c r="AC565"/>
      <c r="AD565"/>
      <c r="AE565"/>
      <c r="AF565"/>
    </row>
    <row r="566" spans="7:32">
      <c r="G566" s="5"/>
      <c r="AA566"/>
      <c r="AB566"/>
      <c r="AC566"/>
      <c r="AD566"/>
      <c r="AE566"/>
      <c r="AF566"/>
    </row>
  </sheetData>
  <mergeCells count="5">
    <mergeCell ref="A1:A3"/>
    <mergeCell ref="A13:A15"/>
    <mergeCell ref="A25:A27"/>
    <mergeCell ref="A37:A39"/>
    <mergeCell ref="A49:A51"/>
  </mergeCells>
  <conditionalFormatting sqref="D15:BO15">
    <cfRule type="cellIs" dxfId="137" priority="32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5ACB0-F8D0-42A1-99CD-8F3F7F396E0A}">
  <sheetPr>
    <tabColor rgb="FF92D050"/>
    <pageSetUpPr fitToPage="1"/>
  </sheetPr>
  <dimension ref="A1:AC183"/>
  <sheetViews>
    <sheetView showGridLines="0" topLeftCell="A13" zoomScale="85" zoomScaleNormal="85" zoomScaleSheetLayoutView="90" workbookViewId="0">
      <selection activeCell="C6" sqref="C6:C7"/>
    </sheetView>
  </sheetViews>
  <sheetFormatPr defaultColWidth="8.85546875" defaultRowHeight="23.25" customHeight="1"/>
  <cols>
    <col min="1" max="1" width="46.140625" style="5" bestFit="1" customWidth="1"/>
    <col min="2" max="2" width="28.85546875" style="5" bestFit="1" customWidth="1"/>
    <col min="3" max="3" width="35.5703125" style="5" customWidth="1"/>
    <col min="4" max="4" width="19.42578125" style="5" bestFit="1" customWidth="1"/>
    <col min="5" max="5" width="15.5703125" style="5" bestFit="1" customWidth="1"/>
    <col min="6" max="6" width="12.42578125" style="5" bestFit="1" customWidth="1"/>
    <col min="7" max="7" width="32.85546875" style="5" bestFit="1" customWidth="1"/>
    <col min="8" max="8" width="28.85546875" style="5" bestFit="1" customWidth="1"/>
    <col min="9" max="9" width="35.5703125" style="5" customWidth="1"/>
    <col min="10" max="11" width="26.85546875" style="5" customWidth="1"/>
    <col min="12" max="12" width="1.5703125" style="5" customWidth="1"/>
    <col min="13" max="13" width="32.85546875" style="5" bestFit="1" customWidth="1"/>
    <col min="14" max="14" width="28.85546875" style="5" bestFit="1" customWidth="1"/>
    <col min="15" max="15" width="35.5703125" style="5" customWidth="1"/>
    <col min="16" max="17" width="26.85546875" style="5" customWidth="1"/>
    <col min="18" max="18" width="1.5703125" style="5" customWidth="1"/>
    <col min="19" max="19" width="32.85546875" style="5" bestFit="1" customWidth="1"/>
    <col min="20" max="20" width="28.85546875" style="5" bestFit="1" customWidth="1"/>
    <col min="21" max="21" width="35.5703125" style="5" customWidth="1"/>
    <col min="22" max="23" width="26.85546875" style="5" customWidth="1"/>
    <col min="24" max="24" width="21.42578125" style="5" bestFit="1" customWidth="1"/>
    <col min="25" max="26" width="24.42578125" style="5" customWidth="1"/>
    <col min="27" max="27" width="32.42578125" style="5" customWidth="1"/>
    <col min="28" max="28" width="20.140625" style="5" customWidth="1"/>
    <col min="29" max="29" width="13.42578125" style="5" bestFit="1" customWidth="1"/>
    <col min="30" max="16384" width="8.85546875" style="5"/>
  </cols>
  <sheetData>
    <row r="1" spans="1:29" ht="23.25" customHeight="1" thickBot="1">
      <c r="A1" s="2"/>
      <c r="B1" s="75"/>
      <c r="C1" s="3"/>
      <c r="D1" s="4"/>
      <c r="Y1" s="124"/>
    </row>
    <row r="2" spans="1:29" ht="30" customHeight="1" thickBot="1">
      <c r="A2" s="1000" t="s">
        <v>381</v>
      </c>
      <c r="B2" s="142"/>
      <c r="C2" s="142" t="s">
        <v>89</v>
      </c>
      <c r="D2" s="1075" t="s">
        <v>94</v>
      </c>
      <c r="E2" s="1076"/>
      <c r="Y2" s="99"/>
    </row>
    <row r="3" spans="1:29" ht="20.25" customHeight="1">
      <c r="B3" s="55"/>
      <c r="C3" s="55"/>
      <c r="D3" s="55"/>
      <c r="E3" s="55"/>
      <c r="F3" s="183"/>
      <c r="Y3" s="137"/>
    </row>
    <row r="4" spans="1:29" ht="24.95" customHeight="1" thickBot="1">
      <c r="A4" s="181" t="s">
        <v>382</v>
      </c>
      <c r="B4" s="117"/>
      <c r="Y4" s="123"/>
      <c r="Z4" s="135"/>
      <c r="AA4" s="55"/>
      <c r="AB4" s="55"/>
      <c r="AC4" s="55"/>
    </row>
    <row r="5" spans="1:29" ht="15" customHeight="1" thickBot="1">
      <c r="A5" s="750" t="s">
        <v>383</v>
      </c>
      <c r="B5" s="751"/>
      <c r="C5" s="180" t="s">
        <v>384</v>
      </c>
      <c r="D5" s="170">
        <f>SUM(E129,K129,Q129)</f>
        <v>0</v>
      </c>
      <c r="E5" s="568">
        <f>B28-B10-B11+B25</f>
        <v>409042867.33870006</v>
      </c>
      <c r="J5" s="168"/>
      <c r="Y5" s="123"/>
      <c r="Z5" s="135"/>
      <c r="AA5" s="55"/>
      <c r="AB5" s="135"/>
      <c r="AC5" s="55"/>
    </row>
    <row r="6" spans="1:29" ht="15" customHeight="1" thickBot="1">
      <c r="A6" s="752" t="s">
        <v>33</v>
      </c>
      <c r="B6" s="753" t="s">
        <v>385</v>
      </c>
      <c r="C6" s="180" t="s">
        <v>386</v>
      </c>
      <c r="D6" s="170">
        <f>SUM(B171,H171,N171)</f>
        <v>0</v>
      </c>
      <c r="E6" s="274"/>
      <c r="J6" s="168"/>
      <c r="Y6" s="123"/>
      <c r="Z6" s="135"/>
      <c r="AA6" s="55"/>
      <c r="AB6" s="135"/>
      <c r="AC6" s="55"/>
    </row>
    <row r="7" spans="1:29" ht="15" customHeight="1">
      <c r="A7" s="754" t="s">
        <v>387</v>
      </c>
      <c r="B7" s="755">
        <f>SUM(C133,I133,O133)</f>
        <v>317800502</v>
      </c>
      <c r="C7" s="180" t="s">
        <v>388</v>
      </c>
      <c r="D7" s="364">
        <f>IFERROR((D6/D5)^(1/(D8+1))-1,0)</f>
        <v>0</v>
      </c>
      <c r="G7" s="278"/>
      <c r="J7" s="168"/>
      <c r="Y7" s="123"/>
      <c r="Z7" s="135"/>
      <c r="AA7" s="55"/>
      <c r="AB7" s="135"/>
      <c r="AC7" s="55"/>
    </row>
    <row r="8" spans="1:29" ht="15" customHeight="1">
      <c r="A8" s="17" t="s">
        <v>77</v>
      </c>
      <c r="B8" s="143">
        <f>SUM(C134,I134,O134)</f>
        <v>15890025.100000001</v>
      </c>
      <c r="C8" s="180" t="s">
        <v>125</v>
      </c>
      <c r="D8" s="362">
        <f>Assumptions!$L$41</f>
        <v>5</v>
      </c>
      <c r="E8" s="274"/>
      <c r="F8" s="361"/>
      <c r="J8" s="168"/>
      <c r="Y8" s="123"/>
      <c r="Z8" s="135"/>
      <c r="AA8" s="55"/>
      <c r="AB8" s="135"/>
      <c r="AC8" s="55"/>
    </row>
    <row r="9" spans="1:29" ht="15" customHeight="1">
      <c r="A9" s="17" t="s">
        <v>389</v>
      </c>
      <c r="B9" s="143">
        <f>SUM(C135,I135,O135)</f>
        <v>0</v>
      </c>
      <c r="C9" s="272" t="s">
        <v>390</v>
      </c>
      <c r="D9" s="170">
        <f>SUM(B$164,H$164,N$164)</f>
        <v>531493943</v>
      </c>
      <c r="F9" s="835"/>
      <c r="J9" s="168"/>
      <c r="Y9" s="123"/>
      <c r="Z9" s="135"/>
      <c r="AA9" s="55"/>
      <c r="AB9" s="135"/>
      <c r="AC9" s="55"/>
    </row>
    <row r="10" spans="1:29" ht="15" customHeight="1">
      <c r="A10" s="17" t="s">
        <v>391</v>
      </c>
      <c r="B10" s="143">
        <f t="shared" ref="B10:B11" si="0">SUM(C136,I136,O136)</f>
        <v>808909.2</v>
      </c>
      <c r="C10" s="180" t="s">
        <v>392</v>
      </c>
      <c r="D10" s="170">
        <f>SUM(B$175,H$175,N$175)</f>
        <v>0</v>
      </c>
      <c r="J10" s="168"/>
      <c r="Y10" s="123"/>
      <c r="Z10" s="135"/>
      <c r="AA10" s="55"/>
      <c r="AB10" s="135"/>
      <c r="AC10" s="55"/>
    </row>
    <row r="11" spans="1:29" ht="15" customHeight="1" thickBot="1">
      <c r="A11" s="17" t="s">
        <v>393</v>
      </c>
      <c r="B11" s="143">
        <f t="shared" si="0"/>
        <v>14730000</v>
      </c>
      <c r="C11" s="180" t="s">
        <v>394</v>
      </c>
      <c r="D11" s="543" t="str">
        <f>IF(OR(B35="YES",H35="YES",N35="YES"),"YES","NO")</f>
        <v>YES</v>
      </c>
      <c r="J11" s="168"/>
      <c r="Y11" s="123"/>
      <c r="Z11" s="135"/>
      <c r="AA11" s="55"/>
      <c r="AB11" s="135"/>
      <c r="AC11" s="55"/>
    </row>
    <row r="12" spans="1:29" ht="15" customHeight="1">
      <c r="A12" s="17" t="s">
        <v>79</v>
      </c>
      <c r="B12" s="143">
        <f t="shared" ref="B12:B23" si="1">SUM(C138,I138,O138)</f>
        <v>6356010.04</v>
      </c>
      <c r="C12" s="749" t="s">
        <v>395</v>
      </c>
      <c r="D12" s="757"/>
      <c r="E12" s="758"/>
      <c r="J12" s="117"/>
      <c r="Y12" s="123"/>
      <c r="Z12" s="135"/>
      <c r="AA12" s="55"/>
      <c r="AB12" s="135"/>
      <c r="AC12" s="55"/>
    </row>
    <row r="13" spans="1:29" ht="15" customHeight="1">
      <c r="A13" s="377" t="s">
        <v>83</v>
      </c>
      <c r="B13" s="143">
        <f t="shared" si="1"/>
        <v>4767007.53</v>
      </c>
      <c r="C13" s="844"/>
      <c r="D13" s="541" t="s">
        <v>12</v>
      </c>
      <c r="E13" s="542" t="s">
        <v>396</v>
      </c>
      <c r="Y13" s="123"/>
      <c r="Z13" s="135"/>
      <c r="AA13" s="55"/>
      <c r="AB13" s="135"/>
      <c r="AC13" s="55"/>
    </row>
    <row r="14" spans="1:29" ht="15" customHeight="1">
      <c r="A14" s="377" t="s">
        <v>84</v>
      </c>
      <c r="B14" s="143">
        <f t="shared" si="1"/>
        <v>20222.73</v>
      </c>
      <c r="C14" s="845" t="s">
        <v>9</v>
      </c>
      <c r="D14" s="546">
        <f>SUM(B157,H157,N157)</f>
        <v>299657243.57709002</v>
      </c>
      <c r="E14" s="759">
        <f>D14/$D$17</f>
        <v>0.69432320794531899</v>
      </c>
      <c r="F14" s="351"/>
      <c r="Y14" s="123"/>
      <c r="Z14" s="135"/>
      <c r="AA14" s="55"/>
      <c r="AB14" s="135"/>
      <c r="AC14" s="55"/>
    </row>
    <row r="15" spans="1:29" ht="15" customHeight="1">
      <c r="A15" s="377" t="s">
        <v>85</v>
      </c>
      <c r="B15" s="143">
        <f t="shared" si="1"/>
        <v>6356010.04</v>
      </c>
      <c r="C15" s="846" t="s">
        <v>11</v>
      </c>
      <c r="D15" s="546">
        <f>SUM(B158,H158,N158)</f>
        <v>128424532.96161003</v>
      </c>
      <c r="E15" s="759">
        <f>D15/$D$17</f>
        <v>0.29756708911942248</v>
      </c>
      <c r="F15" s="540"/>
      <c r="Y15" s="123"/>
      <c r="Z15" s="135"/>
      <c r="AA15" s="55"/>
      <c r="AB15" s="135"/>
      <c r="AC15" s="55"/>
    </row>
    <row r="16" spans="1:29" ht="15" customHeight="1">
      <c r="A16" s="377" t="s">
        <v>86</v>
      </c>
      <c r="B16" s="143">
        <f t="shared" si="1"/>
        <v>11123017.57</v>
      </c>
      <c r="C16" s="847" t="s">
        <v>10</v>
      </c>
      <c r="D16" s="547">
        <f>-B25</f>
        <v>3500000</v>
      </c>
      <c r="E16" s="759">
        <f>D16/$D$17</f>
        <v>8.1097029352585615E-3</v>
      </c>
      <c r="Y16" s="123"/>
      <c r="Z16" s="135"/>
      <c r="AA16" s="55"/>
      <c r="AB16" s="135"/>
      <c r="AC16" s="55"/>
    </row>
    <row r="17" spans="1:29" ht="15" customHeight="1" thickBot="1">
      <c r="A17" s="377" t="s">
        <v>88</v>
      </c>
      <c r="B17" s="143">
        <f t="shared" si="1"/>
        <v>6356010.04</v>
      </c>
      <c r="C17" s="848" t="s">
        <v>397</v>
      </c>
      <c r="D17" s="552">
        <f>SUM(D14:D16)</f>
        <v>431581776.53870004</v>
      </c>
      <c r="E17" s="561">
        <f>SUM(E14:E16)</f>
        <v>1</v>
      </c>
      <c r="G17" s="545"/>
      <c r="Y17" s="123"/>
      <c r="Z17" s="135"/>
      <c r="AA17" s="55"/>
      <c r="AB17" s="135"/>
      <c r="AC17" s="55"/>
    </row>
    <row r="18" spans="1:29" ht="15" customHeight="1" thickTop="1" thickBot="1">
      <c r="A18" s="377" t="s">
        <v>93</v>
      </c>
      <c r="B18" s="143">
        <f t="shared" si="1"/>
        <v>15890025.100000001</v>
      </c>
      <c r="C18" s="849" t="s">
        <v>398</v>
      </c>
      <c r="D18" s="550" t="str">
        <f>IF(B29=D17,"YES","NO")</f>
        <v>YES</v>
      </c>
      <c r="E18" s="551"/>
      <c r="G18" s="553"/>
      <c r="Y18" s="123"/>
      <c r="Z18" s="135"/>
      <c r="AA18" s="55"/>
      <c r="AB18" s="135"/>
      <c r="AC18" s="55"/>
    </row>
    <row r="19" spans="1:29" ht="15" customHeight="1">
      <c r="A19" s="377" t="s">
        <v>97</v>
      </c>
      <c r="B19" s="143">
        <f t="shared" si="1"/>
        <v>4767007.53</v>
      </c>
      <c r="C19" s="854" t="s">
        <v>399</v>
      </c>
      <c r="D19" s="853"/>
      <c r="Y19" s="123"/>
      <c r="Z19" s="135"/>
      <c r="AA19" s="55"/>
      <c r="AB19" s="135"/>
      <c r="AC19" s="55"/>
    </row>
    <row r="20" spans="1:29" ht="15" customHeight="1">
      <c r="A20" s="377" t="s">
        <v>100</v>
      </c>
      <c r="B20" s="143">
        <f t="shared" si="1"/>
        <v>0</v>
      </c>
      <c r="C20" s="377" t="s">
        <v>400</v>
      </c>
      <c r="D20" s="413">
        <f ca="1">'1-A DRAW'!B49</f>
        <v>231836699.42291003</v>
      </c>
      <c r="G20" s="286"/>
      <c r="Y20" s="123"/>
      <c r="Z20" s="135"/>
      <c r="AA20" s="55"/>
      <c r="AB20" s="135"/>
      <c r="AC20" s="55"/>
    </row>
    <row r="21" spans="1:29" ht="15" customHeight="1">
      <c r="A21" s="377" t="s">
        <v>103</v>
      </c>
      <c r="B21" s="143">
        <f t="shared" si="1"/>
        <v>0</v>
      </c>
      <c r="C21" s="377" t="s">
        <v>401</v>
      </c>
      <c r="D21" s="549">
        <f ca="1">(D20+D15)/D15</f>
        <v>2.8052368505962408</v>
      </c>
      <c r="Y21" s="123"/>
      <c r="Z21" s="135"/>
      <c r="AA21" s="55"/>
      <c r="AB21" s="135"/>
      <c r="AC21" s="55"/>
    </row>
    <row r="22" spans="1:29" ht="15" customHeight="1">
      <c r="A22" s="377" t="s">
        <v>106</v>
      </c>
      <c r="B22" s="143">
        <f t="shared" si="1"/>
        <v>0</v>
      </c>
      <c r="C22" s="860" t="s">
        <v>402</v>
      </c>
      <c r="D22" s="861">
        <f ca="1">'1-A DRAW'!B58</f>
        <v>0.25017997220496579</v>
      </c>
      <c r="Y22" s="123"/>
      <c r="Z22" s="135"/>
      <c r="AA22" s="55"/>
      <c r="AB22" s="135"/>
      <c r="AC22" s="55"/>
    </row>
    <row r="23" spans="1:29" ht="15" customHeight="1">
      <c r="A23" s="377" t="s">
        <v>403</v>
      </c>
      <c r="B23" s="143">
        <f t="shared" si="1"/>
        <v>0</v>
      </c>
      <c r="C23" s="860" t="s">
        <v>404</v>
      </c>
      <c r="D23" s="861">
        <f ca="1">'1-A DRAW'!B54</f>
        <v>0.11681232756473658</v>
      </c>
      <c r="Y23" s="123"/>
      <c r="Z23" s="135"/>
      <c r="AA23" s="55"/>
      <c r="AB23" s="135"/>
      <c r="AC23" s="55"/>
    </row>
    <row r="24" spans="1:29" ht="15" customHeight="1">
      <c r="A24" s="377" t="s">
        <v>112</v>
      </c>
      <c r="B24" s="143">
        <f>SUM(C150,I150,O150)</f>
        <v>1217029.6587000003</v>
      </c>
      <c r="C24" s="860" t="s">
        <v>405</v>
      </c>
      <c r="D24" s="865" t="str">
        <f>IF(OR(B$35="YES",H35="YES",N35="YES"),"-",D5/B28)</f>
        <v>-</v>
      </c>
      <c r="E24" s="18"/>
      <c r="Y24" s="123"/>
      <c r="Z24" s="135"/>
      <c r="AA24" s="55"/>
      <c r="AB24" s="135"/>
      <c r="AC24" s="55"/>
    </row>
    <row r="25" spans="1:29" ht="15" customHeight="1">
      <c r="A25" s="17" t="s">
        <v>165</v>
      </c>
      <c r="B25" s="143">
        <f>SUM(C151,I151,O151)</f>
        <v>-3500000</v>
      </c>
      <c r="C25" s="860" t="s">
        <v>158</v>
      </c>
      <c r="D25" s="865">
        <f>SUM(D9,D10)/B28</f>
        <v>1.2415710551788721</v>
      </c>
      <c r="G25" s="286"/>
      <c r="Y25" s="123"/>
      <c r="Z25" s="135"/>
      <c r="AA25" s="55"/>
      <c r="AB25" s="135"/>
      <c r="AC25" s="55"/>
    </row>
    <row r="26" spans="1:29" ht="15" customHeight="1" thickBot="1">
      <c r="A26" s="408" t="s">
        <v>38</v>
      </c>
      <c r="B26" s="756">
        <f>SUM(C152,I152,O152)</f>
        <v>1500000</v>
      </c>
      <c r="C26" s="863" t="s">
        <v>406</v>
      </c>
      <c r="D26" s="864" t="str">
        <f>IF((D5/D14)=0,"-",D5/D14)</f>
        <v>-</v>
      </c>
      <c r="Y26" s="123"/>
      <c r="Z26" s="135"/>
      <c r="AA26" s="55"/>
      <c r="AB26" s="135"/>
      <c r="AC26" s="55"/>
    </row>
    <row r="27" spans="1:29" ht="15" customHeight="1" thickBot="1">
      <c r="A27" s="762" t="s">
        <v>407</v>
      </c>
      <c r="B27" s="763">
        <f>SUM(C153,I153,O153)</f>
        <v>24000000</v>
      </c>
      <c r="Y27" s="123"/>
      <c r="Z27" s="135"/>
      <c r="AA27" s="55"/>
      <c r="AB27" s="135"/>
      <c r="AC27" s="55"/>
    </row>
    <row r="28" spans="1:29" ht="15" customHeight="1" thickTop="1">
      <c r="A28" s="760" t="s">
        <v>408</v>
      </c>
      <c r="B28" s="761">
        <f>SUM(B7:B27)</f>
        <v>428081776.53870004</v>
      </c>
      <c r="C28" s="328"/>
      <c r="D28" s="851"/>
      <c r="Y28" s="123"/>
      <c r="Z28" s="135"/>
      <c r="AA28" s="55"/>
      <c r="AB28" s="135"/>
      <c r="AC28" s="55"/>
    </row>
    <row r="29" spans="1:29" ht="15" customHeight="1" thickBot="1">
      <c r="A29" s="850" t="s">
        <v>409</v>
      </c>
      <c r="B29" s="862">
        <f>B28-B25</f>
        <v>431581776.53870004</v>
      </c>
      <c r="C29" s="12"/>
      <c r="D29" s="852"/>
      <c r="E29" s="12"/>
      <c r="Y29" s="123"/>
      <c r="Z29" s="135"/>
      <c r="AA29" s="55"/>
      <c r="AB29" s="135"/>
      <c r="AC29" s="55"/>
    </row>
    <row r="30" spans="1:29" ht="15" customHeight="1">
      <c r="F30" s="548"/>
      <c r="Y30" s="123"/>
      <c r="Z30" s="135"/>
      <c r="AA30" s="55"/>
      <c r="AB30" s="135"/>
      <c r="AC30" s="55"/>
    </row>
    <row r="31" spans="1:29" ht="15" customHeight="1">
      <c r="E31" s="131"/>
      <c r="Y31" s="123"/>
      <c r="Z31" s="135"/>
      <c r="AA31" s="55"/>
      <c r="AB31" s="135"/>
      <c r="AC31" s="55"/>
    </row>
    <row r="32" spans="1:29" ht="15" customHeight="1">
      <c r="E32" s="132"/>
      <c r="Y32" s="123"/>
      <c r="Z32" s="135"/>
      <c r="AA32" s="55"/>
      <c r="AB32" s="135"/>
      <c r="AC32" s="55"/>
    </row>
    <row r="33" spans="1:29" ht="24.95" customHeight="1" thickBot="1">
      <c r="A33" s="169" t="s">
        <v>410</v>
      </c>
      <c r="M33" s="293"/>
      <c r="AB33" s="55"/>
      <c r="AC33" s="136"/>
    </row>
    <row r="34" spans="1:29" ht="20.25" customHeight="1">
      <c r="A34" s="1001" t="s">
        <v>219</v>
      </c>
      <c r="B34" s="1002" t="s">
        <v>51</v>
      </c>
      <c r="C34" s="1003" t="s">
        <v>411</v>
      </c>
      <c r="D34" s="1004">
        <f>IFERROR(INDEX('Building Configuration'!$B$2:$AA$34,MATCH(B$34,'Building Configuration'!$D$2:$D$34,0),MATCH("Total",'Building Configuration'!$B$2:$AA$2,0)),0)</f>
        <v>1095863.8</v>
      </c>
      <c r="E34" s="1005"/>
      <c r="G34" s="1001" t="s">
        <v>219</v>
      </c>
      <c r="H34" s="1002"/>
      <c r="I34" s="1003" t="s">
        <v>411</v>
      </c>
      <c r="J34" s="1004">
        <f>IFERROR(INDEX('Building Configuration'!$B$2:$AA$34,MATCH(H$34,'Building Configuration'!$D$2:$D$34,0),MATCH("Total",'Building Configuration'!$B$2:$AA$2,0)),0)</f>
        <v>0</v>
      </c>
      <c r="K34" s="1005"/>
      <c r="L34" s="123"/>
      <c r="M34" s="1001" t="s">
        <v>219</v>
      </c>
      <c r="N34" s="1002"/>
      <c r="O34" s="1003" t="s">
        <v>411</v>
      </c>
      <c r="P34" s="1004">
        <f>IFERROR(INDEX('Building Configuration'!$B$2:$AA$34,MATCH(N$34,'Building Configuration'!$D$2:$D$34,0),MATCH("Total",'Building Configuration'!$B$2:$AA$2,0)),0)</f>
        <v>0</v>
      </c>
      <c r="Q34" s="1005"/>
      <c r="R34" s="123"/>
      <c r="S34" s="304"/>
      <c r="T34" s="285"/>
      <c r="V34" s="168"/>
      <c r="W34" s="123"/>
      <c r="X34" s="124"/>
    </row>
    <row r="35" spans="1:29" ht="15" customHeight="1">
      <c r="A35" s="6" t="s">
        <v>412</v>
      </c>
      <c r="B35" s="137" t="str">
        <f>IF(OR(D$37&gt;0,D$39&gt;0,D$43&gt;0),"YES","NO")</f>
        <v>YES</v>
      </c>
      <c r="D35" s="119"/>
      <c r="E35" s="103"/>
      <c r="G35" s="6" t="s">
        <v>412</v>
      </c>
      <c r="H35" s="137" t="str">
        <f>IF(OR(J$37&gt;0,J$39&gt;0,J$43&gt;0),"YES","NO")</f>
        <v>NO</v>
      </c>
      <c r="J35" s="119"/>
      <c r="K35" s="103"/>
      <c r="L35" s="123"/>
      <c r="M35" s="6" t="s">
        <v>412</v>
      </c>
      <c r="N35" s="137" t="str">
        <f>IF(OR(P$37&gt;0,P$39&gt;0,P$43&gt;0),"YES","NO")</f>
        <v>NO</v>
      </c>
      <c r="P35" s="119"/>
      <c r="Q35" s="103"/>
      <c r="R35" s="123"/>
      <c r="S35" s="123"/>
      <c r="T35" s="137"/>
      <c r="V35" s="168"/>
      <c r="W35" s="123"/>
      <c r="X35" s="124"/>
    </row>
    <row r="36" spans="1:29" ht="15" customHeight="1">
      <c r="A36" s="6" t="s">
        <v>222</v>
      </c>
      <c r="B36" s="118" t="str">
        <f>IFERROR(INDEX('Building Configuration'!$B$2:$AA$34,MATCH(B$34,'Building Configuration'!$D$2:$D$34,0),MATCH(A36,'Building Configuration'!$B$2:$AA$2,0)),"-")</f>
        <v>-</v>
      </c>
      <c r="C36" s="5" t="s">
        <v>231</v>
      </c>
      <c r="D36" s="119">
        <f>IFERROR(INDEX('Building Configuration'!$B$2:$AA$34,MATCH(B$34,'Building Configuration'!$D$2:$D$34,0),MATCH(B36,'Building Configuration'!$B$2:$AA$2,0)),0)</f>
        <v>0</v>
      </c>
      <c r="E36" s="103"/>
      <c r="G36" s="6" t="s">
        <v>222</v>
      </c>
      <c r="H36" s="118" t="str">
        <f>IFERROR(INDEX('Building Configuration'!$B$2:$AA$34,MATCH(H$34,'Building Configuration'!$D$2:$D$34,0),MATCH(G36,'Building Configuration'!$B$2:$AA$2,0)),"-")</f>
        <v>-</v>
      </c>
      <c r="I36" s="5" t="s">
        <v>231</v>
      </c>
      <c r="J36" s="119">
        <f>IFERROR(INDEX('Building Configuration'!$B$2:$AA$34,MATCH(H$34,'Building Configuration'!$D$2:$D$34,0),MATCH(H36,'Building Configuration'!$B$2:$AA$2,0)),0)</f>
        <v>0</v>
      </c>
      <c r="K36" s="103"/>
      <c r="L36" s="123"/>
      <c r="M36" s="6" t="s">
        <v>222</v>
      </c>
      <c r="N36" s="118" t="str">
        <f>IFERROR(INDEX('Building Configuration'!$B$2:$AA$34,MATCH(N$34,'Building Configuration'!$D$2:$D$34,0),MATCH(M36,'Building Configuration'!$B$2:$AA$2,0)),"-")</f>
        <v>-</v>
      </c>
      <c r="O36" s="5" t="s">
        <v>231</v>
      </c>
      <c r="P36" s="119">
        <f>IFERROR(INDEX('Building Configuration'!$B$2:$AA$34,MATCH(N$34,'Building Configuration'!$D$2:$D$34,0),MATCH(N36,'Building Configuration'!$B$2:$AA$2,0)),0)</f>
        <v>0</v>
      </c>
      <c r="Q36" s="103"/>
      <c r="R36" s="123"/>
      <c r="S36" s="123"/>
      <c r="T36" s="118"/>
      <c r="V36" s="168"/>
      <c r="W36" s="123"/>
      <c r="X36" s="124"/>
    </row>
    <row r="37" spans="1:29" ht="15" customHeight="1">
      <c r="A37" s="6" t="s">
        <v>223</v>
      </c>
      <c r="B37" s="118" t="str">
        <f>IFERROR(INDEX('Building Configuration'!$B$2:$AA$34,MATCH(B$34,'Building Configuration'!$D$2:$D$34,0),MATCH(A37,'Building Configuration'!$B$2:$AA$2,0)),"-")</f>
        <v>-</v>
      </c>
      <c r="C37" s="5" t="s">
        <v>413</v>
      </c>
      <c r="D37" s="119">
        <f>IFERROR(INDEX('Building Configuration'!$B$2:$AA$34,MATCH(B$34,'Building Configuration'!$D$2:$D$34,0),MATCH(B37,'Building Configuration'!$B$2:$AA$2,0)),0)</f>
        <v>0</v>
      </c>
      <c r="E37" s="103"/>
      <c r="G37" s="6" t="s">
        <v>223</v>
      </c>
      <c r="H37" s="118" t="str">
        <f>IFERROR(INDEX('Building Configuration'!$B$2:$AA$34,MATCH(H$34,'Building Configuration'!$D$2:$D$34,0),MATCH(G37,'Building Configuration'!$B$2:$AA$2,0)),"-")</f>
        <v>-</v>
      </c>
      <c r="I37" s="5" t="s">
        <v>413</v>
      </c>
      <c r="J37" s="119">
        <f>IFERROR(INDEX('Building Configuration'!$B$2:$AA$34,MATCH(H$34,'Building Configuration'!$D$2:$D$34,0),MATCH(H37,'Building Configuration'!$B$2:$AA$2,0)),0)</f>
        <v>0</v>
      </c>
      <c r="K37" s="103"/>
      <c r="L37" s="123"/>
      <c r="M37" s="6" t="s">
        <v>223</v>
      </c>
      <c r="N37" s="118" t="str">
        <f>IFERROR(INDEX('Building Configuration'!$B$2:$AA$34,MATCH(N$34,'Building Configuration'!$D$2:$D$34,0),MATCH(M37,'Building Configuration'!$B$2:$AA$2,0)),"-")</f>
        <v>-</v>
      </c>
      <c r="O37" s="5" t="s">
        <v>413</v>
      </c>
      <c r="P37" s="119">
        <f>IFERROR(INDEX('Building Configuration'!$B$2:$AA$34,MATCH(N$34,'Building Configuration'!$D$2:$D$34,0),MATCH(N37,'Building Configuration'!$B$2:$AA$2,0)),0)</f>
        <v>0</v>
      </c>
      <c r="Q37" s="103"/>
      <c r="R37" s="123"/>
      <c r="S37" s="123"/>
      <c r="T37" s="118"/>
      <c r="V37" s="168"/>
      <c r="W37" s="123"/>
      <c r="X37" s="124"/>
    </row>
    <row r="38" spans="1:29" ht="15" customHeight="1">
      <c r="A38" s="6" t="s">
        <v>224</v>
      </c>
      <c r="B38" s="118" t="str">
        <f>IFERROR(INDEX('Building Configuration'!$B$2:$AA$34,MATCH(B$34,'Building Configuration'!$D$2:$D$34,0),MATCH(A38,'Building Configuration'!$B$2:$AA$2,0)),"-")</f>
        <v>-</v>
      </c>
      <c r="C38" s="5" t="s">
        <v>233</v>
      </c>
      <c r="D38" s="119">
        <f>IFERROR(INDEX('Building Configuration'!$B$2:$AA$34,MATCH(B$34,'Building Configuration'!$D$2:$D$34,0),MATCH(B38,'Building Configuration'!$B$2:$AA$2,0)),0)</f>
        <v>0</v>
      </c>
      <c r="E38" s="103"/>
      <c r="G38" s="6" t="s">
        <v>224</v>
      </c>
      <c r="H38" s="118" t="str">
        <f>IFERROR(INDEX('Building Configuration'!$B$2:$AA$34,MATCH(H$34,'Building Configuration'!$D$2:$D$34,0),MATCH(G38,'Building Configuration'!$B$2:$AA$2,0)),"-")</f>
        <v>-</v>
      </c>
      <c r="I38" s="5" t="s">
        <v>233</v>
      </c>
      <c r="J38" s="119">
        <f>IFERROR(INDEX('Building Configuration'!$B$2:$AA$34,MATCH(H$34,'Building Configuration'!$D$2:$D$34,0),MATCH(H38,'Building Configuration'!$B$2:$AA$2,0)),0)</f>
        <v>0</v>
      </c>
      <c r="K38" s="103"/>
      <c r="L38" s="123"/>
      <c r="M38" s="6" t="s">
        <v>224</v>
      </c>
      <c r="N38" s="118" t="str">
        <f>IFERROR(INDEX('Building Configuration'!$B$2:$AA$34,MATCH(N$34,'Building Configuration'!$D$2:$D$34,0),MATCH(M38,'Building Configuration'!$B$2:$AA$2,0)),"-")</f>
        <v>-</v>
      </c>
      <c r="O38" s="5" t="s">
        <v>233</v>
      </c>
      <c r="P38" s="119">
        <f>IFERROR(INDEX('Building Configuration'!$B$2:$AA$34,MATCH(N$34,'Building Configuration'!$D$2:$D$34,0),MATCH(N38,'Building Configuration'!$B$2:$AA$2,0)),0)</f>
        <v>0</v>
      </c>
      <c r="Q38" s="103"/>
      <c r="R38" s="123"/>
      <c r="S38" s="123"/>
      <c r="T38" s="118"/>
      <c r="V38" s="168"/>
      <c r="W38" s="123"/>
      <c r="X38" s="124"/>
      <c r="Z38" s="168"/>
    </row>
    <row r="39" spans="1:29" ht="15" customHeight="1">
      <c r="A39" s="6" t="s">
        <v>225</v>
      </c>
      <c r="B39" s="118" t="str">
        <f>IFERROR(INDEX('Building Configuration'!$B$2:$AA$34,MATCH(B$34,'Building Configuration'!$D$2:$D$34,0),MATCH(A39,'Building Configuration'!$B$2:$AA$2,0)),"-")</f>
        <v>-</v>
      </c>
      <c r="C39" s="5" t="s">
        <v>414</v>
      </c>
      <c r="D39" s="119">
        <f>IFERROR(INDEX('Building Configuration'!$B$2:$AA$34,MATCH(B$34,'Building Configuration'!$D$2:$D$34,0),MATCH(B39,'Building Configuration'!$B$2:$AA$2,0)),0)</f>
        <v>0</v>
      </c>
      <c r="E39" s="103"/>
      <c r="G39" s="6" t="s">
        <v>225</v>
      </c>
      <c r="H39" s="118" t="str">
        <f>IFERROR(INDEX('Building Configuration'!$B$2:$AA$34,MATCH(H$34,'Building Configuration'!$D$2:$D$34,0),MATCH(G39,'Building Configuration'!$B$2:$AA$2,0)),"-")</f>
        <v>-</v>
      </c>
      <c r="I39" s="5" t="s">
        <v>414</v>
      </c>
      <c r="J39" s="119">
        <f>IFERROR(INDEX('Building Configuration'!$B$2:$AA$34,MATCH(H$34,'Building Configuration'!$D$2:$D$34,0),MATCH(H39,'Building Configuration'!$B$2:$AA$2,0)),0)</f>
        <v>0</v>
      </c>
      <c r="K39" s="103"/>
      <c r="L39" s="123"/>
      <c r="M39" s="6" t="s">
        <v>225</v>
      </c>
      <c r="N39" s="118" t="str">
        <f>IFERROR(INDEX('Building Configuration'!$B$2:$AA$34,MATCH(N$34,'Building Configuration'!$D$2:$D$34,0),MATCH(M39,'Building Configuration'!$B$2:$AA$2,0)),"-")</f>
        <v>-</v>
      </c>
      <c r="O39" s="5" t="s">
        <v>414</v>
      </c>
      <c r="P39" s="119">
        <f>IFERROR(INDEX('Building Configuration'!$B$2:$AA$34,MATCH(N$34,'Building Configuration'!$D$2:$D$34,0),MATCH(N39,'Building Configuration'!$B$2:$AA$2,0)),0)</f>
        <v>0</v>
      </c>
      <c r="Q39" s="103"/>
      <c r="R39" s="123"/>
      <c r="S39" s="123"/>
      <c r="T39" s="118"/>
      <c r="V39" s="168"/>
      <c r="W39" s="123"/>
      <c r="X39" s="124"/>
      <c r="Z39" s="168"/>
    </row>
    <row r="40" spans="1:29" ht="15" customHeight="1">
      <c r="A40" s="6" t="s">
        <v>226</v>
      </c>
      <c r="B40" s="118" t="str">
        <f>IFERROR(INDEX('Building Configuration'!$B$2:$AA$34,MATCH(B$34,'Building Configuration'!$D$2:$D$34,0),MATCH(A40,'Building Configuration'!$B$2:$AA$2,0)),"-")</f>
        <v>-</v>
      </c>
      <c r="C40" s="5" t="s">
        <v>59</v>
      </c>
      <c r="D40" s="119">
        <f>IFERROR(INDEX('Building Configuration'!$B$2:$AA$34,MATCH(B$34,'Building Configuration'!$D$2:$D$34,0),MATCH(B40,'Building Configuration'!$B$2:$AA$2,0)),0)</f>
        <v>0</v>
      </c>
      <c r="E40" s="103"/>
      <c r="G40" s="6" t="s">
        <v>226</v>
      </c>
      <c r="H40" s="118" t="str">
        <f>IFERROR(INDEX('Building Configuration'!$B$2:$AA$34,MATCH(H$34,'Building Configuration'!$D$2:$D$34,0),MATCH(G40,'Building Configuration'!$B$2:$AA$2,0)),"-")</f>
        <v>-</v>
      </c>
      <c r="I40" s="5" t="s">
        <v>59</v>
      </c>
      <c r="J40" s="119">
        <f>IFERROR(INDEX('Building Configuration'!$B$2:$AA$34,MATCH(H$34,'Building Configuration'!$D$2:$D$34,0),MATCH(H40,'Building Configuration'!$B$2:$AA$2,0)),0)</f>
        <v>0</v>
      </c>
      <c r="K40" s="103"/>
      <c r="L40" s="123"/>
      <c r="M40" s="6" t="s">
        <v>226</v>
      </c>
      <c r="N40" s="118" t="str">
        <f>IFERROR(INDEX('Building Configuration'!$B$2:$AA$34,MATCH(N$34,'Building Configuration'!$D$2:$D$34,0),MATCH(M40,'Building Configuration'!$B$2:$AA$2,0)),"-")</f>
        <v>-</v>
      </c>
      <c r="O40" s="5" t="s">
        <v>59</v>
      </c>
      <c r="P40" s="119">
        <f>IFERROR(INDEX('Building Configuration'!$B$2:$AA$34,MATCH(N$34,'Building Configuration'!$D$2:$D$34,0),MATCH(N40,'Building Configuration'!$B$2:$AA$2,0)),0)</f>
        <v>0</v>
      </c>
      <c r="Q40" s="103"/>
      <c r="R40" s="123"/>
      <c r="S40" s="123"/>
      <c r="T40" s="118"/>
      <c r="V40" s="168"/>
      <c r="W40" s="123"/>
      <c r="X40" s="124"/>
      <c r="Z40" s="168"/>
    </row>
    <row r="41" spans="1:29" ht="15" customHeight="1">
      <c r="A41" s="6" t="s">
        <v>227</v>
      </c>
      <c r="B41" s="118" t="str">
        <f>IFERROR(INDEX('Building Configuration'!$B$2:$AA$34,MATCH(B$34,'Building Configuration'!$D$2:$D$34,0),MATCH(A41,'Building Configuration'!$B$2:$AA$2,0)),"-")</f>
        <v>Retail</v>
      </c>
      <c r="C41" s="5" t="s">
        <v>415</v>
      </c>
      <c r="D41" s="119">
        <f>IFERROR(INDEX('Building Configuration'!$B$2:$AA$34,MATCH(B$34,'Building Configuration'!$D$2:$D$34,0),MATCH(B41,'Building Configuration'!$B$2:$AA$2,0)),0)</f>
        <v>0</v>
      </c>
      <c r="E41" s="103"/>
      <c r="G41" s="6" t="s">
        <v>227</v>
      </c>
      <c r="H41" s="118" t="str">
        <f>IFERROR(INDEX('Building Configuration'!$B$2:$AA$34,MATCH(H$34,'Building Configuration'!$D$2:$D$34,0),MATCH(G41,'Building Configuration'!$B$2:$AA$2,0)),"-")</f>
        <v>-</v>
      </c>
      <c r="I41" s="5" t="s">
        <v>415</v>
      </c>
      <c r="J41" s="119">
        <f>IFERROR(INDEX('Building Configuration'!$B$2:$AA$34,MATCH(H$34,'Building Configuration'!$D$2:$D$34,0),MATCH(H41,'Building Configuration'!$B$2:$AA$2,0)),0)</f>
        <v>0</v>
      </c>
      <c r="K41" s="103"/>
      <c r="L41" s="123"/>
      <c r="M41" s="6" t="s">
        <v>227</v>
      </c>
      <c r="N41" s="118" t="str">
        <f>IFERROR(INDEX('Building Configuration'!$B$2:$AA$34,MATCH(N$34,'Building Configuration'!$D$2:$D$34,0),MATCH(M41,'Building Configuration'!$B$2:$AA$2,0)),"-")</f>
        <v>-</v>
      </c>
      <c r="O41" s="5" t="s">
        <v>415</v>
      </c>
      <c r="P41" s="119">
        <f>IFERROR(INDEX('Building Configuration'!$B$2:$AA$34,MATCH(N$34,'Building Configuration'!$D$2:$D$34,0),MATCH(N41,'Building Configuration'!$B$2:$AA$2,0)),0)</f>
        <v>0</v>
      </c>
      <c r="Q41" s="103"/>
      <c r="R41" s="123"/>
      <c r="S41" s="123"/>
      <c r="T41" s="118"/>
      <c r="V41" s="168"/>
      <c r="W41" s="123"/>
      <c r="X41" s="124"/>
      <c r="Z41" s="168"/>
    </row>
    <row r="42" spans="1:29" ht="15" customHeight="1">
      <c r="A42" s="6" t="s">
        <v>228</v>
      </c>
      <c r="B42" s="118" t="str">
        <f>IFERROR(INDEX('Building Configuration'!$B$2:$AA$34,MATCH(B$34,'Building Configuration'!$D$2:$D$34,0),MATCH(A42,'Building Configuration'!$B$2:$AA$2,0)),"-")</f>
        <v>Laboratory</v>
      </c>
      <c r="C42" s="5" t="s">
        <v>416</v>
      </c>
      <c r="D42" s="119">
        <f>IFERROR(INDEX('Building Configuration'!$B$2:$AA$34,MATCH(B$34,'Building Configuration'!$D$2:$D$34,0),MATCH(B42,'Building Configuration'!$B$2:$AA$2,0)),0)</f>
        <v>0</v>
      </c>
      <c r="E42" s="103"/>
      <c r="G42" s="6" t="s">
        <v>228</v>
      </c>
      <c r="H42" s="118" t="str">
        <f>IFERROR(INDEX('Building Configuration'!$B$2:$AA$34,MATCH(H$34,'Building Configuration'!$D$2:$D$34,0),MATCH(G42,'Building Configuration'!$B$2:$AA$2,0)),"-")</f>
        <v>-</v>
      </c>
      <c r="I42" s="5" t="s">
        <v>416</v>
      </c>
      <c r="J42" s="119">
        <f>IFERROR(INDEX('Building Configuration'!$B$2:$AA$34,MATCH(H$34,'Building Configuration'!$D$2:$D$34,0),MATCH(H42,'Building Configuration'!$B$2:$AA$2,0)),0)</f>
        <v>0</v>
      </c>
      <c r="K42" s="103"/>
      <c r="L42" s="123"/>
      <c r="M42" s="6" t="s">
        <v>228</v>
      </c>
      <c r="N42" s="118" t="str">
        <f>IFERROR(INDEX('Building Configuration'!$B$2:$AA$34,MATCH(N$34,'Building Configuration'!$D$2:$D$34,0),MATCH(M42,'Building Configuration'!$B$2:$AA$2,0)),"-")</f>
        <v>-</v>
      </c>
      <c r="O42" s="5" t="s">
        <v>416</v>
      </c>
      <c r="P42" s="119">
        <f>IFERROR(INDEX('Building Configuration'!$B$2:$AA$34,MATCH(N$34,'Building Configuration'!$D$2:$D$34,0),MATCH(N42,'Building Configuration'!$B$2:$AA$2,0)),0)</f>
        <v>0</v>
      </c>
      <c r="Q42" s="103"/>
      <c r="R42" s="123"/>
      <c r="S42" s="123"/>
      <c r="T42" s="118"/>
      <c r="V42" s="168"/>
      <c r="W42" s="123"/>
      <c r="X42" s="124"/>
      <c r="Z42" s="168"/>
    </row>
    <row r="43" spans="1:29" ht="15" customHeight="1">
      <c r="A43" s="6" t="s">
        <v>229</v>
      </c>
      <c r="B43" s="118" t="str">
        <f>IFERROR(INDEX('Building Configuration'!$B$2:$AA$34,MATCH(B$34,'Building Configuration'!$D$2:$D$34,0),MATCH(A43,'Building Configuration'!$B$2:$AA$2,0)),"-")</f>
        <v>University</v>
      </c>
      <c r="C43" s="5" t="s">
        <v>229</v>
      </c>
      <c r="D43" s="119">
        <f>IFERROR(INDEX('Building Configuration'!$B$2:$AA$34,MATCH(B$34,'Building Configuration'!$D$2:$D$34,0),MATCH(B43,'Building Configuration'!$B$2:$AA$2,0)),0)</f>
        <v>1095863.8</v>
      </c>
      <c r="E43" s="103"/>
      <c r="G43" s="6" t="s">
        <v>229</v>
      </c>
      <c r="H43" s="118" t="str">
        <f>IFERROR(INDEX('Building Configuration'!$B$2:$AA$34,MATCH(H$34,'Building Configuration'!$D$2:$D$34,0),MATCH(G43,'Building Configuration'!$B$2:$AA$2,0)),"-")</f>
        <v>-</v>
      </c>
      <c r="I43" s="5" t="s">
        <v>229</v>
      </c>
      <c r="J43" s="119">
        <f>IFERROR(INDEX('Building Configuration'!$B$2:$AA$34,MATCH(H$34,'Building Configuration'!$D$2:$D$34,0),MATCH(H43,'Building Configuration'!$B$2:$AA$2,0)),0)</f>
        <v>0</v>
      </c>
      <c r="K43" s="103"/>
      <c r="L43" s="123"/>
      <c r="M43" s="6" t="s">
        <v>229</v>
      </c>
      <c r="N43" s="118" t="str">
        <f>IFERROR(INDEX('Building Configuration'!$B$2:$AA$34,MATCH(N$34,'Building Configuration'!$D$2:$D$34,0),MATCH(M43,'Building Configuration'!$B$2:$AA$2,0)),"-")</f>
        <v>-</v>
      </c>
      <c r="O43" s="5" t="s">
        <v>229</v>
      </c>
      <c r="P43" s="119">
        <f>IFERROR(INDEX('Building Configuration'!$B$2:$AA$34,MATCH(N$34,'Building Configuration'!$D$2:$D$34,0),MATCH(N43,'Building Configuration'!$B$2:$AA$2,0)),0)</f>
        <v>0</v>
      </c>
      <c r="Q43" s="103"/>
      <c r="R43" s="123"/>
      <c r="S43" s="123"/>
      <c r="T43" s="118"/>
      <c r="V43" s="168"/>
      <c r="W43" s="123"/>
      <c r="X43" s="124"/>
      <c r="Z43" s="168"/>
    </row>
    <row r="44" spans="1:29" ht="15" customHeight="1">
      <c r="A44" s="6" t="s">
        <v>230</v>
      </c>
      <c r="B44" s="118" t="str">
        <f>IFERROR(INDEX('Building Configuration'!$B$2:$AA$34,MATCH(B$34,'Building Configuration'!$D$2:$D$34,0),MATCH(A44,'Building Configuration'!$B$2:$AA$2,0)),"-")</f>
        <v>-</v>
      </c>
      <c r="C44" s="5" t="s">
        <v>230</v>
      </c>
      <c r="D44" s="119">
        <f>IFERROR(INDEX('Building Configuration'!$B$2:$AA$34,MATCH(B$34,'Building Configuration'!$D$2:$D$34,0),MATCH(B44,'Building Configuration'!$B$2:$AA$2,0)),0)</f>
        <v>0</v>
      </c>
      <c r="E44" s="103"/>
      <c r="G44" s="6" t="s">
        <v>230</v>
      </c>
      <c r="H44" s="118" t="str">
        <f>IFERROR(INDEX('Building Configuration'!$B$2:$AA$34,MATCH(H$34,'Building Configuration'!$D$2:$D$34,0),MATCH(G44,'Building Configuration'!$B$2:$AA$2,0)),"-")</f>
        <v>-</v>
      </c>
      <c r="I44" s="5" t="s">
        <v>230</v>
      </c>
      <c r="J44" s="119">
        <f>IFERROR(INDEX('Building Configuration'!$B$2:$AA$34,MATCH(H$34,'Building Configuration'!$D$2:$D$34,0),MATCH(H44,'Building Configuration'!$B$2:$AA$2,0)),0)</f>
        <v>0</v>
      </c>
      <c r="K44" s="103"/>
      <c r="L44" s="123"/>
      <c r="M44" s="6" t="s">
        <v>230</v>
      </c>
      <c r="N44" s="118" t="str">
        <f>IFERROR(INDEX('Building Configuration'!$B$2:$AA$34,MATCH(N$34,'Building Configuration'!$D$2:$D$34,0),MATCH(M44,'Building Configuration'!$B$2:$AA$2,0)),"-")</f>
        <v>-</v>
      </c>
      <c r="O44" s="5" t="s">
        <v>230</v>
      </c>
      <c r="P44" s="119">
        <f>IFERROR(INDEX('Building Configuration'!$B$2:$AA$34,MATCH(N$34,'Building Configuration'!$D$2:$D$34,0),MATCH(N44,'Building Configuration'!$B$2:$AA$2,0)),0)</f>
        <v>0</v>
      </c>
      <c r="Q44" s="103"/>
      <c r="R44" s="123"/>
      <c r="S44" s="123"/>
      <c r="T44" s="118"/>
      <c r="V44" s="168"/>
      <c r="W44" s="123"/>
      <c r="X44" s="124"/>
      <c r="Z44" s="168"/>
    </row>
    <row r="45" spans="1:29" ht="15" customHeight="1">
      <c r="A45" s="6" t="s">
        <v>417</v>
      </c>
      <c r="B45" s="118" t="str">
        <f>IFERROR(IF(INDEX('Building Configuration'!$B$2:$AA$34,MATCH(B$34,'Building Configuration'!$D$2:$D$34,0),MATCH(C45,'Building Configuration'!$B$2:$AA$2,0))&gt;0,"YES","NO"),"-")</f>
        <v>NO</v>
      </c>
      <c r="C45" s="5" t="s">
        <v>116</v>
      </c>
      <c r="D45" s="119">
        <f>IFERROR(INDEX('Building Configuration'!$B$2:$AA$34,MATCH(B$34,'Building Configuration'!$D$2:$D$34,0),MATCH(C45,'Building Configuration'!$B$2:$AA$2,0)),0)</f>
        <v>0</v>
      </c>
      <c r="E45" s="65"/>
      <c r="G45" s="6" t="s">
        <v>417</v>
      </c>
      <c r="H45" s="118" t="str">
        <f>IFERROR(IF(INDEX('Building Configuration'!$B$2:$AA$34,MATCH(H$34,'Building Configuration'!$D$2:$D$34,0),MATCH(I45,'Building Configuration'!$B$2:$AA$2,0))&gt;0,"YES","NO"),"-")</f>
        <v>-</v>
      </c>
      <c r="I45" s="5" t="s">
        <v>116</v>
      </c>
      <c r="J45" s="119">
        <f>IFERROR(INDEX('Building Configuration'!$B$2:$AA$34,MATCH(H$34,'Building Configuration'!$D$2:$D$34,0),MATCH(I45,'Building Configuration'!$B$2:$AA$2,0)),0)</f>
        <v>0</v>
      </c>
      <c r="K45" s="65"/>
      <c r="L45" s="55"/>
      <c r="M45" s="6" t="s">
        <v>417</v>
      </c>
      <c r="N45" s="118" t="str">
        <f>IFERROR(IF(INDEX('Building Configuration'!$B$2:$AA$34,MATCH(N$34,'Building Configuration'!$D$2:$D$34,0),MATCH(O45,'Building Configuration'!$B$2:$AA$2,0))&gt;0,"YES","NO"),"-")</f>
        <v>-</v>
      </c>
      <c r="O45" s="5" t="s">
        <v>116</v>
      </c>
      <c r="P45" s="119">
        <f>IFERROR(INDEX('Building Configuration'!$B$2:$AA$34,MATCH(N$34,'Building Configuration'!$D$2:$D$34,0),MATCH(O45,'Building Configuration'!$B$2:$AA$2,0)),0)</f>
        <v>0</v>
      </c>
      <c r="Q45" s="65"/>
      <c r="R45" s="55"/>
      <c r="S45" s="123"/>
      <c r="T45" s="118"/>
      <c r="V45" s="168"/>
      <c r="W45" s="55"/>
      <c r="X45" s="99"/>
      <c r="Z45" s="117"/>
    </row>
    <row r="46" spans="1:29" ht="15" customHeight="1">
      <c r="A46" s="6" t="s">
        <v>418</v>
      </c>
      <c r="B46" s="161">
        <v>0</v>
      </c>
      <c r="C46" s="162">
        <f>100%-B46</f>
        <v>1</v>
      </c>
      <c r="D46" s="119"/>
      <c r="E46" s="65"/>
      <c r="G46" s="6" t="s">
        <v>418</v>
      </c>
      <c r="H46" s="161">
        <v>1</v>
      </c>
      <c r="I46" s="162">
        <f>100%-H46</f>
        <v>0</v>
      </c>
      <c r="J46" s="119"/>
      <c r="K46" s="65"/>
      <c r="L46" s="55"/>
      <c r="M46" s="6" t="s">
        <v>418</v>
      </c>
      <c r="N46" s="161">
        <v>1</v>
      </c>
      <c r="O46" s="162">
        <f>100%-N46</f>
        <v>0</v>
      </c>
      <c r="P46" s="119"/>
      <c r="Q46" s="65"/>
      <c r="R46" s="55"/>
      <c r="S46" s="123"/>
      <c r="T46" s="294"/>
      <c r="U46" s="305"/>
      <c r="V46" s="168"/>
      <c r="W46" s="55"/>
      <c r="X46" s="99"/>
    </row>
    <row r="47" spans="1:29" ht="15" customHeight="1">
      <c r="A47" s="6"/>
      <c r="B47" s="118"/>
      <c r="D47" s="119"/>
      <c r="E47" s="65"/>
      <c r="G47" s="6"/>
      <c r="H47" s="118"/>
      <c r="J47" s="119"/>
      <c r="K47" s="65"/>
      <c r="L47" s="55"/>
      <c r="M47" s="6"/>
      <c r="N47" s="118"/>
      <c r="P47" s="119"/>
      <c r="Q47" s="65"/>
      <c r="R47" s="55"/>
      <c r="S47" s="123"/>
      <c r="T47" s="118"/>
      <c r="V47" s="168"/>
      <c r="W47" s="55"/>
      <c r="X47" s="99"/>
    </row>
    <row r="48" spans="1:29" ht="15" customHeight="1">
      <c r="A48" s="104" t="s">
        <v>222</v>
      </c>
      <c r="B48" s="105" t="str">
        <f>B$36</f>
        <v>-</v>
      </c>
      <c r="C48" s="166" t="s">
        <v>419</v>
      </c>
      <c r="D48" s="111">
        <f>D$36*E$48</f>
        <v>0</v>
      </c>
      <c r="E48" s="106">
        <f>Assumptions!$Y$28</f>
        <v>0.77</v>
      </c>
      <c r="F48" s="99"/>
      <c r="G48" s="104" t="s">
        <v>222</v>
      </c>
      <c r="H48" s="105" t="str">
        <f>H$36</f>
        <v>-</v>
      </c>
      <c r="I48" s="166" t="s">
        <v>419</v>
      </c>
      <c r="J48" s="111">
        <f>J$36*K$48</f>
        <v>0</v>
      </c>
      <c r="K48" s="106">
        <f>Assumptions!$Y$28</f>
        <v>0.77</v>
      </c>
      <c r="L48" s="55"/>
      <c r="M48" s="104" t="s">
        <v>222</v>
      </c>
      <c r="N48" s="105" t="str">
        <f>N$36</f>
        <v>-</v>
      </c>
      <c r="O48" s="166" t="s">
        <v>419</v>
      </c>
      <c r="P48" s="111">
        <f>P$36*Q$48</f>
        <v>0</v>
      </c>
      <c r="Q48" s="106">
        <f>Assumptions!$Y$28</f>
        <v>0.77</v>
      </c>
      <c r="R48" s="55"/>
      <c r="S48" s="123"/>
      <c r="T48" s="99"/>
      <c r="U48" s="135"/>
      <c r="V48" s="295"/>
      <c r="W48" s="55"/>
      <c r="X48" s="99"/>
    </row>
    <row r="49" spans="1:24" ht="15" customHeight="1">
      <c r="A49" s="104" t="s">
        <v>420</v>
      </c>
      <c r="B49" s="160">
        <v>0</v>
      </c>
      <c r="C49" s="113" t="str">
        <f>IF(C55&gt;D48,"# of Units Over Available Area","# of Units Within Available Area")</f>
        <v># of Units Within Available Area</v>
      </c>
      <c r="D49" s="112" t="s">
        <v>421</v>
      </c>
      <c r="E49" s="120">
        <v>0</v>
      </c>
      <c r="F49" s="101"/>
      <c r="G49" s="104" t="s">
        <v>420</v>
      </c>
      <c r="H49" s="160">
        <v>0</v>
      </c>
      <c r="I49" s="113" t="str">
        <f>IF(I55&gt;J48,"# of Units Over Available Area","# of Units Within Available Area")</f>
        <v># of Units Within Available Area</v>
      </c>
      <c r="J49" s="112" t="s">
        <v>421</v>
      </c>
      <c r="K49" s="120">
        <v>0</v>
      </c>
      <c r="L49" s="102"/>
      <c r="M49" s="104" t="s">
        <v>420</v>
      </c>
      <c r="N49" s="160">
        <v>0</v>
      </c>
      <c r="O49" s="113" t="str">
        <f>IF(O55&gt;P48,"# of Units Over Available Area","# of Units Within Available Area")</f>
        <v># of Units Within Available Area</v>
      </c>
      <c r="P49" s="112" t="s">
        <v>421</v>
      </c>
      <c r="Q49" s="120">
        <v>0</v>
      </c>
      <c r="R49" s="102"/>
      <c r="S49" s="123"/>
      <c r="T49" s="296"/>
      <c r="U49" s="297"/>
      <c r="V49" s="112"/>
      <c r="W49" s="102"/>
      <c r="X49" s="99"/>
    </row>
    <row r="50" spans="1:24" ht="15" customHeight="1">
      <c r="A50" s="107" t="s">
        <v>308</v>
      </c>
      <c r="B50" s="200" t="s">
        <v>422</v>
      </c>
      <c r="C50" s="109" t="s">
        <v>419</v>
      </c>
      <c r="D50" s="108" t="s">
        <v>423</v>
      </c>
      <c r="E50" s="110" t="s">
        <v>424</v>
      </c>
      <c r="F50" s="99"/>
      <c r="G50" s="107" t="s">
        <v>308</v>
      </c>
      <c r="H50" s="200" t="s">
        <v>422</v>
      </c>
      <c r="I50" s="109" t="s">
        <v>419</v>
      </c>
      <c r="J50" s="108" t="s">
        <v>423</v>
      </c>
      <c r="K50" s="110" t="s">
        <v>424</v>
      </c>
      <c r="L50" s="124"/>
      <c r="M50" s="107" t="s">
        <v>308</v>
      </c>
      <c r="N50" s="200" t="s">
        <v>422</v>
      </c>
      <c r="O50" s="109" t="s">
        <v>419</v>
      </c>
      <c r="P50" s="108" t="s">
        <v>423</v>
      </c>
      <c r="Q50" s="110" t="s">
        <v>424</v>
      </c>
      <c r="R50" s="124"/>
      <c r="S50" s="123"/>
      <c r="T50" s="306"/>
      <c r="U50" s="276"/>
      <c r="V50" s="124"/>
      <c r="W50" s="124"/>
      <c r="X50" s="99"/>
    </row>
    <row r="51" spans="1:24" ht="15" customHeight="1">
      <c r="A51" s="31" t="str">
        <f>Assumptions!$W$5</f>
        <v>Studio</v>
      </c>
      <c r="B51" s="873">
        <f>B$49*INDEX(Assumptions!$Y$5:$Y$8,MATCH(A51,Assumptions!$W$5:$W$8,0))</f>
        <v>0</v>
      </c>
      <c r="C51" s="32">
        <f>Assumptions!$R$15</f>
        <v>550</v>
      </c>
      <c r="D51" s="42">
        <f>Assumptions!$R$16*(1+E$49)</f>
        <v>3</v>
      </c>
      <c r="E51" s="43">
        <f>12*B51*C51*D51</f>
        <v>0</v>
      </c>
      <c r="F51" s="99"/>
      <c r="G51" s="31" t="str">
        <f>Assumptions!$W$5</f>
        <v>Studio</v>
      </c>
      <c r="H51" s="873">
        <f>H$49*INDEX(Assumptions!$Y$5:$Y$8,MATCH(G51,Assumptions!$W$5:$W$8,0))</f>
        <v>0</v>
      </c>
      <c r="I51" s="32">
        <f>Assumptions!$R$15</f>
        <v>550</v>
      </c>
      <c r="J51" s="42">
        <f>Assumptions!$R$16*(1+K$49)</f>
        <v>3</v>
      </c>
      <c r="K51" s="43">
        <f>12*H51*I51*J51</f>
        <v>0</v>
      </c>
      <c r="L51" s="125"/>
      <c r="M51" s="31" t="str">
        <f>Assumptions!$W$5</f>
        <v>Studio</v>
      </c>
      <c r="N51" s="873">
        <f>N$49*INDEX(Assumptions!$Y$5:$Y$8,MATCH(M51,Assumptions!$W$5:$W$8,0))</f>
        <v>0</v>
      </c>
      <c r="O51" s="32">
        <f>Assumptions!$R$15</f>
        <v>550</v>
      </c>
      <c r="P51" s="42">
        <f>Assumptions!$R$16*(1+Q$49)</f>
        <v>3</v>
      </c>
      <c r="Q51" s="43">
        <f>12*N51*O51*P51</f>
        <v>0</v>
      </c>
      <c r="R51" s="125"/>
      <c r="S51" s="307"/>
      <c r="T51" s="100"/>
      <c r="U51" s="308"/>
      <c r="V51" s="309"/>
      <c r="W51" s="125"/>
      <c r="X51" s="99"/>
    </row>
    <row r="52" spans="1:24" ht="15" customHeight="1">
      <c r="A52" s="31" t="str">
        <f>Assumptions!$W$6</f>
        <v>1BR</v>
      </c>
      <c r="B52" s="873">
        <f>B$49*INDEX(Assumptions!$Y$5:$Y$8,MATCH(A52,Assumptions!$W$5:$W$8,0))</f>
        <v>0</v>
      </c>
      <c r="C52" s="378">
        <f>Assumptions!$R$18</f>
        <v>800</v>
      </c>
      <c r="D52" s="379">
        <f>Assumptions!$R$19*(1+E$49)</f>
        <v>2.4</v>
      </c>
      <c r="E52" s="380">
        <f>12*B52*C52*D52</f>
        <v>0</v>
      </c>
      <c r="F52" s="99"/>
      <c r="G52" s="31" t="str">
        <f>Assumptions!$W$6</f>
        <v>1BR</v>
      </c>
      <c r="H52" s="873">
        <f>H$49*INDEX(Assumptions!$Y$5:$Y$8,MATCH(G52,Assumptions!$W$5:$W$8,0))</f>
        <v>0</v>
      </c>
      <c r="I52" s="378">
        <f>Assumptions!$R$18</f>
        <v>800</v>
      </c>
      <c r="J52" s="379">
        <f>Assumptions!$R$19*(1+K$49)</f>
        <v>2.4</v>
      </c>
      <c r="K52" s="380">
        <f>12*H52*I52*J52</f>
        <v>0</v>
      </c>
      <c r="L52" s="125"/>
      <c r="M52" s="31" t="str">
        <f>Assumptions!$W$6</f>
        <v>1BR</v>
      </c>
      <c r="N52" s="873">
        <f>N$49*INDEX(Assumptions!$Y$5:$Y$8,MATCH(M52,Assumptions!$W$5:$W$8,0))</f>
        <v>0</v>
      </c>
      <c r="O52" s="378">
        <f>Assumptions!$R$18</f>
        <v>800</v>
      </c>
      <c r="P52" s="379">
        <f>Assumptions!$R$19*(1+Q$49)</f>
        <v>2.4</v>
      </c>
      <c r="Q52" s="380">
        <f>12*N52*O52*P52</f>
        <v>0</v>
      </c>
      <c r="R52" s="125"/>
      <c r="S52" s="307"/>
      <c r="T52" s="100"/>
      <c r="U52" s="308"/>
      <c r="V52" s="309"/>
      <c r="W52" s="125"/>
      <c r="X52" s="99"/>
    </row>
    <row r="53" spans="1:24" ht="15" customHeight="1">
      <c r="A53" s="31" t="str">
        <f>Assumptions!$W$7</f>
        <v>2BR</v>
      </c>
      <c r="B53" s="873">
        <f>B$49*INDEX(Assumptions!$Y$5:$Y$8,MATCH(A53,Assumptions!$W$5:$W$8,0))</f>
        <v>0</v>
      </c>
      <c r="C53" s="32">
        <f>Assumptions!$R$21</f>
        <v>1200</v>
      </c>
      <c r="D53" s="379">
        <f>Assumptions!$R$22*(1+E$49)</f>
        <v>2.2000000000000002</v>
      </c>
      <c r="E53" s="380">
        <f>12*B53*C53*D53</f>
        <v>0</v>
      </c>
      <c r="F53" s="100"/>
      <c r="G53" s="31" t="str">
        <f>Assumptions!$W$7</f>
        <v>2BR</v>
      </c>
      <c r="H53" s="873">
        <f>H$49*INDEX(Assumptions!$Y$5:$Y$8,MATCH(G53,Assumptions!$W$5:$W$8,0))</f>
        <v>0</v>
      </c>
      <c r="I53" s="32">
        <f>Assumptions!$R$21</f>
        <v>1200</v>
      </c>
      <c r="J53" s="379">
        <f>Assumptions!$R$22*(1+K$49)</f>
        <v>2.2000000000000002</v>
      </c>
      <c r="K53" s="380">
        <f>12*H53*I53*J53</f>
        <v>0</v>
      </c>
      <c r="L53" s="125"/>
      <c r="M53" s="31" t="str">
        <f>Assumptions!$W$7</f>
        <v>2BR</v>
      </c>
      <c r="N53" s="873">
        <f>N$49*INDEX(Assumptions!$Y$5:$Y$8,MATCH(M53,Assumptions!$W$5:$W$8,0))</f>
        <v>0</v>
      </c>
      <c r="O53" s="32">
        <f>Assumptions!$R$21</f>
        <v>1200</v>
      </c>
      <c r="P53" s="379">
        <f>Assumptions!$R$22*(1+Q$49)</f>
        <v>2.2000000000000002</v>
      </c>
      <c r="Q53" s="380">
        <f>12*N53*O53*P53</f>
        <v>0</v>
      </c>
      <c r="R53" s="125"/>
      <c r="S53" s="307"/>
      <c r="T53" s="100"/>
      <c r="U53" s="308"/>
      <c r="V53" s="309"/>
      <c r="W53" s="125"/>
    </row>
    <row r="54" spans="1:24" ht="15" customHeight="1" thickBot="1">
      <c r="A54" s="31" t="str">
        <f>Assumptions!$W$8</f>
        <v>3BR</v>
      </c>
      <c r="B54" s="873">
        <f>B$49*INDEX(Assumptions!$Y$5:$Y$8,MATCH(A54,Assumptions!$W$5:$W$8,0))</f>
        <v>0</v>
      </c>
      <c r="C54" s="378">
        <f>Assumptions!$R$24</f>
        <v>2000</v>
      </c>
      <c r="D54" s="379">
        <f>Assumptions!$R$25*(1+E$49)</f>
        <v>2.5</v>
      </c>
      <c r="E54" s="380">
        <f>12*B54*C54*D54</f>
        <v>0</v>
      </c>
      <c r="G54" s="31" t="str">
        <f>Assumptions!$W$8</f>
        <v>3BR</v>
      </c>
      <c r="H54" s="873">
        <f>H$49*INDEX(Assumptions!$Y$5:$Y$8,MATCH(G54,Assumptions!$W$5:$W$8,0))</f>
        <v>0</v>
      </c>
      <c r="I54" s="378">
        <f>Assumptions!$R$24</f>
        <v>2000</v>
      </c>
      <c r="J54" s="379">
        <f>Assumptions!$R$25*(1+K$49)</f>
        <v>2.5</v>
      </c>
      <c r="K54" s="380">
        <f>12*H54*I54*J54</f>
        <v>0</v>
      </c>
      <c r="L54" s="125"/>
      <c r="M54" s="31" t="str">
        <f>Assumptions!$W$8</f>
        <v>3BR</v>
      </c>
      <c r="N54" s="873">
        <f>N$49*INDEX(Assumptions!$Y$5:$Y$8,MATCH(M54,Assumptions!$W$5:$W$8,0))</f>
        <v>0</v>
      </c>
      <c r="O54" s="378">
        <f>Assumptions!$R$24</f>
        <v>2000</v>
      </c>
      <c r="P54" s="379">
        <f>Assumptions!$R$25*(1+Q$49)</f>
        <v>2.5</v>
      </c>
      <c r="Q54" s="380">
        <f>12*N54*O54*P54</f>
        <v>0</v>
      </c>
      <c r="R54" s="125"/>
      <c r="S54" s="307"/>
      <c r="T54" s="100"/>
      <c r="U54" s="308"/>
      <c r="V54" s="309"/>
      <c r="W54" s="125"/>
    </row>
    <row r="55" spans="1:24" ht="15" customHeight="1" thickTop="1" thickBot="1">
      <c r="A55" s="7" t="s">
        <v>425</v>
      </c>
      <c r="B55" s="8">
        <f>SUM(B51:B54)</f>
        <v>0</v>
      </c>
      <c r="C55" s="9">
        <f>SUMPRODUCT(B51:B54,C51:C54)</f>
        <v>0</v>
      </c>
      <c r="D55" s="61"/>
      <c r="E55" s="62">
        <f>SUM(E51:E54)</f>
        <v>0</v>
      </c>
      <c r="F55" s="100"/>
      <c r="G55" s="7" t="s">
        <v>425</v>
      </c>
      <c r="H55" s="8">
        <f>SUM(H51:H54)</f>
        <v>0</v>
      </c>
      <c r="I55" s="9">
        <f>SUMPRODUCT(H51:H54,I51:I54)</f>
        <v>0</v>
      </c>
      <c r="J55" s="61"/>
      <c r="K55" s="62">
        <f>SUM(K51:K54)</f>
        <v>0</v>
      </c>
      <c r="L55" s="122"/>
      <c r="M55" s="7" t="s">
        <v>425</v>
      </c>
      <c r="N55" s="8">
        <f>SUM(N51:N54)</f>
        <v>0</v>
      </c>
      <c r="O55" s="9">
        <f>SUMPRODUCT(N51:N54,O51:O54)</f>
        <v>0</v>
      </c>
      <c r="P55" s="61"/>
      <c r="Q55" s="62">
        <f>SUM(Q51:Q54)</f>
        <v>0</v>
      </c>
      <c r="R55" s="122"/>
      <c r="S55" s="12"/>
      <c r="T55" s="310"/>
      <c r="U55" s="311"/>
      <c r="V55" s="312"/>
      <c r="W55" s="122"/>
    </row>
    <row r="56" spans="1:24" ht="15" customHeight="1" thickTop="1" thickBot="1">
      <c r="A56" s="10" t="s">
        <v>426</v>
      </c>
      <c r="B56" s="60"/>
      <c r="C56" s="11">
        <f>IFERROR(C55/B55,0)</f>
        <v>0</v>
      </c>
      <c r="D56" s="63">
        <f>IFERROR((E55/12)/C55,0)</f>
        <v>0</v>
      </c>
      <c r="E56" s="64"/>
      <c r="G56" s="10" t="s">
        <v>426</v>
      </c>
      <c r="H56" s="60"/>
      <c r="I56" s="11">
        <f>IFERROR(I55/H55,0)</f>
        <v>0</v>
      </c>
      <c r="J56" s="63">
        <f>IFERROR((K55/12)/I55,0)</f>
        <v>0</v>
      </c>
      <c r="K56" s="64"/>
      <c r="L56" s="12"/>
      <c r="M56" s="10" t="s">
        <v>426</v>
      </c>
      <c r="N56" s="60"/>
      <c r="O56" s="11">
        <f>IFERROR(O55/N55,0)</f>
        <v>0</v>
      </c>
      <c r="P56" s="63">
        <f>IFERROR((Q55/12)/O55,0)</f>
        <v>0</v>
      </c>
      <c r="Q56" s="64"/>
      <c r="R56" s="12"/>
      <c r="S56" s="12"/>
      <c r="T56" s="313"/>
      <c r="U56" s="314"/>
      <c r="V56" s="315"/>
      <c r="W56" s="12"/>
      <c r="X56" s="100"/>
    </row>
    <row r="57" spans="1:24" ht="15" customHeight="1">
      <c r="A57" s="104" t="s">
        <v>223</v>
      </c>
      <c r="B57" s="105" t="str">
        <f>B$37</f>
        <v>-</v>
      </c>
      <c r="C57" s="166" t="s">
        <v>419</v>
      </c>
      <c r="D57" s="165">
        <f>D$37*E$57</f>
        <v>0</v>
      </c>
      <c r="E57" s="106">
        <f>Assumptions!$Y$28</f>
        <v>0.77</v>
      </c>
      <c r="G57" s="104" t="s">
        <v>223</v>
      </c>
      <c r="H57" s="105" t="str">
        <f>H$37</f>
        <v>-</v>
      </c>
      <c r="I57" s="166" t="s">
        <v>419</v>
      </c>
      <c r="J57" s="165">
        <f>J$37*K$57</f>
        <v>0</v>
      </c>
      <c r="K57" s="106">
        <f>Assumptions!$Y$28</f>
        <v>0.77</v>
      </c>
      <c r="L57" s="55"/>
      <c r="M57" s="104" t="s">
        <v>223</v>
      </c>
      <c r="N57" s="105" t="str">
        <f>N$37</f>
        <v>-</v>
      </c>
      <c r="O57" s="166" t="s">
        <v>419</v>
      </c>
      <c r="P57" s="165">
        <f>P$37*Q$57</f>
        <v>0</v>
      </c>
      <c r="Q57" s="106">
        <f>Assumptions!$Y$28</f>
        <v>0.77</v>
      </c>
      <c r="R57" s="55"/>
      <c r="S57" s="123"/>
      <c r="T57" s="99"/>
      <c r="U57" s="135"/>
      <c r="V57" s="298"/>
      <c r="W57" s="55"/>
      <c r="X57" s="100"/>
    </row>
    <row r="58" spans="1:24" ht="15" customHeight="1">
      <c r="A58" s="104" t="s">
        <v>420</v>
      </c>
      <c r="B58" s="160">
        <v>0</v>
      </c>
      <c r="C58" s="113" t="str">
        <f>IF(C63&gt;D57,"# of Units Over Available Area","# of Units Within Available Area")</f>
        <v># of Units Within Available Area</v>
      </c>
      <c r="D58" s="158"/>
      <c r="E58" s="159"/>
      <c r="G58" s="104" t="s">
        <v>420</v>
      </c>
      <c r="H58" s="160">
        <v>0</v>
      </c>
      <c r="I58" s="113" t="str">
        <f>IF(I63&gt;J57,"# of Units Over Available Area","# of Units Within Available Area")</f>
        <v># of Units Within Available Area</v>
      </c>
      <c r="J58" s="158"/>
      <c r="K58" s="159"/>
      <c r="L58" s="102"/>
      <c r="M58" s="104" t="s">
        <v>420</v>
      </c>
      <c r="N58" s="160">
        <v>0</v>
      </c>
      <c r="O58" s="113" t="str">
        <f>IF(O63&gt;P57,"# of Units Over Available Area","# of Units Within Available Area")</f>
        <v># of Units Within Available Area</v>
      </c>
      <c r="P58" s="158"/>
      <c r="Q58" s="159"/>
      <c r="R58" s="102"/>
      <c r="S58" s="123"/>
      <c r="T58" s="296"/>
      <c r="U58" s="297"/>
      <c r="V58" s="112"/>
      <c r="W58" s="102"/>
      <c r="X58" s="100"/>
    </row>
    <row r="59" spans="1:24" ht="15" customHeight="1">
      <c r="A59" s="107" t="s">
        <v>308</v>
      </c>
      <c r="B59" s="108" t="s">
        <v>427</v>
      </c>
      <c r="C59" s="109" t="s">
        <v>428</v>
      </c>
      <c r="D59" s="108" t="s">
        <v>74</v>
      </c>
      <c r="E59" s="110" t="s">
        <v>429</v>
      </c>
      <c r="G59" s="107" t="s">
        <v>308</v>
      </c>
      <c r="H59" s="108" t="s">
        <v>427</v>
      </c>
      <c r="I59" s="109" t="s">
        <v>428</v>
      </c>
      <c r="J59" s="108" t="s">
        <v>74</v>
      </c>
      <c r="K59" s="110" t="s">
        <v>429</v>
      </c>
      <c r="L59" s="124"/>
      <c r="M59" s="107" t="s">
        <v>308</v>
      </c>
      <c r="N59" s="108" t="s">
        <v>427</v>
      </c>
      <c r="O59" s="109" t="s">
        <v>428</v>
      </c>
      <c r="P59" s="108" t="s">
        <v>74</v>
      </c>
      <c r="Q59" s="110" t="s">
        <v>429</v>
      </c>
      <c r="R59" s="124"/>
      <c r="S59" s="123"/>
      <c r="T59" s="124"/>
      <c r="U59" s="276"/>
      <c r="V59" s="124"/>
      <c r="W59" s="124"/>
      <c r="X59" s="100"/>
    </row>
    <row r="60" spans="1:24" ht="15" customHeight="1">
      <c r="A60" s="31" t="str">
        <f>Assumptions!$W$15</f>
        <v>1BR</v>
      </c>
      <c r="B60" s="873">
        <f>B$58*INDEX(Assumptions!$Y$10:$Y$12,MATCH(A60,Assumptions!$W$10:$W$12,0))</f>
        <v>0</v>
      </c>
      <c r="C60" s="32">
        <f>Assumptions!$S$18</f>
        <v>1000</v>
      </c>
      <c r="D60" s="379">
        <f>Assumptions!$S$19</f>
        <v>400</v>
      </c>
      <c r="E60" s="380">
        <f>B60*C60*D60</f>
        <v>0</v>
      </c>
      <c r="G60" s="31" t="str">
        <f>Assumptions!$W$15</f>
        <v>1BR</v>
      </c>
      <c r="H60" s="873">
        <f>H$58*INDEX(Assumptions!$Y$10:$Y$12,MATCH(G60,Assumptions!$W$10:$W$12,0))</f>
        <v>0</v>
      </c>
      <c r="I60" s="32">
        <f>Assumptions!$S$18</f>
        <v>1000</v>
      </c>
      <c r="J60" s="379">
        <f>Assumptions!$S$19</f>
        <v>400</v>
      </c>
      <c r="K60" s="380">
        <f>H60*I60*J60</f>
        <v>0</v>
      </c>
      <c r="L60" s="124"/>
      <c r="M60" s="31" t="str">
        <f>Assumptions!$W$15</f>
        <v>1BR</v>
      </c>
      <c r="N60" s="873">
        <f>N$58*INDEX(Assumptions!$Y$10:$Y$12,MATCH(M60,Assumptions!$W$10:$W$12,0))</f>
        <v>0</v>
      </c>
      <c r="O60" s="32">
        <f>Assumptions!$S$18</f>
        <v>1000</v>
      </c>
      <c r="P60" s="379">
        <f>Assumptions!$S$19</f>
        <v>400</v>
      </c>
      <c r="Q60" s="380">
        <f>N60*O60*P60</f>
        <v>0</v>
      </c>
      <c r="R60" s="124"/>
      <c r="S60" s="307"/>
      <c r="T60" s="100"/>
      <c r="U60" s="308"/>
      <c r="V60" s="309"/>
      <c r="W60" s="125"/>
      <c r="X60" s="100"/>
    </row>
    <row r="61" spans="1:24" ht="15" customHeight="1">
      <c r="A61" s="31" t="str">
        <f>Assumptions!$W$16</f>
        <v>2BR</v>
      </c>
      <c r="B61" s="873">
        <f>B$58*INDEX(Assumptions!$Y$10:$Y$12,MATCH(A61,Assumptions!$W$10:$W$12,0))</f>
        <v>0</v>
      </c>
      <c r="C61" s="32">
        <f>Assumptions!$S$21</f>
        <v>1500</v>
      </c>
      <c r="D61" s="379">
        <f>Assumptions!$S$22</f>
        <v>370</v>
      </c>
      <c r="E61" s="380">
        <f>B61*C61*D61</f>
        <v>0</v>
      </c>
      <c r="G61" s="31" t="str">
        <f>Assumptions!$W$16</f>
        <v>2BR</v>
      </c>
      <c r="H61" s="873">
        <f>H$58*INDEX(Assumptions!$Y$10:$Y$12,MATCH(G61,Assumptions!$W$10:$W$12,0))</f>
        <v>0</v>
      </c>
      <c r="I61" s="32">
        <f>Assumptions!$S$21</f>
        <v>1500</v>
      </c>
      <c r="J61" s="379">
        <f>Assumptions!$S$22</f>
        <v>370</v>
      </c>
      <c r="K61" s="380">
        <f>H61*I61*J61</f>
        <v>0</v>
      </c>
      <c r="L61" s="125"/>
      <c r="M61" s="31" t="str">
        <f>Assumptions!$W$16</f>
        <v>2BR</v>
      </c>
      <c r="N61" s="873">
        <f>N$58*INDEX(Assumptions!$Y$10:$Y$12,MATCH(M61,Assumptions!$W$10:$W$12,0))</f>
        <v>0</v>
      </c>
      <c r="O61" s="32">
        <f>Assumptions!$S$21</f>
        <v>1500</v>
      </c>
      <c r="P61" s="379">
        <f>Assumptions!$S$22</f>
        <v>370</v>
      </c>
      <c r="Q61" s="380">
        <f>N61*O61*P61</f>
        <v>0</v>
      </c>
      <c r="R61" s="125"/>
      <c r="S61" s="307"/>
      <c r="T61" s="100"/>
      <c r="U61" s="308"/>
      <c r="V61" s="309"/>
      <c r="W61" s="125"/>
      <c r="X61" s="100"/>
    </row>
    <row r="62" spans="1:24" ht="15" customHeight="1" thickBot="1">
      <c r="A62" s="31" t="str">
        <f>Assumptions!$W$17</f>
        <v>3BR</v>
      </c>
      <c r="B62" s="873">
        <f>B$58*INDEX(Assumptions!$Y$10:$Y$12,MATCH(A62,Assumptions!$W$10:$W$12,0))</f>
        <v>0</v>
      </c>
      <c r="C62" s="378">
        <f>Assumptions!$S$24</f>
        <v>2300</v>
      </c>
      <c r="D62" s="379">
        <f>Assumptions!$S$25</f>
        <v>340</v>
      </c>
      <c r="E62" s="380">
        <f>B62*C62*D62</f>
        <v>0</v>
      </c>
      <c r="G62" s="31" t="str">
        <f>Assumptions!$W$17</f>
        <v>3BR</v>
      </c>
      <c r="H62" s="873">
        <f>H$58*INDEX(Assumptions!$Y$10:$Y$12,MATCH(G62,Assumptions!$W$10:$W$12,0))</f>
        <v>0</v>
      </c>
      <c r="I62" s="378">
        <f>Assumptions!$S$24</f>
        <v>2300</v>
      </c>
      <c r="J62" s="379">
        <f>Assumptions!$S$25</f>
        <v>340</v>
      </c>
      <c r="K62" s="380">
        <f>H62*I62*J62</f>
        <v>0</v>
      </c>
      <c r="L62" s="125"/>
      <c r="M62" s="31" t="str">
        <f>Assumptions!$W$17</f>
        <v>3BR</v>
      </c>
      <c r="N62" s="873">
        <f>N$58*INDEX(Assumptions!$Y$10:$Y$12,MATCH(M62,Assumptions!$W$10:$W$12,0))</f>
        <v>0</v>
      </c>
      <c r="O62" s="378">
        <f>Assumptions!$S$24</f>
        <v>2300</v>
      </c>
      <c r="P62" s="379">
        <f>Assumptions!$S$25</f>
        <v>340</v>
      </c>
      <c r="Q62" s="380">
        <f>N62*O62*P62</f>
        <v>0</v>
      </c>
      <c r="R62" s="125"/>
      <c r="S62" s="307"/>
      <c r="T62" s="100"/>
      <c r="U62" s="308"/>
      <c r="V62" s="309"/>
      <c r="W62" s="125"/>
      <c r="X62" s="100"/>
    </row>
    <row r="63" spans="1:24" ht="15" customHeight="1" thickTop="1" thickBot="1">
      <c r="A63" s="7" t="s">
        <v>425</v>
      </c>
      <c r="B63" s="8">
        <f>SUM(B61:B62)</f>
        <v>0</v>
      </c>
      <c r="C63" s="9">
        <f>SUMPRODUCT(B60:B62,C60:C62)</f>
        <v>0</v>
      </c>
      <c r="D63" s="61"/>
      <c r="E63" s="62">
        <f>SUM(E60:E62)</f>
        <v>0</v>
      </c>
      <c r="G63" s="7" t="s">
        <v>425</v>
      </c>
      <c r="H63" s="8">
        <f>SUM(H61:H62)</f>
        <v>0</v>
      </c>
      <c r="I63" s="9">
        <f>SUMPRODUCT(H60:H62,I60:I62)</f>
        <v>0</v>
      </c>
      <c r="J63" s="61"/>
      <c r="K63" s="62">
        <f>SUM(K60:K62)</f>
        <v>0</v>
      </c>
      <c r="L63" s="122"/>
      <c r="M63" s="7" t="s">
        <v>425</v>
      </c>
      <c r="N63" s="8">
        <f>SUM(N61:N62)</f>
        <v>0</v>
      </c>
      <c r="O63" s="9">
        <f>SUMPRODUCT(N60:N62,O60:O62)</f>
        <v>0</v>
      </c>
      <c r="P63" s="61"/>
      <c r="Q63" s="62">
        <f>SUM(Q60:Q62)</f>
        <v>0</v>
      </c>
      <c r="R63" s="122"/>
      <c r="S63" s="12"/>
      <c r="T63" s="310"/>
      <c r="U63" s="311"/>
      <c r="V63" s="312"/>
      <c r="W63" s="122"/>
      <c r="X63" s="100"/>
    </row>
    <row r="64" spans="1:24" ht="15" customHeight="1" thickTop="1" thickBot="1">
      <c r="A64" s="10" t="s">
        <v>426</v>
      </c>
      <c r="B64" s="60"/>
      <c r="C64" s="11">
        <f>IFERROR(C63/B63,0)</f>
        <v>0</v>
      </c>
      <c r="D64" s="63">
        <f>IFERROR((E63/12)/C63,0)</f>
        <v>0</v>
      </c>
      <c r="E64" s="64"/>
      <c r="G64" s="10" t="s">
        <v>426</v>
      </c>
      <c r="H64" s="60"/>
      <c r="I64" s="11">
        <f>IFERROR(I63/H63,0)</f>
        <v>0</v>
      </c>
      <c r="J64" s="63">
        <f>IFERROR((K63/12)/I63,0)</f>
        <v>0</v>
      </c>
      <c r="K64" s="64"/>
      <c r="L64" s="12"/>
      <c r="M64" s="10" t="s">
        <v>426</v>
      </c>
      <c r="N64" s="60"/>
      <c r="O64" s="11">
        <f>IFERROR(O63/N63,0)</f>
        <v>0</v>
      </c>
      <c r="P64" s="63">
        <f>IFERROR((Q63/12)/O63,0)</f>
        <v>0</v>
      </c>
      <c r="Q64" s="64"/>
      <c r="R64" s="12"/>
      <c r="S64" s="12"/>
      <c r="T64" s="313"/>
      <c r="U64" s="314"/>
      <c r="V64" s="315"/>
      <c r="W64" s="12"/>
      <c r="X64" s="100"/>
    </row>
    <row r="65" spans="1:24" ht="15" customHeight="1">
      <c r="A65" s="104" t="s">
        <v>224</v>
      </c>
      <c r="B65" s="105" t="str">
        <f>B$38</f>
        <v>-</v>
      </c>
      <c r="C65" s="166" t="s">
        <v>419</v>
      </c>
      <c r="D65" s="111">
        <f>D$38*E$65</f>
        <v>0</v>
      </c>
      <c r="E65" s="106">
        <f>Assumptions!$Y$28</f>
        <v>0.77</v>
      </c>
      <c r="G65" s="104" t="s">
        <v>224</v>
      </c>
      <c r="H65" s="105" t="str">
        <f>H$38</f>
        <v>-</v>
      </c>
      <c r="I65" s="166" t="s">
        <v>419</v>
      </c>
      <c r="J65" s="111">
        <f>J$38*K$65</f>
        <v>0</v>
      </c>
      <c r="K65" s="106">
        <f>Assumptions!$Y$28</f>
        <v>0.77</v>
      </c>
      <c r="L65" s="12"/>
      <c r="M65" s="104" t="s">
        <v>224</v>
      </c>
      <c r="N65" s="105" t="str">
        <f>N$38</f>
        <v>-</v>
      </c>
      <c r="O65" s="166" t="s">
        <v>419</v>
      </c>
      <c r="P65" s="111">
        <f>P$38*Q$65</f>
        <v>0</v>
      </c>
      <c r="Q65" s="106">
        <f>Assumptions!$Y$28</f>
        <v>0.77</v>
      </c>
      <c r="R65" s="12"/>
      <c r="S65" s="123"/>
      <c r="T65" s="99"/>
      <c r="U65" s="135"/>
      <c r="V65" s="295"/>
      <c r="W65" s="55"/>
      <c r="X65" s="100"/>
    </row>
    <row r="66" spans="1:24" ht="15" customHeight="1">
      <c r="A66" s="104" t="s">
        <v>420</v>
      </c>
      <c r="B66" s="160">
        <v>0</v>
      </c>
      <c r="C66" s="113" t="str">
        <f>IF(C72&gt;D65,"# of Units Over Available Area","# of Units Within Available Area")</f>
        <v># of Units Within Available Area</v>
      </c>
      <c r="D66" s="112" t="s">
        <v>421</v>
      </c>
      <c r="E66" s="120">
        <v>0</v>
      </c>
      <c r="G66" s="104" t="s">
        <v>420</v>
      </c>
      <c r="H66" s="160">
        <v>0</v>
      </c>
      <c r="I66" s="113" t="str">
        <f>IF(I72&gt;J65,"# of Units Over Available Area","# of Units Within Available Area")</f>
        <v># of Units Within Available Area</v>
      </c>
      <c r="J66" s="112" t="s">
        <v>421</v>
      </c>
      <c r="K66" s="120">
        <v>0</v>
      </c>
      <c r="L66" s="12"/>
      <c r="M66" s="104" t="s">
        <v>420</v>
      </c>
      <c r="N66" s="160">
        <v>0</v>
      </c>
      <c r="O66" s="113" t="str">
        <f>IF(O72&gt;P65,"# of Units Over Available Area","# of Units Within Available Area")</f>
        <v># of Units Within Available Area</v>
      </c>
      <c r="P66" s="112" t="s">
        <v>421</v>
      </c>
      <c r="Q66" s="120">
        <v>0</v>
      </c>
      <c r="R66" s="12"/>
      <c r="S66" s="123"/>
      <c r="T66" s="296"/>
      <c r="U66" s="297"/>
      <c r="V66" s="112"/>
      <c r="W66" s="102"/>
      <c r="X66" s="100"/>
    </row>
    <row r="67" spans="1:24" ht="15" customHeight="1">
      <c r="A67" s="107" t="s">
        <v>308</v>
      </c>
      <c r="B67" s="108" t="s">
        <v>427</v>
      </c>
      <c r="C67" s="109" t="s">
        <v>428</v>
      </c>
      <c r="D67" s="108" t="s">
        <v>423</v>
      </c>
      <c r="E67" s="110" t="s">
        <v>424</v>
      </c>
      <c r="G67" s="107" t="s">
        <v>308</v>
      </c>
      <c r="H67" s="108" t="s">
        <v>427</v>
      </c>
      <c r="I67" s="109" t="s">
        <v>428</v>
      </c>
      <c r="J67" s="108" t="s">
        <v>423</v>
      </c>
      <c r="K67" s="110" t="s">
        <v>424</v>
      </c>
      <c r="L67" s="12"/>
      <c r="M67" s="107" t="s">
        <v>308</v>
      </c>
      <c r="N67" s="108" t="s">
        <v>427</v>
      </c>
      <c r="O67" s="109" t="s">
        <v>428</v>
      </c>
      <c r="P67" s="108" t="s">
        <v>423</v>
      </c>
      <c r="Q67" s="110" t="s">
        <v>424</v>
      </c>
      <c r="R67" s="12"/>
      <c r="S67" s="123"/>
      <c r="T67" s="124"/>
      <c r="U67" s="276"/>
      <c r="V67" s="124"/>
      <c r="W67" s="124"/>
      <c r="X67" s="100"/>
    </row>
    <row r="68" spans="1:24" ht="15" customHeight="1">
      <c r="A68" s="31" t="str">
        <f>Assumptions!$W$14</f>
        <v>Studio</v>
      </c>
      <c r="B68" s="873">
        <f>B$66*INDEX(Assumptions!$Y$14:$Y$17,MATCH(A68,Assumptions!$W$14:$W$17,0))</f>
        <v>0</v>
      </c>
      <c r="C68" s="32">
        <f>Assumptions!$R$28</f>
        <v>550</v>
      </c>
      <c r="D68" s="42">
        <f>Assumptions!$R29*(1+E$66)</f>
        <v>2.4</v>
      </c>
      <c r="E68" s="43">
        <f>12*B68*C68*D68</f>
        <v>0</v>
      </c>
      <c r="G68" s="31" t="str">
        <f>Assumptions!$W$14</f>
        <v>Studio</v>
      </c>
      <c r="H68" s="873">
        <f>H$66*INDEX(Assumptions!$Y$14:$Y$17,MATCH(G68,Assumptions!$W$14:$W$17,0))</f>
        <v>0</v>
      </c>
      <c r="I68" s="32">
        <f>Assumptions!$R$28</f>
        <v>550</v>
      </c>
      <c r="J68" s="42">
        <f>Assumptions!$R29*(1+K$66)</f>
        <v>2.4</v>
      </c>
      <c r="K68" s="43">
        <f>12*H68*I68*J68</f>
        <v>0</v>
      </c>
      <c r="L68" s="12"/>
      <c r="M68" s="31" t="str">
        <f>Assumptions!$W$14</f>
        <v>Studio</v>
      </c>
      <c r="N68" s="873">
        <f>N$66*INDEX(Assumptions!$Y$14:$Y$17,MATCH(M68,Assumptions!$W$14:$W$17,0))</f>
        <v>0</v>
      </c>
      <c r="O68" s="32">
        <f>Assumptions!$R$28</f>
        <v>550</v>
      </c>
      <c r="P68" s="42">
        <f>Assumptions!$R29*(1+Q$66)</f>
        <v>2.4</v>
      </c>
      <c r="Q68" s="43">
        <f>12*N68*O68*P68</f>
        <v>0</v>
      </c>
      <c r="R68" s="12"/>
      <c r="S68" s="307"/>
      <c r="T68" s="100"/>
      <c r="U68" s="308"/>
      <c r="V68" s="309"/>
      <c r="W68" s="125"/>
      <c r="X68" s="100"/>
    </row>
    <row r="69" spans="1:24" ht="15" customHeight="1">
      <c r="A69" s="31" t="str">
        <f>Assumptions!$W$15</f>
        <v>1BR</v>
      </c>
      <c r="B69" s="873">
        <f>B$66*INDEX(Assumptions!$Y$14:$Y$17,MATCH(A69,Assumptions!$W$14:$W$17,0))</f>
        <v>0</v>
      </c>
      <c r="C69" s="32">
        <f>Assumptions!$R$31</f>
        <v>800</v>
      </c>
      <c r="D69" s="42">
        <f>Assumptions!$R32*(1+E$66)</f>
        <v>2.0487500000000001</v>
      </c>
      <c r="E69" s="43">
        <f>12*B69*C69*D69</f>
        <v>0</v>
      </c>
      <c r="G69" s="31" t="str">
        <f>Assumptions!$W$15</f>
        <v>1BR</v>
      </c>
      <c r="H69" s="873">
        <f>H$66*INDEX(Assumptions!$Y$14:$Y$17,MATCH(G69,Assumptions!$W$14:$W$17,0))</f>
        <v>0</v>
      </c>
      <c r="I69" s="32">
        <f>Assumptions!$R$31</f>
        <v>800</v>
      </c>
      <c r="J69" s="42">
        <f>Assumptions!$R32*(1+K$66)</f>
        <v>2.0487500000000001</v>
      </c>
      <c r="K69" s="43">
        <f>12*H69*I69*J69</f>
        <v>0</v>
      </c>
      <c r="L69" s="12"/>
      <c r="M69" s="31" t="str">
        <f>Assumptions!$W$15</f>
        <v>1BR</v>
      </c>
      <c r="N69" s="873">
        <f>N$66*INDEX(Assumptions!$Y$14:$Y$17,MATCH(M69,Assumptions!$W$14:$W$17,0))</f>
        <v>0</v>
      </c>
      <c r="O69" s="32">
        <f>Assumptions!$R$31</f>
        <v>800</v>
      </c>
      <c r="P69" s="42">
        <f>Assumptions!$R32*(1+Q$66)</f>
        <v>2.0487500000000001</v>
      </c>
      <c r="Q69" s="43">
        <f>12*N69*O69*P69</f>
        <v>0</v>
      </c>
      <c r="R69" s="12"/>
      <c r="S69" s="307"/>
      <c r="T69" s="100"/>
      <c r="U69" s="308"/>
      <c r="V69" s="309"/>
      <c r="W69" s="125"/>
      <c r="X69" s="100"/>
    </row>
    <row r="70" spans="1:24" ht="15" customHeight="1">
      <c r="A70" s="31" t="str">
        <f>Assumptions!$W$16</f>
        <v>2BR</v>
      </c>
      <c r="B70" s="873">
        <f>B$66*INDEX(Assumptions!$Y$14:$Y$17,MATCH(A70,Assumptions!$W$14:$W$17,0))</f>
        <v>0</v>
      </c>
      <c r="C70" s="378">
        <f>Assumptions!$R$34</f>
        <v>1200</v>
      </c>
      <c r="D70" s="379">
        <f>Assumptions!$R$36*(1+E$66)</f>
        <v>1.5083333333333333</v>
      </c>
      <c r="E70" s="380">
        <f>12*B70*C70*D70</f>
        <v>0</v>
      </c>
      <c r="G70" s="31" t="str">
        <f>Assumptions!$W$16</f>
        <v>2BR</v>
      </c>
      <c r="H70" s="873">
        <f>H$66*INDEX(Assumptions!$Y$14:$Y$17,MATCH(G70,Assumptions!$W$14:$W$17,0))</f>
        <v>0</v>
      </c>
      <c r="I70" s="378">
        <f>Assumptions!$R$34</f>
        <v>1200</v>
      </c>
      <c r="J70" s="379">
        <f>Assumptions!$R$36*(1+K$66)</f>
        <v>1.5083333333333333</v>
      </c>
      <c r="K70" s="380">
        <f>12*H70*I70*J70</f>
        <v>0</v>
      </c>
      <c r="L70" s="12"/>
      <c r="M70" s="31" t="str">
        <f>Assumptions!$W$16</f>
        <v>2BR</v>
      </c>
      <c r="N70" s="873">
        <f>N$66*INDEX(Assumptions!$Y$14:$Y$17,MATCH(M70,Assumptions!$W$14:$W$17,0))</f>
        <v>0</v>
      </c>
      <c r="O70" s="378">
        <f>Assumptions!$R$34</f>
        <v>1200</v>
      </c>
      <c r="P70" s="379">
        <f>Assumptions!$R$36*(1+Q$66)</f>
        <v>1.5083333333333333</v>
      </c>
      <c r="Q70" s="380">
        <f>12*N70*O70*P70</f>
        <v>0</v>
      </c>
      <c r="R70" s="12"/>
      <c r="S70" s="307"/>
      <c r="T70" s="100"/>
      <c r="U70" s="308"/>
      <c r="V70" s="309"/>
      <c r="W70" s="125"/>
      <c r="X70" s="100"/>
    </row>
    <row r="71" spans="1:24" ht="15" customHeight="1" thickBot="1">
      <c r="A71" s="31" t="str">
        <f>Assumptions!$W$17</f>
        <v>3BR</v>
      </c>
      <c r="B71" s="873">
        <f>B$66*INDEX(Assumptions!$Y$14:$Y$17,MATCH(A71,Assumptions!$W$14:$W$17,0))</f>
        <v>0</v>
      </c>
      <c r="C71" s="32">
        <f>Assumptions!$R$38</f>
        <v>2000</v>
      </c>
      <c r="D71" s="379">
        <f>Assumptions!$R$39*(1+E$66)</f>
        <v>1.5145</v>
      </c>
      <c r="E71" s="380">
        <f>12*B71*C71*D71</f>
        <v>0</v>
      </c>
      <c r="G71" s="31" t="str">
        <f>Assumptions!$W$17</f>
        <v>3BR</v>
      </c>
      <c r="H71" s="873">
        <f>H$66*INDEX(Assumptions!$Y$14:$Y$17,MATCH(G71,Assumptions!$W$14:$W$17,0))</f>
        <v>0</v>
      </c>
      <c r="I71" s="32">
        <f>Assumptions!$R$38</f>
        <v>2000</v>
      </c>
      <c r="J71" s="379">
        <f>Assumptions!$R$39*(1+K$66)</f>
        <v>1.5145</v>
      </c>
      <c r="K71" s="380">
        <f>12*H71*I71*J71</f>
        <v>0</v>
      </c>
      <c r="L71" s="12"/>
      <c r="M71" s="31" t="str">
        <f>Assumptions!$W$17</f>
        <v>3BR</v>
      </c>
      <c r="N71" s="873">
        <f>N$66*INDEX(Assumptions!$Y$14:$Y$17,MATCH(M71,Assumptions!$W$14:$W$17,0))</f>
        <v>0</v>
      </c>
      <c r="O71" s="32">
        <f>Assumptions!$R$38</f>
        <v>2000</v>
      </c>
      <c r="P71" s="379">
        <f>Assumptions!$R$39*(1+Q$66)</f>
        <v>1.5145</v>
      </c>
      <c r="Q71" s="380">
        <f>12*N71*O71*P71</f>
        <v>0</v>
      </c>
      <c r="R71" s="12"/>
      <c r="S71" s="307"/>
      <c r="T71" s="100"/>
      <c r="U71" s="308"/>
      <c r="V71" s="309"/>
      <c r="W71" s="125"/>
      <c r="X71" s="100"/>
    </row>
    <row r="72" spans="1:24" ht="15" customHeight="1" thickTop="1" thickBot="1">
      <c r="A72" s="7" t="s">
        <v>425</v>
      </c>
      <c r="B72" s="8">
        <f>SUM(B68:B71)</f>
        <v>0</v>
      </c>
      <c r="C72" s="9">
        <f>SUMPRODUCT(B68:B71,C68:C71)</f>
        <v>0</v>
      </c>
      <c r="D72" s="61"/>
      <c r="E72" s="62">
        <f>SUM(E68:E71)</f>
        <v>0</v>
      </c>
      <c r="G72" s="7" t="s">
        <v>425</v>
      </c>
      <c r="H72" s="8">
        <f>SUM(H68:H71)</f>
        <v>0</v>
      </c>
      <c r="I72" s="9">
        <f>SUMPRODUCT(H68:H71,I68:I71)</f>
        <v>0</v>
      </c>
      <c r="J72" s="61"/>
      <c r="K72" s="62">
        <f>SUM(K68:K71)</f>
        <v>0</v>
      </c>
      <c r="L72" s="12"/>
      <c r="M72" s="7" t="s">
        <v>425</v>
      </c>
      <c r="N72" s="8">
        <f>SUM(N68:N71)</f>
        <v>0</v>
      </c>
      <c r="O72" s="9">
        <f>SUMPRODUCT(N68:N71,O68:O71)</f>
        <v>0</v>
      </c>
      <c r="P72" s="61"/>
      <c r="Q72" s="62">
        <f>SUM(Q68:Q71)</f>
        <v>0</v>
      </c>
      <c r="R72" s="12"/>
      <c r="S72" s="12"/>
      <c r="T72" s="310"/>
      <c r="U72" s="311"/>
      <c r="V72" s="312"/>
      <c r="W72" s="122"/>
      <c r="X72" s="100"/>
    </row>
    <row r="73" spans="1:24" ht="15" customHeight="1" thickTop="1" thickBot="1">
      <c r="A73" s="10" t="s">
        <v>426</v>
      </c>
      <c r="B73" s="60"/>
      <c r="C73" s="11">
        <f>IFERROR(C72/B72,0)</f>
        <v>0</v>
      </c>
      <c r="D73" s="63">
        <f>IFERROR((E72/12)/C72,0)</f>
        <v>0</v>
      </c>
      <c r="E73" s="64"/>
      <c r="G73" s="10" t="s">
        <v>426</v>
      </c>
      <c r="H73" s="60"/>
      <c r="I73" s="11">
        <f>IFERROR(I72/H72,0)</f>
        <v>0</v>
      </c>
      <c r="J73" s="63">
        <f>IFERROR((K72/12)/I72,0)</f>
        <v>0</v>
      </c>
      <c r="K73" s="64"/>
      <c r="L73" s="12"/>
      <c r="M73" s="10" t="s">
        <v>426</v>
      </c>
      <c r="N73" s="60"/>
      <c r="O73" s="11">
        <f>IFERROR(O72/N72,0)</f>
        <v>0</v>
      </c>
      <c r="P73" s="63">
        <f>IFERROR((Q72/12)/O72,0)</f>
        <v>0</v>
      </c>
      <c r="Q73" s="64"/>
      <c r="R73" s="12"/>
      <c r="S73" s="12"/>
      <c r="T73" s="313"/>
      <c r="U73" s="314"/>
      <c r="V73" s="315"/>
      <c r="W73" s="12"/>
      <c r="X73" s="100"/>
    </row>
    <row r="74" spans="1:24" ht="15" customHeight="1">
      <c r="A74" s="104" t="s">
        <v>225</v>
      </c>
      <c r="B74" s="105" t="str">
        <f>B$39</f>
        <v>-</v>
      </c>
      <c r="C74" s="166" t="s">
        <v>419</v>
      </c>
      <c r="D74" s="111">
        <f>D$39*E$74</f>
        <v>0</v>
      </c>
      <c r="E74" s="106">
        <f>Assumptions!$Y$28</f>
        <v>0.77</v>
      </c>
      <c r="G74" s="104" t="s">
        <v>225</v>
      </c>
      <c r="H74" s="105" t="str">
        <f>H$39</f>
        <v>-</v>
      </c>
      <c r="I74" s="166" t="s">
        <v>419</v>
      </c>
      <c r="J74" s="111">
        <f>J$39*K$74</f>
        <v>0</v>
      </c>
      <c r="K74" s="106">
        <f>Assumptions!$Y$28</f>
        <v>0.77</v>
      </c>
      <c r="L74" s="12"/>
      <c r="M74" s="104" t="s">
        <v>225</v>
      </c>
      <c r="N74" s="105" t="str">
        <f>N$39</f>
        <v>-</v>
      </c>
      <c r="O74" s="166" t="s">
        <v>419</v>
      </c>
      <c r="P74" s="111">
        <f>P$39*Q$74</f>
        <v>0</v>
      </c>
      <c r="Q74" s="106">
        <f>Assumptions!$Y$28</f>
        <v>0.77</v>
      </c>
      <c r="R74" s="12"/>
      <c r="S74" s="123"/>
      <c r="T74" s="99"/>
      <c r="U74" s="135"/>
      <c r="V74" s="295"/>
      <c r="W74" s="55"/>
      <c r="X74" s="100"/>
    </row>
    <row r="75" spans="1:24" ht="15" customHeight="1">
      <c r="A75" s="104" t="s">
        <v>420</v>
      </c>
      <c r="B75" s="160">
        <v>0</v>
      </c>
      <c r="C75" s="113" t="str">
        <f>IF(C80&gt;D74,"# of Units Over Available Area","# of Units Within Available Area")</f>
        <v># of Units Within Available Area</v>
      </c>
      <c r="D75" s="158"/>
      <c r="E75" s="159"/>
      <c r="G75" s="104" t="s">
        <v>420</v>
      </c>
      <c r="H75" s="160">
        <v>0</v>
      </c>
      <c r="I75" s="113" t="str">
        <f>IF(I80&gt;J74,"# of Units Over Available Area","# of Units Within Available Area")</f>
        <v># of Units Within Available Area</v>
      </c>
      <c r="J75" s="158"/>
      <c r="K75" s="159"/>
      <c r="L75" s="12"/>
      <c r="M75" s="104" t="s">
        <v>420</v>
      </c>
      <c r="N75" s="160">
        <v>0</v>
      </c>
      <c r="O75" s="113" t="str">
        <f>IF(O80&gt;P74,"# of Units Over Available Area","# of Units Within Available Area")</f>
        <v># of Units Within Available Area</v>
      </c>
      <c r="P75" s="158"/>
      <c r="Q75" s="159"/>
      <c r="R75" s="12"/>
      <c r="S75" s="123"/>
      <c r="T75" s="296"/>
      <c r="U75" s="297"/>
      <c r="V75" s="112"/>
      <c r="W75" s="102"/>
      <c r="X75" s="100"/>
    </row>
    <row r="76" spans="1:24" ht="15" customHeight="1">
      <c r="A76" s="107" t="s">
        <v>308</v>
      </c>
      <c r="B76" s="108" t="s">
        <v>427</v>
      </c>
      <c r="C76" s="109" t="s">
        <v>428</v>
      </c>
      <c r="D76" s="108" t="s">
        <v>74</v>
      </c>
      <c r="E76" s="110" t="s">
        <v>429</v>
      </c>
      <c r="G76" s="107" t="s">
        <v>308</v>
      </c>
      <c r="H76" s="108" t="s">
        <v>427</v>
      </c>
      <c r="I76" s="109" t="s">
        <v>428</v>
      </c>
      <c r="J76" s="108" t="s">
        <v>74</v>
      </c>
      <c r="K76" s="110" t="s">
        <v>429</v>
      </c>
      <c r="L76" s="12"/>
      <c r="M76" s="107" t="s">
        <v>308</v>
      </c>
      <c r="N76" s="108" t="s">
        <v>427</v>
      </c>
      <c r="O76" s="109" t="s">
        <v>428</v>
      </c>
      <c r="P76" s="108" t="s">
        <v>74</v>
      </c>
      <c r="Q76" s="110" t="s">
        <v>429</v>
      </c>
      <c r="R76" s="12"/>
      <c r="S76" s="123"/>
      <c r="T76" s="124"/>
      <c r="U76" s="276"/>
      <c r="V76" s="124"/>
      <c r="W76" s="124"/>
      <c r="X76" s="100"/>
    </row>
    <row r="77" spans="1:24" ht="15" customHeight="1">
      <c r="A77" s="31" t="str">
        <f>Assumptions!$W$19</f>
        <v>1BR</v>
      </c>
      <c r="B77" s="873">
        <f>B$75*INDEX(Assumptions!$Y$19:$Y$21,MATCH(A77,Assumptions!$W$19:$W$21,0))</f>
        <v>0</v>
      </c>
      <c r="C77" s="32">
        <f>Assumptions!$S$18</f>
        <v>1000</v>
      </c>
      <c r="D77" s="379">
        <f>Assumptions!$S$32</f>
        <v>268</v>
      </c>
      <c r="E77" s="380">
        <f>B77*C77*D77</f>
        <v>0</v>
      </c>
      <c r="G77" s="31" t="str">
        <f>Assumptions!$W$19</f>
        <v>1BR</v>
      </c>
      <c r="H77" s="873">
        <f>H$75*INDEX(Assumptions!$Y$19:$Y$21,MATCH(G77,Assumptions!$W$19:$W$21,0))</f>
        <v>0</v>
      </c>
      <c r="I77" s="32">
        <f>Assumptions!$S$18</f>
        <v>1000</v>
      </c>
      <c r="J77" s="379">
        <f>Assumptions!$S$32</f>
        <v>268</v>
      </c>
      <c r="K77" s="380">
        <f>H77*I77*J77</f>
        <v>0</v>
      </c>
      <c r="L77" s="12"/>
      <c r="M77" s="31" t="str">
        <f>Assumptions!$W$19</f>
        <v>1BR</v>
      </c>
      <c r="N77" s="873">
        <f>N$75*INDEX(Assumptions!$Y$19:$Y$21,MATCH(M77,Assumptions!$W$19:$W$21,0))</f>
        <v>0</v>
      </c>
      <c r="O77" s="32">
        <f>Assumptions!$S$18</f>
        <v>1000</v>
      </c>
      <c r="P77" s="379">
        <f>Assumptions!$S$32</f>
        <v>268</v>
      </c>
      <c r="Q77" s="380">
        <f>N77*O77*P77</f>
        <v>0</v>
      </c>
      <c r="R77" s="12"/>
      <c r="S77" s="307"/>
      <c r="T77" s="100"/>
      <c r="U77" s="308"/>
      <c r="V77" s="309"/>
      <c r="W77" s="125"/>
      <c r="X77" s="100"/>
    </row>
    <row r="78" spans="1:24" ht="15" customHeight="1">
      <c r="A78" s="31" t="str">
        <f>Assumptions!$W$20</f>
        <v>2BR</v>
      </c>
      <c r="B78" s="873">
        <f>B$75*INDEX(Assumptions!$Y$19:$Y$21,MATCH(A78,Assumptions!$W$19:$W$21,0))</f>
        <v>0</v>
      </c>
      <c r="C78" s="32">
        <f>Assumptions!$S$21</f>
        <v>1500</v>
      </c>
      <c r="D78" s="379">
        <f>Assumptions!$S$36</f>
        <v>216</v>
      </c>
      <c r="E78" s="380">
        <f>B78*C78*D78</f>
        <v>0</v>
      </c>
      <c r="G78" s="31" t="str">
        <f>Assumptions!$W$20</f>
        <v>2BR</v>
      </c>
      <c r="H78" s="873">
        <f>H$75*INDEX(Assumptions!$Y$19:$Y$21,MATCH(G78,Assumptions!$W$19:$W$21,0))</f>
        <v>0</v>
      </c>
      <c r="I78" s="32">
        <f>Assumptions!$S$21</f>
        <v>1500</v>
      </c>
      <c r="J78" s="379">
        <f>Assumptions!$S$36</f>
        <v>216</v>
      </c>
      <c r="K78" s="380">
        <f>H78*I78*J78</f>
        <v>0</v>
      </c>
      <c r="L78" s="12"/>
      <c r="M78" s="31" t="str">
        <f>Assumptions!$W$20</f>
        <v>2BR</v>
      </c>
      <c r="N78" s="873">
        <f>N$75*INDEX(Assumptions!$Y$19:$Y$21,MATCH(M78,Assumptions!$W$19:$W$21,0))</f>
        <v>0</v>
      </c>
      <c r="O78" s="32">
        <f>Assumptions!$S$21</f>
        <v>1500</v>
      </c>
      <c r="P78" s="379">
        <f>Assumptions!$S$36</f>
        <v>216</v>
      </c>
      <c r="Q78" s="380">
        <f>N78*O78*P78</f>
        <v>0</v>
      </c>
      <c r="R78" s="12"/>
      <c r="S78" s="307"/>
      <c r="T78" s="100"/>
      <c r="U78" s="308"/>
      <c r="V78" s="309"/>
      <c r="W78" s="125"/>
      <c r="X78" s="100"/>
    </row>
    <row r="79" spans="1:24" ht="15" customHeight="1" thickBot="1">
      <c r="A79" s="31" t="str">
        <f>Assumptions!$W$21</f>
        <v>3BR</v>
      </c>
      <c r="B79" s="873">
        <f>B$75*INDEX(Assumptions!$Y$19:$Y$21,MATCH(A79,Assumptions!$W$19:$W$21,0))</f>
        <v>0</v>
      </c>
      <c r="C79" s="378">
        <f>Assumptions!$S$24</f>
        <v>2300</v>
      </c>
      <c r="D79" s="379">
        <f>Assumptions!$S$39</f>
        <v>174.34782608695653</v>
      </c>
      <c r="E79" s="380">
        <f>B79*C79*D79</f>
        <v>0</v>
      </c>
      <c r="G79" s="31" t="str">
        <f>Assumptions!$W$21</f>
        <v>3BR</v>
      </c>
      <c r="H79" s="873">
        <f>H$75*INDEX(Assumptions!$Y$19:$Y$21,MATCH(G79,Assumptions!$W$19:$W$21,0))</f>
        <v>0</v>
      </c>
      <c r="I79" s="378">
        <f>Assumptions!$S$24</f>
        <v>2300</v>
      </c>
      <c r="J79" s="379">
        <f>Assumptions!$S$39</f>
        <v>174.34782608695653</v>
      </c>
      <c r="K79" s="380">
        <f>H79*I79*J79</f>
        <v>0</v>
      </c>
      <c r="L79" s="12"/>
      <c r="M79" s="31" t="str">
        <f>Assumptions!$W$21</f>
        <v>3BR</v>
      </c>
      <c r="N79" s="873">
        <f>N$75*INDEX(Assumptions!$Y$19:$Y$21,MATCH(M79,Assumptions!$W$19:$W$21,0))</f>
        <v>0</v>
      </c>
      <c r="O79" s="378">
        <f>Assumptions!$S$24</f>
        <v>2300</v>
      </c>
      <c r="P79" s="379">
        <f>Assumptions!$S$39</f>
        <v>174.34782608695653</v>
      </c>
      <c r="Q79" s="380">
        <f>N79*O79*P79</f>
        <v>0</v>
      </c>
      <c r="R79" s="12"/>
      <c r="S79" s="307"/>
      <c r="T79" s="100"/>
      <c r="U79" s="308"/>
      <c r="V79" s="309"/>
      <c r="W79" s="125"/>
      <c r="X79" s="100"/>
    </row>
    <row r="80" spans="1:24" ht="15" customHeight="1" thickTop="1" thickBot="1">
      <c r="A80" s="7" t="s">
        <v>425</v>
      </c>
      <c r="B80" s="8">
        <f>SUM(B77:B79)</f>
        <v>0</v>
      </c>
      <c r="C80" s="9">
        <f>SUMPRODUCT(B77:B79,C77:C79)</f>
        <v>0</v>
      </c>
      <c r="D80" s="61"/>
      <c r="E80" s="62">
        <f>SUM(E77:E79)</f>
        <v>0</v>
      </c>
      <c r="G80" s="7" t="s">
        <v>425</v>
      </c>
      <c r="H80" s="8">
        <f>SUM(H77:H79)</f>
        <v>0</v>
      </c>
      <c r="I80" s="9">
        <f>SUMPRODUCT(H77:H79,I77:I79)</f>
        <v>0</v>
      </c>
      <c r="J80" s="61"/>
      <c r="K80" s="62">
        <f>SUM(K77:K79)</f>
        <v>0</v>
      </c>
      <c r="L80" s="12"/>
      <c r="M80" s="7" t="s">
        <v>425</v>
      </c>
      <c r="N80" s="8">
        <f>SUM(N77:N79)</f>
        <v>0</v>
      </c>
      <c r="O80" s="9">
        <f>SUMPRODUCT(N77:N79,O77:O79)</f>
        <v>0</v>
      </c>
      <c r="P80" s="61"/>
      <c r="Q80" s="62">
        <f>SUM(Q77:Q79)</f>
        <v>0</v>
      </c>
      <c r="R80" s="12"/>
      <c r="S80" s="12"/>
      <c r="T80" s="310"/>
      <c r="U80" s="311"/>
      <c r="V80" s="312"/>
      <c r="W80" s="122"/>
      <c r="X80" s="100"/>
    </row>
    <row r="81" spans="1:24" ht="15" customHeight="1" thickTop="1" thickBot="1">
      <c r="A81" s="10" t="s">
        <v>426</v>
      </c>
      <c r="B81" s="60"/>
      <c r="C81" s="11">
        <f>IFERROR(C80/B80,0)</f>
        <v>0</v>
      </c>
      <c r="D81" s="63">
        <f>IFERROR((E80/12)/C80,0)</f>
        <v>0</v>
      </c>
      <c r="E81" s="64"/>
      <c r="G81" s="10" t="s">
        <v>426</v>
      </c>
      <c r="H81" s="60"/>
      <c r="I81" s="11">
        <f>IFERROR(I80/H80,0)</f>
        <v>0</v>
      </c>
      <c r="J81" s="63">
        <f>IFERROR((K80/12)/I80,0)</f>
        <v>0</v>
      </c>
      <c r="K81" s="64"/>
      <c r="L81" s="12"/>
      <c r="M81" s="10" t="s">
        <v>426</v>
      </c>
      <c r="N81" s="60"/>
      <c r="O81" s="11">
        <f>IFERROR(O80/N80,0)</f>
        <v>0</v>
      </c>
      <c r="P81" s="63">
        <f>IFERROR((Q80/12)/O80,0)</f>
        <v>0</v>
      </c>
      <c r="Q81" s="64"/>
      <c r="R81" s="12"/>
      <c r="S81" s="12"/>
      <c r="T81" s="313"/>
      <c r="U81" s="314"/>
      <c r="V81" s="315"/>
      <c r="W81" s="12"/>
      <c r="X81" s="100"/>
    </row>
    <row r="82" spans="1:24" ht="15" customHeight="1">
      <c r="A82" s="104" t="s">
        <v>226</v>
      </c>
      <c r="B82" s="105" t="str">
        <f>B$38</f>
        <v>-</v>
      </c>
      <c r="C82" s="166" t="s">
        <v>419</v>
      </c>
      <c r="D82" s="111">
        <f>D$40*E$82</f>
        <v>0</v>
      </c>
      <c r="E82" s="106">
        <f>Assumptions!$Y$29</f>
        <v>0.8</v>
      </c>
      <c r="G82" s="104" t="s">
        <v>226</v>
      </c>
      <c r="H82" s="105" t="str">
        <f>H$38</f>
        <v>-</v>
      </c>
      <c r="I82" s="166" t="s">
        <v>419</v>
      </c>
      <c r="J82" s="111">
        <f>J$40*K$82</f>
        <v>0</v>
      </c>
      <c r="K82" s="106">
        <f>Assumptions!$Y$29</f>
        <v>0.8</v>
      </c>
      <c r="M82" s="104" t="s">
        <v>226</v>
      </c>
      <c r="N82" s="105" t="str">
        <f>N$38</f>
        <v>-</v>
      </c>
      <c r="O82" s="166" t="s">
        <v>419</v>
      </c>
      <c r="P82" s="111">
        <f>P$40*Q$82</f>
        <v>0</v>
      </c>
      <c r="Q82" s="106">
        <f>Assumptions!$Y$29</f>
        <v>0.8</v>
      </c>
      <c r="S82" s="123"/>
      <c r="T82" s="99"/>
      <c r="U82" s="135"/>
      <c r="V82" s="295"/>
      <c r="W82" s="55"/>
    </row>
    <row r="83" spans="1:24" ht="15" customHeight="1">
      <c r="A83" s="104" t="s">
        <v>430</v>
      </c>
      <c r="B83" s="160">
        <v>0</v>
      </c>
      <c r="C83" s="113" t="str">
        <f>IF(C88&gt;D82,"# of Units Over Available Area","# of Units Within Available Area")</f>
        <v># of Units Within Available Area</v>
      </c>
      <c r="D83" s="112" t="s">
        <v>421</v>
      </c>
      <c r="E83" s="120">
        <v>0.3</v>
      </c>
      <c r="G83" s="104" t="s">
        <v>430</v>
      </c>
      <c r="H83" s="160">
        <v>0</v>
      </c>
      <c r="I83" s="113" t="str">
        <f>IF(I88&gt;J82,"# of Units Over Available Area","# of Units Within Available Area")</f>
        <v># of Units Within Available Area</v>
      </c>
      <c r="J83" s="112" t="s">
        <v>421</v>
      </c>
      <c r="K83" s="120">
        <v>0</v>
      </c>
      <c r="M83" s="104" t="s">
        <v>430</v>
      </c>
      <c r="N83" s="160">
        <v>0</v>
      </c>
      <c r="O83" s="113" t="str">
        <f>IF(O88&gt;P82,"# of Units Over Available Area","# of Units Within Available Area")</f>
        <v># of Units Within Available Area</v>
      </c>
      <c r="P83" s="112" t="s">
        <v>421</v>
      </c>
      <c r="Q83" s="120">
        <v>0</v>
      </c>
      <c r="S83" s="123"/>
      <c r="T83" s="296"/>
      <c r="U83" s="297"/>
      <c r="V83" s="112"/>
      <c r="W83" s="102"/>
    </row>
    <row r="84" spans="1:24" ht="15" customHeight="1">
      <c r="A84" s="107" t="s">
        <v>431</v>
      </c>
      <c r="B84" s="108" t="s">
        <v>427</v>
      </c>
      <c r="C84" s="109" t="s">
        <v>428</v>
      </c>
      <c r="D84" s="108" t="s">
        <v>432</v>
      </c>
      <c r="E84" s="110" t="s">
        <v>433</v>
      </c>
      <c r="G84" s="107" t="s">
        <v>431</v>
      </c>
      <c r="H84" s="108" t="s">
        <v>427</v>
      </c>
      <c r="I84" s="109" t="s">
        <v>428</v>
      </c>
      <c r="J84" s="108" t="s">
        <v>432</v>
      </c>
      <c r="K84" s="110" t="s">
        <v>433</v>
      </c>
      <c r="M84" s="107" t="s">
        <v>431</v>
      </c>
      <c r="N84" s="108" t="s">
        <v>427</v>
      </c>
      <c r="O84" s="109" t="s">
        <v>428</v>
      </c>
      <c r="P84" s="108" t="s">
        <v>432</v>
      </c>
      <c r="Q84" s="110" t="s">
        <v>433</v>
      </c>
      <c r="S84" s="123"/>
      <c r="T84" s="124"/>
      <c r="U84" s="276"/>
      <c r="V84" s="124"/>
      <c r="W84" s="124"/>
    </row>
    <row r="85" spans="1:24" ht="15" customHeight="1">
      <c r="A85" s="31" t="str">
        <f>Assumptions!$W$23</f>
        <v>Studio</v>
      </c>
      <c r="B85" s="873">
        <f>B$83*INDEX(Assumptions!$Y$23:$Y$25,MATCH(A85,Assumptions!$W$23:$W$25,0))</f>
        <v>0</v>
      </c>
      <c r="C85" s="32">
        <f>Assumptions!$R$42</f>
        <v>500</v>
      </c>
      <c r="D85" s="42">
        <f>Assumptions!$R$43*(1+$E$83)</f>
        <v>3.9000000000000004</v>
      </c>
      <c r="E85" s="43">
        <f>12*B85*C85*D85</f>
        <v>0</v>
      </c>
      <c r="G85" s="31" t="str">
        <f>Assumptions!$W$23</f>
        <v>Studio</v>
      </c>
      <c r="H85" s="873">
        <f>H$83*INDEX(Assumptions!$Y$23:$Y$25,MATCH(G85,Assumptions!$W$23:$W$25,0))</f>
        <v>0</v>
      </c>
      <c r="I85" s="32">
        <f>Assumptions!$R$42</f>
        <v>500</v>
      </c>
      <c r="J85" s="42">
        <f>Assumptions!$R$43*(1+$E$83)</f>
        <v>3.9000000000000004</v>
      </c>
      <c r="K85" s="43">
        <f>12*H85*I85*J85</f>
        <v>0</v>
      </c>
      <c r="M85" s="31" t="str">
        <f>Assumptions!$W$23</f>
        <v>Studio</v>
      </c>
      <c r="N85" s="873">
        <f>N$83*INDEX(Assumptions!$Y$23:$Y$25,MATCH(M85,Assumptions!$W$23:$W$25,0))</f>
        <v>0</v>
      </c>
      <c r="O85" s="32">
        <f>Assumptions!$R$42</f>
        <v>500</v>
      </c>
      <c r="P85" s="42">
        <f>Assumptions!$R$43*(1+$E$83)</f>
        <v>3.9000000000000004</v>
      </c>
      <c r="Q85" s="43">
        <f>12*N85*O85*P85</f>
        <v>0</v>
      </c>
      <c r="S85" s="307"/>
      <c r="T85" s="100"/>
      <c r="U85" s="308"/>
      <c r="V85" s="309"/>
      <c r="W85" s="125"/>
    </row>
    <row r="86" spans="1:24" ht="15" customHeight="1">
      <c r="A86" s="31" t="str">
        <f>Assumptions!$W$24</f>
        <v>1BR</v>
      </c>
      <c r="B86" s="873">
        <f>B$83*INDEX(Assumptions!$Y$23:$Y$25,MATCH(A86,Assumptions!$W$23:$W$25,0))</f>
        <v>0</v>
      </c>
      <c r="C86" s="378">
        <f>Assumptions!$R$45</f>
        <v>700</v>
      </c>
      <c r="D86" s="42">
        <f>Assumptions!$R$46*(1+$E$83)</f>
        <v>3.25</v>
      </c>
      <c r="E86" s="380">
        <f>12*B86*C86*D86</f>
        <v>0</v>
      </c>
      <c r="G86" s="31" t="str">
        <f>Assumptions!$W$24</f>
        <v>1BR</v>
      </c>
      <c r="H86" s="873">
        <f>H$83*INDEX(Assumptions!$Y$23:$Y$25,MATCH(G86,Assumptions!$W$23:$W$25,0))</f>
        <v>0</v>
      </c>
      <c r="I86" s="378">
        <f>Assumptions!$R$45</f>
        <v>700</v>
      </c>
      <c r="J86" s="42">
        <f>Assumptions!$R$46*(1+$E$83)</f>
        <v>3.25</v>
      </c>
      <c r="K86" s="380">
        <f>12*H86*I86*J86</f>
        <v>0</v>
      </c>
      <c r="M86" s="31" t="str">
        <f>Assumptions!$W$24</f>
        <v>1BR</v>
      </c>
      <c r="N86" s="873">
        <f>N$83*INDEX(Assumptions!$Y$23:$Y$25,MATCH(M86,Assumptions!$W$23:$W$25,0))</f>
        <v>0</v>
      </c>
      <c r="O86" s="378">
        <f>Assumptions!$R$45</f>
        <v>700</v>
      </c>
      <c r="P86" s="42">
        <f>Assumptions!$R$46*(1+$E$83)</f>
        <v>3.25</v>
      </c>
      <c r="Q86" s="380">
        <f>12*N86*O86*P86</f>
        <v>0</v>
      </c>
      <c r="S86" s="307"/>
      <c r="T86" s="100"/>
      <c r="U86" s="308"/>
      <c r="V86" s="309"/>
      <c r="W86" s="125"/>
    </row>
    <row r="87" spans="1:24" ht="15" customHeight="1" thickBot="1">
      <c r="A87" s="31" t="str">
        <f>Assumptions!$W$25</f>
        <v>2BR</v>
      </c>
      <c r="B87" s="873">
        <f>B$83*INDEX(Assumptions!$Y$23:$Y$25,MATCH(A87,Assumptions!$W$23:$W$25,0))</f>
        <v>0</v>
      </c>
      <c r="C87" s="32">
        <f>Assumptions!$R$48</f>
        <v>1100</v>
      </c>
      <c r="D87" s="42">
        <f>Assumptions!$R$49*(1+$E$83)</f>
        <v>2.9899999999999998</v>
      </c>
      <c r="E87" s="380">
        <f>12*B87*C87*D87</f>
        <v>0</v>
      </c>
      <c r="G87" s="31" t="str">
        <f>Assumptions!$W$25</f>
        <v>2BR</v>
      </c>
      <c r="H87" s="873">
        <f>H$83*INDEX(Assumptions!$Y$23:$Y$25,MATCH(G87,Assumptions!$W$23:$W$25,0))</f>
        <v>0</v>
      </c>
      <c r="I87" s="32">
        <f>Assumptions!$R$48</f>
        <v>1100</v>
      </c>
      <c r="J87" s="42">
        <f>Assumptions!$R$49*(1+$E$83)</f>
        <v>2.9899999999999998</v>
      </c>
      <c r="K87" s="380">
        <f>12*H87*I87*J87</f>
        <v>0</v>
      </c>
      <c r="M87" s="31" t="str">
        <f>Assumptions!$W$25</f>
        <v>2BR</v>
      </c>
      <c r="N87" s="873">
        <f>N$83*INDEX(Assumptions!$Y$23:$Y$25,MATCH(M87,Assumptions!$W$23:$W$25,0))</f>
        <v>0</v>
      </c>
      <c r="O87" s="32">
        <f>Assumptions!$R$48</f>
        <v>1100</v>
      </c>
      <c r="P87" s="42">
        <f>Assumptions!$R$49*(1+$E$83)</f>
        <v>2.9899999999999998</v>
      </c>
      <c r="Q87" s="380">
        <f>12*N87*O87*P87</f>
        <v>0</v>
      </c>
      <c r="S87" s="307"/>
      <c r="T87" s="100"/>
      <c r="U87" s="308"/>
      <c r="V87" s="309"/>
      <c r="W87" s="125"/>
    </row>
    <row r="88" spans="1:24" ht="15" customHeight="1" thickTop="1" thickBot="1">
      <c r="A88" s="7" t="s">
        <v>425</v>
      </c>
      <c r="B88" s="8">
        <f>SUM(B85:B87)</f>
        <v>0</v>
      </c>
      <c r="C88" s="9">
        <f>SUMPRODUCT(B85:B87,C85:C87)</f>
        <v>0</v>
      </c>
      <c r="D88" s="61"/>
      <c r="E88" s="62">
        <f>SUM(E85:E87)</f>
        <v>0</v>
      </c>
      <c r="G88" s="7" t="s">
        <v>425</v>
      </c>
      <c r="H88" s="8">
        <f>SUM(H85:H87)</f>
        <v>0</v>
      </c>
      <c r="I88" s="9">
        <f>SUMPRODUCT(H85:H87,I85:I87)</f>
        <v>0</v>
      </c>
      <c r="J88" s="61"/>
      <c r="K88" s="62">
        <f>SUM(K85:K87)</f>
        <v>0</v>
      </c>
      <c r="M88" s="7" t="s">
        <v>425</v>
      </c>
      <c r="N88" s="8">
        <f>SUM(N85:N87)</f>
        <v>0</v>
      </c>
      <c r="O88" s="9">
        <f>SUMPRODUCT(N85:N87,O85:O87)</f>
        <v>0</v>
      </c>
      <c r="P88" s="61"/>
      <c r="Q88" s="62">
        <f>SUM(Q85:Q87)</f>
        <v>0</v>
      </c>
      <c r="S88" s="12"/>
      <c r="T88" s="310"/>
      <c r="U88" s="311"/>
      <c r="V88" s="312"/>
      <c r="W88" s="122"/>
    </row>
    <row r="89" spans="1:24" ht="15" customHeight="1" thickTop="1" thickBot="1">
      <c r="A89" s="10" t="s">
        <v>426</v>
      </c>
      <c r="B89" s="60"/>
      <c r="C89" s="11">
        <f>IFERROR(C88/B88,0)</f>
        <v>0</v>
      </c>
      <c r="D89" s="63">
        <f>IFERROR((E88/12)/C88,0)</f>
        <v>0</v>
      </c>
      <c r="E89" s="64"/>
      <c r="G89" s="10" t="s">
        <v>426</v>
      </c>
      <c r="H89" s="60"/>
      <c r="I89" s="11">
        <f>IFERROR(I88/H88,0)</f>
        <v>0</v>
      </c>
      <c r="J89" s="63">
        <f>IFERROR((K88/12)/I88,0)</f>
        <v>0</v>
      </c>
      <c r="K89" s="64"/>
      <c r="M89" s="10" t="s">
        <v>426</v>
      </c>
      <c r="N89" s="60"/>
      <c r="O89" s="11">
        <f>IFERROR(O88/N88,0)</f>
        <v>0</v>
      </c>
      <c r="P89" s="63">
        <f>IFERROR((Q88/12)/O88,0)</f>
        <v>0</v>
      </c>
      <c r="Q89" s="64"/>
      <c r="S89" s="12"/>
      <c r="T89" s="313"/>
      <c r="U89" s="314"/>
      <c r="V89" s="315"/>
      <c r="W89" s="12"/>
    </row>
    <row r="90" spans="1:24" ht="15" customHeight="1">
      <c r="A90" s="104" t="s">
        <v>434</v>
      </c>
      <c r="B90" s="116" t="str">
        <f>B$41</f>
        <v>Retail</v>
      </c>
      <c r="C90" s="114"/>
      <c r="D90" s="115"/>
      <c r="E90" s="121"/>
      <c r="G90" s="104" t="s">
        <v>434</v>
      </c>
      <c r="H90" s="116" t="str">
        <f>H$41</f>
        <v>-</v>
      </c>
      <c r="I90" s="114"/>
      <c r="J90" s="115"/>
      <c r="K90" s="121"/>
      <c r="L90" s="126"/>
      <c r="M90" s="104" t="s">
        <v>434</v>
      </c>
      <c r="N90" s="116" t="str">
        <f>N$41</f>
        <v>-</v>
      </c>
      <c r="O90" s="114"/>
      <c r="P90" s="115"/>
      <c r="Q90" s="121"/>
      <c r="R90" s="126"/>
      <c r="S90" s="123"/>
      <c r="T90" s="299"/>
      <c r="U90" s="300"/>
      <c r="V90" s="316"/>
      <c r="W90" s="126"/>
    </row>
    <row r="91" spans="1:24" ht="15" customHeight="1">
      <c r="A91" s="107" t="s">
        <v>33</v>
      </c>
      <c r="B91" s="108" t="s">
        <v>435</v>
      </c>
      <c r="C91" s="109" t="s">
        <v>436</v>
      </c>
      <c r="D91" s="108" t="s">
        <v>437</v>
      </c>
      <c r="E91" s="110" t="s">
        <v>433</v>
      </c>
      <c r="G91" s="107" t="s">
        <v>33</v>
      </c>
      <c r="H91" s="108" t="s">
        <v>435</v>
      </c>
      <c r="I91" s="109" t="s">
        <v>436</v>
      </c>
      <c r="J91" s="108" t="s">
        <v>437</v>
      </c>
      <c r="K91" s="110" t="s">
        <v>433</v>
      </c>
      <c r="L91" s="124"/>
      <c r="M91" s="107" t="s">
        <v>33</v>
      </c>
      <c r="N91" s="108" t="s">
        <v>435</v>
      </c>
      <c r="O91" s="109" t="s">
        <v>436</v>
      </c>
      <c r="P91" s="108" t="s">
        <v>437</v>
      </c>
      <c r="Q91" s="110" t="s">
        <v>433</v>
      </c>
      <c r="R91" s="124"/>
      <c r="S91" s="123"/>
      <c r="T91" s="124"/>
      <c r="U91" s="276"/>
      <c r="V91" s="124"/>
      <c r="W91" s="124"/>
    </row>
    <row r="92" spans="1:24" ht="15" customHeight="1" thickBot="1">
      <c r="A92" s="381" t="s">
        <v>40</v>
      </c>
      <c r="B92" s="874">
        <f>IFERROR(IF(B$90=A92,D$41,0),0)</f>
        <v>0</v>
      </c>
      <c r="C92" s="875">
        <f>IFERROR(B92*INDEX(Assumptions!$Y$30:$Y$31,MATCH(A92,Assumptions!$W$30:$W$31,0)),0)</f>
        <v>0</v>
      </c>
      <c r="D92" s="384">
        <f>IF(C92&gt;0,INDEX(Assumptions!$R$5:$R$6,MATCH(A92,Assumptions!$Q$5:$Q$6,0)),0)</f>
        <v>0</v>
      </c>
      <c r="E92" s="385">
        <f>C92*D92</f>
        <v>0</v>
      </c>
      <c r="G92" s="381" t="s">
        <v>40</v>
      </c>
      <c r="H92" s="874">
        <f>IFERROR(IF(H$90=G92,J$41,0),0)</f>
        <v>0</v>
      </c>
      <c r="I92" s="875">
        <f>IFERROR(H92*INDEX(Assumptions!$Y$30:$Y$31,MATCH(G92,Assumptions!$W$30:$W$31,0)),0)</f>
        <v>0</v>
      </c>
      <c r="J92" s="384">
        <f>IF(I92&gt;0,INDEX(Assumptions!$R$5:$R$6,MATCH(G92,Assumptions!$Q$5:$Q$6,0)),0)</f>
        <v>0</v>
      </c>
      <c r="K92" s="385">
        <f>I92*J92</f>
        <v>0</v>
      </c>
      <c r="L92" s="127"/>
      <c r="M92" s="381" t="s">
        <v>40</v>
      </c>
      <c r="N92" s="874">
        <f>IFERROR(IF(N$90=M92,P$41,0),0)</f>
        <v>0</v>
      </c>
      <c r="O92" s="875">
        <f>IFERROR(N92*INDEX(Assumptions!$Y$30:$Y$31,MATCH(M92,Assumptions!$W$30:$W$31,0)),0)</f>
        <v>0</v>
      </c>
      <c r="P92" s="384">
        <f>IF(O92&gt;0,INDEX(Assumptions!$R$5:$R$6,MATCH(M92,Assumptions!$Q$5:$Q$6,0)),0)</f>
        <v>0</v>
      </c>
      <c r="Q92" s="385">
        <f>O92*P92</f>
        <v>0</v>
      </c>
      <c r="R92" s="127"/>
      <c r="S92" s="317"/>
      <c r="T92" s="100"/>
      <c r="U92" s="318"/>
      <c r="V92" s="319"/>
      <c r="W92" s="127"/>
    </row>
    <row r="93" spans="1:24" ht="15" customHeight="1" thickTop="1" thickBot="1">
      <c r="A93" s="1006" t="s">
        <v>425</v>
      </c>
      <c r="B93" s="40">
        <f>SUM(B92:B92)</f>
        <v>0</v>
      </c>
      <c r="C93" s="40">
        <f>SUM(C92:C92)</f>
        <v>0</v>
      </c>
      <c r="D93" s="38">
        <f>IF(B93=0,0,E93/B93)</f>
        <v>0</v>
      </c>
      <c r="E93" s="39">
        <f>SUM(E92:E92)</f>
        <v>0</v>
      </c>
      <c r="G93" s="1006" t="s">
        <v>425</v>
      </c>
      <c r="H93" s="40">
        <f>SUM(H92:H92)</f>
        <v>0</v>
      </c>
      <c r="I93" s="40">
        <f>SUM(I92:I92)</f>
        <v>0</v>
      </c>
      <c r="J93" s="38">
        <f>IF(H93=0,0,K93/H93)</f>
        <v>0</v>
      </c>
      <c r="K93" s="39">
        <f>SUM(K92:K92)</f>
        <v>0</v>
      </c>
      <c r="L93" s="127"/>
      <c r="M93" s="1006" t="s">
        <v>425</v>
      </c>
      <c r="N93" s="40">
        <f>SUM(N92:N92)</f>
        <v>0</v>
      </c>
      <c r="O93" s="40">
        <f>SUM(O92:O92)</f>
        <v>0</v>
      </c>
      <c r="P93" s="38">
        <f>IF(N93=0,0,Q93/N93)</f>
        <v>0</v>
      </c>
      <c r="Q93" s="39">
        <f>SUM(Q92:Q92)</f>
        <v>0</v>
      </c>
      <c r="R93" s="127"/>
      <c r="S93" s="12"/>
      <c r="T93" s="320"/>
      <c r="U93" s="320"/>
      <c r="V93" s="319"/>
      <c r="W93" s="127"/>
    </row>
    <row r="94" spans="1:24" ht="15" customHeight="1">
      <c r="A94" s="104" t="s">
        <v>438</v>
      </c>
      <c r="B94" s="116" t="str">
        <f>B$42</f>
        <v>Laboratory</v>
      </c>
      <c r="C94" s="114"/>
      <c r="D94" s="115"/>
      <c r="E94" s="121"/>
      <c r="G94" s="104" t="s">
        <v>438</v>
      </c>
      <c r="H94" s="116" t="str">
        <f>H$42</f>
        <v>-</v>
      </c>
      <c r="I94" s="114"/>
      <c r="J94" s="115"/>
      <c r="K94" s="121"/>
      <c r="L94" s="126"/>
      <c r="M94" s="104" t="s">
        <v>438</v>
      </c>
      <c r="N94" s="116" t="str">
        <f>N$42</f>
        <v>-</v>
      </c>
      <c r="O94" s="114"/>
      <c r="P94" s="115"/>
      <c r="Q94" s="121"/>
      <c r="R94" s="126"/>
      <c r="S94" s="123"/>
      <c r="T94" s="299"/>
      <c r="U94" s="300"/>
      <c r="V94" s="316"/>
      <c r="W94" s="126"/>
    </row>
    <row r="95" spans="1:24" ht="15" customHeight="1">
      <c r="A95" s="107" t="s">
        <v>33</v>
      </c>
      <c r="B95" s="108" t="s">
        <v>435</v>
      </c>
      <c r="C95" s="109" t="s">
        <v>436</v>
      </c>
      <c r="D95" s="108" t="s">
        <v>437</v>
      </c>
      <c r="E95" s="110" t="s">
        <v>433</v>
      </c>
      <c r="G95" s="107" t="s">
        <v>33</v>
      </c>
      <c r="H95" s="108" t="s">
        <v>435</v>
      </c>
      <c r="I95" s="109" t="s">
        <v>436</v>
      </c>
      <c r="J95" s="108" t="s">
        <v>437</v>
      </c>
      <c r="K95" s="110" t="s">
        <v>433</v>
      </c>
      <c r="L95" s="124"/>
      <c r="M95" s="107" t="s">
        <v>33</v>
      </c>
      <c r="N95" s="108" t="s">
        <v>435</v>
      </c>
      <c r="O95" s="109" t="s">
        <v>436</v>
      </c>
      <c r="P95" s="108" t="s">
        <v>437</v>
      </c>
      <c r="Q95" s="110" t="s">
        <v>433</v>
      </c>
      <c r="R95" s="124"/>
      <c r="S95" s="123"/>
      <c r="T95" s="124"/>
      <c r="U95" s="276"/>
      <c r="V95" s="124"/>
      <c r="W95" s="124"/>
    </row>
    <row r="96" spans="1:24" ht="15" customHeight="1" thickBot="1">
      <c r="A96" s="381" t="s">
        <v>44</v>
      </c>
      <c r="B96" s="874">
        <f>IFERROR(IF(B$94=A96,D$42,0),0)</f>
        <v>0</v>
      </c>
      <c r="C96" s="875">
        <f>IFERROR(B96*INDEX(Assumptions!$Y$30:$Y$31,MATCH(A96,Assumptions!$W$30:$W$31,0)),0)</f>
        <v>0</v>
      </c>
      <c r="D96" s="384">
        <f>IF(C96&gt;0,INDEX(Assumptions!$R$5:$R$6,MATCH(A96,Assumptions!$Q$5:$Q$6,0)),0)</f>
        <v>0</v>
      </c>
      <c r="E96" s="385">
        <f>C96*D96</f>
        <v>0</v>
      </c>
      <c r="G96" s="381" t="s">
        <v>44</v>
      </c>
      <c r="H96" s="874">
        <f>IFERROR(IF(H$94=G96,J$42,0),0)</f>
        <v>0</v>
      </c>
      <c r="I96" s="875">
        <f>IFERROR(H96*INDEX(Assumptions!$Y$30:$Y$31,MATCH(G96,Assumptions!$W$30:$W$31,0)),0)</f>
        <v>0</v>
      </c>
      <c r="J96" s="384">
        <f>IF(I96&gt;0,INDEX(Assumptions!$R$5:$R$6,MATCH(G96,Assumptions!$Q$5:$Q$6,0)),0)</f>
        <v>0</v>
      </c>
      <c r="K96" s="385">
        <f>I96*J96</f>
        <v>0</v>
      </c>
      <c r="L96" s="127"/>
      <c r="M96" s="381" t="s">
        <v>44</v>
      </c>
      <c r="N96" s="874">
        <f>IFERROR(IF(N$94=M96,P$42,0),0)</f>
        <v>0</v>
      </c>
      <c r="O96" s="875">
        <f>IFERROR(N96*INDEX(Assumptions!$Y$30:$Y$31,MATCH(M96,Assumptions!$W$30:$W$31,0)),0)</f>
        <v>0</v>
      </c>
      <c r="P96" s="384">
        <f>IF(O96&gt;0,INDEX(Assumptions!$R$5:$R$6,MATCH(M96,Assumptions!$Q$5:$Q$6,0)),0)</f>
        <v>0</v>
      </c>
      <c r="Q96" s="385">
        <f>O96*P96</f>
        <v>0</v>
      </c>
      <c r="R96" s="127"/>
      <c r="S96" s="317"/>
      <c r="T96" s="100"/>
      <c r="U96" s="318"/>
      <c r="V96" s="319"/>
      <c r="W96" s="127"/>
    </row>
    <row r="97" spans="1:23" ht="15" customHeight="1" thickTop="1" thickBot="1">
      <c r="A97" s="1006" t="s">
        <v>425</v>
      </c>
      <c r="B97" s="40">
        <f>SUM(B96:B96)</f>
        <v>0</v>
      </c>
      <c r="C97" s="40">
        <f>SUM(C96:C96)</f>
        <v>0</v>
      </c>
      <c r="D97" s="38">
        <f>IF(B97=0,0,E97/B97)</f>
        <v>0</v>
      </c>
      <c r="E97" s="39">
        <f>SUM(E96:E96)</f>
        <v>0</v>
      </c>
      <c r="G97" s="1006" t="s">
        <v>425</v>
      </c>
      <c r="H97" s="40">
        <f>SUM(H96:H96)</f>
        <v>0</v>
      </c>
      <c r="I97" s="40">
        <f>SUM(I96:I96)</f>
        <v>0</v>
      </c>
      <c r="J97" s="38">
        <f>IF(H97=0,0,K97/H97)</f>
        <v>0</v>
      </c>
      <c r="K97" s="39">
        <f>SUM(K96:K96)</f>
        <v>0</v>
      </c>
      <c r="L97" s="127"/>
      <c r="M97" s="1006" t="s">
        <v>425</v>
      </c>
      <c r="N97" s="40">
        <f>SUM(N96:N96)</f>
        <v>0</v>
      </c>
      <c r="O97" s="40">
        <f>SUM(O96:O96)</f>
        <v>0</v>
      </c>
      <c r="P97" s="38">
        <f>IF(N97=0,0,Q97/N97)</f>
        <v>0</v>
      </c>
      <c r="Q97" s="39">
        <f>SUM(Q96:Q96)</f>
        <v>0</v>
      </c>
      <c r="R97" s="127"/>
      <c r="S97" s="12"/>
      <c r="T97" s="320"/>
      <c r="U97" s="320"/>
      <c r="V97" s="319"/>
      <c r="W97" s="127"/>
    </row>
    <row r="98" spans="1:23" ht="15" customHeight="1">
      <c r="A98" s="104" t="s">
        <v>439</v>
      </c>
      <c r="B98" s="116" t="str">
        <f>B$43</f>
        <v>University</v>
      </c>
      <c r="C98" s="114"/>
      <c r="D98" s="115"/>
      <c r="E98" s="121"/>
      <c r="G98" s="104" t="s">
        <v>439</v>
      </c>
      <c r="H98" s="116" t="str">
        <f>H$43</f>
        <v>-</v>
      </c>
      <c r="I98" s="114"/>
      <c r="J98" s="115"/>
      <c r="K98" s="121"/>
      <c r="L98" s="126"/>
      <c r="M98" s="104" t="s">
        <v>439</v>
      </c>
      <c r="N98" s="116" t="str">
        <f>N$43</f>
        <v>-</v>
      </c>
      <c r="O98" s="114"/>
      <c r="P98" s="115"/>
      <c r="Q98" s="121"/>
      <c r="R98" s="126"/>
      <c r="S98" s="123"/>
      <c r="T98" s="299"/>
      <c r="U98" s="300"/>
      <c r="V98" s="316"/>
      <c r="W98" s="126"/>
    </row>
    <row r="99" spans="1:23" ht="15" customHeight="1">
      <c r="A99" s="107" t="s">
        <v>33</v>
      </c>
      <c r="B99" s="108" t="s">
        <v>435</v>
      </c>
      <c r="C99" s="109"/>
      <c r="D99" s="108" t="s">
        <v>74</v>
      </c>
      <c r="E99" s="110" t="s">
        <v>429</v>
      </c>
      <c r="G99" s="107" t="s">
        <v>33</v>
      </c>
      <c r="H99" s="108" t="s">
        <v>435</v>
      </c>
      <c r="I99" s="109"/>
      <c r="J99" s="108" t="s">
        <v>74</v>
      </c>
      <c r="K99" s="110" t="s">
        <v>429</v>
      </c>
      <c r="L99" s="124"/>
      <c r="M99" s="107" t="s">
        <v>33</v>
      </c>
      <c r="N99" s="108" t="s">
        <v>435</v>
      </c>
      <c r="O99" s="109"/>
      <c r="P99" s="108" t="s">
        <v>74</v>
      </c>
      <c r="Q99" s="110" t="s">
        <v>429</v>
      </c>
      <c r="R99" s="124"/>
      <c r="S99" s="123"/>
      <c r="T99" s="124"/>
      <c r="U99" s="276"/>
      <c r="V99" s="124"/>
      <c r="W99" s="124"/>
    </row>
    <row r="100" spans="1:23" ht="15" customHeight="1" thickBot="1">
      <c r="A100" s="381" t="s">
        <v>51</v>
      </c>
      <c r="B100" s="876">
        <f>IFERROR(IF(B$98=A100,D$43,0),0)</f>
        <v>1095863.8</v>
      </c>
      <c r="C100" s="383"/>
      <c r="D100" s="384">
        <f>Assumptions!$S$8</f>
        <v>500</v>
      </c>
      <c r="E100" s="385">
        <f>B100*D100</f>
        <v>547931900</v>
      </c>
      <c r="G100" s="381" t="s">
        <v>51</v>
      </c>
      <c r="H100" s="876">
        <f>IFERROR(IF(H$98=G100,J$43,0),0)</f>
        <v>0</v>
      </c>
      <c r="I100" s="383"/>
      <c r="J100" s="384">
        <f>Assumptions!$S$8</f>
        <v>500</v>
      </c>
      <c r="K100" s="385">
        <f>H100*J100</f>
        <v>0</v>
      </c>
      <c r="L100" s="127"/>
      <c r="M100" s="381" t="s">
        <v>51</v>
      </c>
      <c r="N100" s="876">
        <f>IFERROR(IF(N$98=M100,P$43,0),0)</f>
        <v>0</v>
      </c>
      <c r="O100" s="383"/>
      <c r="P100" s="384">
        <f>Assumptions!$S$8</f>
        <v>500</v>
      </c>
      <c r="Q100" s="385">
        <f>N100*P100</f>
        <v>0</v>
      </c>
      <c r="R100" s="127"/>
      <c r="S100" s="317"/>
      <c r="T100" s="100"/>
      <c r="U100" s="318"/>
      <c r="V100" s="319"/>
      <c r="W100" s="127"/>
    </row>
    <row r="101" spans="1:23" ht="15" customHeight="1" thickTop="1" thickBot="1">
      <c r="A101" s="1006" t="s">
        <v>425</v>
      </c>
      <c r="B101" s="40">
        <f>SUM(B100:B100)</f>
        <v>1095863.8</v>
      </c>
      <c r="C101" s="40"/>
      <c r="D101" s="38">
        <f>IF(B101=0,0,E101/B101)</f>
        <v>500</v>
      </c>
      <c r="E101" s="39">
        <f>SUM(E100:E100)</f>
        <v>547931900</v>
      </c>
      <c r="G101" s="1006" t="s">
        <v>425</v>
      </c>
      <c r="H101" s="40">
        <f>SUM(H100:H100)</f>
        <v>0</v>
      </c>
      <c r="I101" s="40"/>
      <c r="J101" s="38">
        <f>IF(H101=0,0,K101/H101)</f>
        <v>0</v>
      </c>
      <c r="K101" s="39">
        <f>SUM(K100:K100)</f>
        <v>0</v>
      </c>
      <c r="L101" s="127"/>
      <c r="M101" s="1006" t="s">
        <v>425</v>
      </c>
      <c r="N101" s="40">
        <f>SUM(N100:N100)</f>
        <v>0</v>
      </c>
      <c r="O101" s="40"/>
      <c r="P101" s="38">
        <f>IF(N101=0,0,Q101/N101)</f>
        <v>0</v>
      </c>
      <c r="Q101" s="39">
        <f>SUM(Q100:Q100)</f>
        <v>0</v>
      </c>
      <c r="R101" s="127"/>
      <c r="S101" s="12"/>
      <c r="T101" s="320"/>
      <c r="U101" s="320"/>
      <c r="V101" s="319"/>
      <c r="W101" s="127"/>
    </row>
    <row r="102" spans="1:23" ht="15" customHeight="1">
      <c r="A102" s="104" t="s">
        <v>440</v>
      </c>
      <c r="B102" s="116" t="str">
        <f>B$44</f>
        <v>-</v>
      </c>
      <c r="C102" s="114"/>
      <c r="D102" s="115"/>
      <c r="E102" s="121"/>
      <c r="G102" s="104" t="s">
        <v>440</v>
      </c>
      <c r="H102" s="116" t="str">
        <f>H$44</f>
        <v>-</v>
      </c>
      <c r="I102" s="114"/>
      <c r="J102" s="115"/>
      <c r="K102" s="121"/>
      <c r="L102" s="127"/>
      <c r="M102" s="104" t="s">
        <v>440</v>
      </c>
      <c r="N102" s="116" t="str">
        <f>N$44</f>
        <v>-</v>
      </c>
      <c r="O102" s="114"/>
      <c r="P102" s="115"/>
      <c r="Q102" s="121"/>
      <c r="R102" s="127"/>
      <c r="S102" s="123"/>
      <c r="T102" s="299"/>
      <c r="U102" s="300"/>
      <c r="V102" s="316"/>
      <c r="W102" s="126"/>
    </row>
    <row r="103" spans="1:23" ht="15" customHeight="1">
      <c r="A103" s="107" t="s">
        <v>33</v>
      </c>
      <c r="B103" s="108" t="s">
        <v>435</v>
      </c>
      <c r="C103" s="109" t="s">
        <v>441</v>
      </c>
      <c r="D103" s="108" t="s">
        <v>437</v>
      </c>
      <c r="E103" s="110" t="s">
        <v>433</v>
      </c>
      <c r="G103" s="107" t="s">
        <v>33</v>
      </c>
      <c r="H103" s="108" t="s">
        <v>435</v>
      </c>
      <c r="I103" s="109" t="s">
        <v>441</v>
      </c>
      <c r="J103" s="108" t="s">
        <v>437</v>
      </c>
      <c r="K103" s="110" t="s">
        <v>433</v>
      </c>
      <c r="L103" s="127"/>
      <c r="M103" s="107" t="s">
        <v>33</v>
      </c>
      <c r="N103" s="108" t="s">
        <v>435</v>
      </c>
      <c r="O103" s="109" t="s">
        <v>441</v>
      </c>
      <c r="P103" s="108" t="s">
        <v>437</v>
      </c>
      <c r="Q103" s="110" t="s">
        <v>433</v>
      </c>
      <c r="R103" s="127"/>
      <c r="S103" s="123"/>
      <c r="T103" s="124"/>
      <c r="U103" s="276"/>
      <c r="V103" s="124"/>
      <c r="W103" s="124"/>
    </row>
    <row r="104" spans="1:23" ht="15" customHeight="1" thickBot="1">
      <c r="A104" s="381" t="s">
        <v>48</v>
      </c>
      <c r="B104" s="876">
        <f>IFERROR(IF(B$102=A104,D$44,0),0)</f>
        <v>0</v>
      </c>
      <c r="C104" s="875">
        <f>IFERROR(B104*INDEX(Assumptions!$Y$32:$Y$32,MATCH(A104,Assumptions!$W$32:$W$32,0)),0)</f>
        <v>0</v>
      </c>
      <c r="D104" s="384">
        <f>IF(C104&gt;0,INDEX(Assumptions!$R$7:$R$7,MATCH(A104,Assumptions!$Q$7:$Q$7,0)),0)</f>
        <v>0</v>
      </c>
      <c r="E104" s="385">
        <f>C104*D104</f>
        <v>0</v>
      </c>
      <c r="G104" s="381" t="s">
        <v>48</v>
      </c>
      <c r="H104" s="876">
        <f>IFERROR(IF(H$102=G104,J$44,0),0)</f>
        <v>0</v>
      </c>
      <c r="I104" s="875">
        <f>IFERROR(H104*INDEX(Assumptions!$Y$32:$Y$32,MATCH(G104,Assumptions!$W$32:$W$32,0)),0)</f>
        <v>0</v>
      </c>
      <c r="J104" s="384">
        <f>IF(I104&gt;0,INDEX(Assumptions!$R$7:$R$7,MATCH(G104,Assumptions!$Q$7:$Q$7,0)),0)</f>
        <v>0</v>
      </c>
      <c r="K104" s="385">
        <f>I104*J104</f>
        <v>0</v>
      </c>
      <c r="L104" s="127"/>
      <c r="M104" s="381" t="s">
        <v>48</v>
      </c>
      <c r="N104" s="876">
        <f>IFERROR(IF(N$102=M104,P$44,0),0)</f>
        <v>0</v>
      </c>
      <c r="O104" s="875">
        <f>IFERROR(N104*INDEX(Assumptions!$Y$32:$Y$32,MATCH(M104,Assumptions!$W$32:$W$32,0)),0)</f>
        <v>0</v>
      </c>
      <c r="P104" s="384">
        <f>IF(O104&gt;0,INDEX(Assumptions!$R$7:$R$7,MATCH(M104,Assumptions!$Q$7:$Q$7,0)),0)</f>
        <v>0</v>
      </c>
      <c r="Q104" s="385">
        <f>O104*P104</f>
        <v>0</v>
      </c>
      <c r="R104" s="127"/>
      <c r="S104" s="317"/>
      <c r="T104" s="100"/>
      <c r="U104" s="318"/>
      <c r="V104" s="319"/>
      <c r="W104" s="127"/>
    </row>
    <row r="105" spans="1:23" ht="15" customHeight="1" thickTop="1" thickBot="1">
      <c r="A105" s="1006" t="s">
        <v>425</v>
      </c>
      <c r="B105" s="40">
        <f>SUM(B104)</f>
        <v>0</v>
      </c>
      <c r="C105" s="40">
        <f>SUM(C104)</f>
        <v>0</v>
      </c>
      <c r="D105" s="38">
        <f>IF(B105=0,0,E105/B105)</f>
        <v>0</v>
      </c>
      <c r="E105" s="39">
        <f>SUM(E104)</f>
        <v>0</v>
      </c>
      <c r="G105" s="1006" t="s">
        <v>425</v>
      </c>
      <c r="H105" s="40">
        <f>SUM(H104)</f>
        <v>0</v>
      </c>
      <c r="I105" s="40">
        <f>SUM(I104)</f>
        <v>0</v>
      </c>
      <c r="J105" s="38">
        <f>IF(H105=0,0,K105/H105)</f>
        <v>0</v>
      </c>
      <c r="K105" s="39">
        <f>SUM(K104)</f>
        <v>0</v>
      </c>
      <c r="L105" s="127"/>
      <c r="M105" s="1006" t="s">
        <v>425</v>
      </c>
      <c r="N105" s="40">
        <f>SUM(N104)</f>
        <v>0</v>
      </c>
      <c r="O105" s="40">
        <f>SUM(O104)</f>
        <v>0</v>
      </c>
      <c r="P105" s="38">
        <f>IF(N105=0,0,Q105/N105)</f>
        <v>0</v>
      </c>
      <c r="Q105" s="39">
        <f>SUM(Q104)</f>
        <v>0</v>
      </c>
      <c r="R105" s="127"/>
      <c r="S105" s="12"/>
      <c r="T105" s="320"/>
      <c r="U105" s="320"/>
      <c r="V105" s="319"/>
      <c r="W105" s="127"/>
    </row>
    <row r="106" spans="1:23" ht="15" customHeight="1">
      <c r="A106" s="1007" t="s">
        <v>418</v>
      </c>
      <c r="B106" s="1008" t="s">
        <v>435</v>
      </c>
      <c r="C106" s="1009" t="s">
        <v>442</v>
      </c>
      <c r="D106" s="1009" t="s">
        <v>443</v>
      </c>
      <c r="E106" s="1010" t="s">
        <v>433</v>
      </c>
      <c r="G106" s="1007" t="s">
        <v>418</v>
      </c>
      <c r="H106" s="1008" t="s">
        <v>435</v>
      </c>
      <c r="I106" s="1009" t="s">
        <v>442</v>
      </c>
      <c r="J106" s="1009" t="s">
        <v>443</v>
      </c>
      <c r="K106" s="1010" t="s">
        <v>433</v>
      </c>
      <c r="M106" s="1007" t="s">
        <v>418</v>
      </c>
      <c r="N106" s="1008" t="s">
        <v>435</v>
      </c>
      <c r="O106" s="1009" t="s">
        <v>442</v>
      </c>
      <c r="P106" s="1009" t="s">
        <v>443</v>
      </c>
      <c r="Q106" s="1010" t="s">
        <v>433</v>
      </c>
      <c r="S106" s="123"/>
      <c r="T106" s="124"/>
      <c r="U106" s="276"/>
      <c r="V106" s="276"/>
      <c r="W106" s="124"/>
    </row>
    <row r="107" spans="1:23" ht="15" customHeight="1" thickBot="1">
      <c r="A107" s="387"/>
      <c r="B107" s="388">
        <f>D45</f>
        <v>0</v>
      </c>
      <c r="C107" s="389">
        <f>IF(B107=0,0,IFERROR((B107/Assumptions!$Y$35)-1,0))</f>
        <v>0</v>
      </c>
      <c r="D107" s="390"/>
      <c r="E107" s="385"/>
      <c r="G107" s="387"/>
      <c r="H107" s="388">
        <f>J45</f>
        <v>0</v>
      </c>
      <c r="I107" s="389">
        <f>IF(H107=0,0,IFERROR((H107/Assumptions!$Y$35)-1,0))</f>
        <v>0</v>
      </c>
      <c r="J107" s="390"/>
      <c r="K107" s="385"/>
      <c r="M107" s="387"/>
      <c r="N107" s="388">
        <f>P45</f>
        <v>0</v>
      </c>
      <c r="O107" s="389">
        <f>IF(N107=0,0,IFERROR((N107/Assumptions!$Y$35)-1,0))</f>
        <v>0</v>
      </c>
      <c r="P107" s="390"/>
      <c r="Q107" s="385"/>
      <c r="T107" s="83"/>
      <c r="U107" s="168"/>
      <c r="W107" s="127"/>
    </row>
    <row r="108" spans="1:23" ht="15" customHeight="1" thickTop="1">
      <c r="A108" s="163" t="s">
        <v>61</v>
      </c>
      <c r="B108" s="128">
        <f>IF(B34="Parking Lot",B107*50%,B$107*B46)</f>
        <v>0</v>
      </c>
      <c r="C108" s="259">
        <f>IF(B108=0,0,IFERROR((B108/Assumptions!$Y$35)-1,0))</f>
        <v>0</v>
      </c>
      <c r="D108" s="36">
        <f>Assumptions!$Y36</f>
        <v>300</v>
      </c>
      <c r="E108" s="59">
        <f>IF(OR(D$37&gt;0,D$39&gt;0,D$40&gt;0,D$43&gt;0),0,IF(B$58&gt;0,0,IF(C108&lt;0,0,C108*D108*12)))</f>
        <v>0</v>
      </c>
      <c r="G108" s="163" t="s">
        <v>61</v>
      </c>
      <c r="H108" s="128">
        <f>IF(H34="Parking Lot",H107*50%,H$107*H46)</f>
        <v>0</v>
      </c>
      <c r="I108" s="259">
        <f>IF(H108=0,0,IFERROR((H108/Assumptions!$Y$35)-1,0))</f>
        <v>0</v>
      </c>
      <c r="J108" s="36">
        <f>Assumptions!$Y36</f>
        <v>300</v>
      </c>
      <c r="K108" s="59">
        <f>IF(OR(J$37&gt;0,J$39&gt;0,J$40&gt;0,J$43&gt;0),0,IF(H$58&gt;0,0,IF(I108&lt;0,0,I108*J108*12)))</f>
        <v>0</v>
      </c>
      <c r="M108" s="163" t="s">
        <v>61</v>
      </c>
      <c r="N108" s="128">
        <f>IF(N34="Parking Lot",N107*50%,N$107*N46)</f>
        <v>0</v>
      </c>
      <c r="O108" s="259">
        <f>IF(N108=0,0,IFERROR((N108/Assumptions!$Y$35)-1,0))</f>
        <v>0</v>
      </c>
      <c r="P108" s="36">
        <f>Assumptions!$Y36</f>
        <v>300</v>
      </c>
      <c r="Q108" s="59">
        <f>IF(OR(P$37&gt;0,P$39&gt;0,P$40&gt;0,P$43&gt;0),0,IF(N$58&gt;0,0,IF(O108&lt;0,0,O108*P108*12)))</f>
        <v>0</v>
      </c>
      <c r="S108" s="321"/>
      <c r="T108" s="83"/>
      <c r="U108" s="168"/>
      <c r="V108" s="286"/>
      <c r="W108" s="127"/>
    </row>
    <row r="109" spans="1:23" ht="15" customHeight="1">
      <c r="A109" s="391" t="s">
        <v>239</v>
      </c>
      <c r="B109" s="392">
        <f>B107-B108-B110</f>
        <v>0</v>
      </c>
      <c r="C109" s="393">
        <f>IF(B109=0,0,IFERROR((B109/Assumptions!$Y$35)-1,0))</f>
        <v>0</v>
      </c>
      <c r="D109" s="394">
        <f>Assumptions!$Y37</f>
        <v>250</v>
      </c>
      <c r="E109" s="59">
        <f>IF(OR(D$37&gt;0,D$39&gt;0,D$40&gt;0,D$43&gt;0),0,IF(B$58&gt;0,0,IF(C109&lt;0,0,C109*D109*12)))</f>
        <v>0</v>
      </c>
      <c r="G109" s="391" t="s">
        <v>239</v>
      </c>
      <c r="H109" s="392">
        <f>H107-H108-H110</f>
        <v>0</v>
      </c>
      <c r="I109" s="393">
        <f>IF(H109=0,0,IFERROR((H109/Assumptions!$Y$35)-1,0))</f>
        <v>0</v>
      </c>
      <c r="J109" s="394">
        <f>Assumptions!$Y37</f>
        <v>250</v>
      </c>
      <c r="K109" s="59">
        <f>IF(OR(J$37&gt;0,J$39&gt;0,J$40&gt;0,J$43&gt;0),0,IF(H$58&gt;0,0,IF(I109&lt;0,0,I109*J109*12)))</f>
        <v>0</v>
      </c>
      <c r="M109" s="391" t="s">
        <v>239</v>
      </c>
      <c r="N109" s="392">
        <f>N107-N108-N110</f>
        <v>0</v>
      </c>
      <c r="O109" s="393">
        <f>IF(N109=0,0,IFERROR((N109/Assumptions!$Y$35)-1,0))</f>
        <v>0</v>
      </c>
      <c r="P109" s="394">
        <f>Assumptions!$Y37</f>
        <v>250</v>
      </c>
      <c r="Q109" s="59">
        <f>IF(OR(P$37&gt;0,P$39&gt;0,P$40&gt;0,P$43&gt;0),0,IF(N$58&gt;0,0,IF(O109&lt;0,0,O109*P109*12)))</f>
        <v>0</v>
      </c>
      <c r="S109" s="203"/>
      <c r="T109" s="83"/>
      <c r="U109" s="168"/>
      <c r="V109" s="286"/>
      <c r="W109" s="127"/>
    </row>
    <row r="110" spans="1:23" ht="15" customHeight="1" thickBot="1">
      <c r="A110" s="395" t="s">
        <v>122</v>
      </c>
      <c r="B110" s="396">
        <v>0</v>
      </c>
      <c r="C110" s="397">
        <f>IF(B110=0,0,IFERROR((B110/Assumptions!$Y$35)-1,0))</f>
        <v>0</v>
      </c>
      <c r="D110" s="398">
        <f>Assumptions!$Y38</f>
        <v>50</v>
      </c>
      <c r="E110" s="39">
        <f>IF(OR(D$37&gt;0,D$39&gt;0,D$40&gt;0,D$43&gt;0),0,IF(B$58&gt;0,0,IF(C110&lt;0,0,C110*D110*12)))</f>
        <v>0</v>
      </c>
      <c r="G110" s="395" t="s">
        <v>122</v>
      </c>
      <c r="H110" s="396">
        <v>0</v>
      </c>
      <c r="I110" s="397">
        <f>IF(H110=0,0,IFERROR((H110/Assumptions!$Y$35)-1,0))</f>
        <v>0</v>
      </c>
      <c r="J110" s="398">
        <f>Assumptions!$Y38</f>
        <v>50</v>
      </c>
      <c r="K110" s="39">
        <f>IF(OR(J$37&gt;0,J$39&gt;0,J$40&gt;0,J$43&gt;0),0,IF(H$58&gt;0,0,IF(I110&lt;0,0,I110*J110*12)))</f>
        <v>0</v>
      </c>
      <c r="M110" s="395" t="s">
        <v>122</v>
      </c>
      <c r="N110" s="396">
        <v>0</v>
      </c>
      <c r="O110" s="397">
        <f>IF(N110=0,0,IFERROR((N110/Assumptions!$Y$35)-1,0))</f>
        <v>0</v>
      </c>
      <c r="P110" s="398">
        <f>Assumptions!$Y38</f>
        <v>50</v>
      </c>
      <c r="Q110" s="39">
        <f>IF(OR(P$37&gt;0,P$39&gt;0,P$40&gt;0,P$43&gt;0),0,IF(N$58&gt;0,0,IF(O110&lt;0,0,O110*P110*12)))</f>
        <v>0</v>
      </c>
      <c r="S110" s="203"/>
      <c r="T110" s="322"/>
      <c r="U110" s="168"/>
      <c r="V110" s="286"/>
      <c r="W110" s="127"/>
    </row>
    <row r="111" spans="1:23" ht="15" customHeight="1" thickBot="1">
      <c r="A111" s="203"/>
      <c r="B111" s="83"/>
      <c r="C111" s="204"/>
      <c r="D111" s="202"/>
      <c r="E111" s="127"/>
      <c r="G111" s="203"/>
      <c r="H111" s="83"/>
      <c r="I111" s="204"/>
      <c r="J111" s="202"/>
      <c r="K111" s="127"/>
      <c r="M111" s="203"/>
      <c r="N111" s="83"/>
      <c r="O111" s="204"/>
      <c r="P111" s="202"/>
      <c r="Q111" s="127"/>
      <c r="S111" s="203"/>
      <c r="T111" s="83"/>
      <c r="U111" s="301"/>
      <c r="V111" s="286"/>
      <c r="W111" s="127"/>
    </row>
    <row r="112" spans="1:23" ht="15" customHeight="1" thickBot="1">
      <c r="A112" s="1011" t="s">
        <v>444</v>
      </c>
      <c r="B112" s="80"/>
      <c r="C112" s="77" t="str">
        <f>B34</f>
        <v>University</v>
      </c>
      <c r="D112" s="77"/>
      <c r="E112" s="1012"/>
      <c r="F112" s="12"/>
      <c r="G112" s="1011" t="s">
        <v>444</v>
      </c>
      <c r="H112" s="80"/>
      <c r="I112" s="77">
        <f>H34</f>
        <v>0</v>
      </c>
      <c r="J112" s="77"/>
      <c r="K112" s="1012"/>
      <c r="L112" s="12"/>
      <c r="M112" s="1011" t="s">
        <v>444</v>
      </c>
      <c r="N112" s="80"/>
      <c r="O112" s="77">
        <f>N34</f>
        <v>0</v>
      </c>
      <c r="P112" s="77"/>
      <c r="Q112" s="1012"/>
      <c r="R112" s="12"/>
      <c r="S112" s="274"/>
      <c r="T112" s="274"/>
      <c r="U112" s="129"/>
      <c r="V112" s="129"/>
      <c r="W112" s="274"/>
    </row>
    <row r="113" spans="1:23" ht="13.5" thickBot="1">
      <c r="A113" s="1013" t="s">
        <v>445</v>
      </c>
      <c r="B113" s="78" t="s">
        <v>446</v>
      </c>
      <c r="C113" s="78" t="s">
        <v>447</v>
      </c>
      <c r="D113" s="78" t="s">
        <v>448</v>
      </c>
      <c r="E113" s="1014" t="s">
        <v>449</v>
      </c>
      <c r="F113" s="12"/>
      <c r="G113" s="1013" t="s">
        <v>445</v>
      </c>
      <c r="H113" s="78" t="s">
        <v>446</v>
      </c>
      <c r="I113" s="78" t="s">
        <v>447</v>
      </c>
      <c r="J113" s="78" t="s">
        <v>448</v>
      </c>
      <c r="K113" s="1014" t="s">
        <v>449</v>
      </c>
      <c r="L113" s="12"/>
      <c r="M113" s="1013" t="s">
        <v>445</v>
      </c>
      <c r="N113" s="78" t="s">
        <v>446</v>
      </c>
      <c r="O113" s="78" t="s">
        <v>447</v>
      </c>
      <c r="P113" s="78" t="s">
        <v>448</v>
      </c>
      <c r="Q113" s="1014" t="s">
        <v>449</v>
      </c>
      <c r="R113" s="12"/>
      <c r="S113" s="123"/>
      <c r="T113" s="124"/>
      <c r="U113" s="124"/>
      <c r="V113" s="124"/>
      <c r="W113" s="124"/>
    </row>
    <row r="114" spans="1:23" ht="12.6">
      <c r="A114" s="33" t="s">
        <v>450</v>
      </c>
      <c r="B114" s="34"/>
      <c r="C114" s="35"/>
      <c r="D114" s="82"/>
      <c r="E114" s="13">
        <f>SUM(E55,E72,E88)</f>
        <v>0</v>
      </c>
      <c r="F114" s="12"/>
      <c r="G114" s="33" t="s">
        <v>450</v>
      </c>
      <c r="H114" s="34"/>
      <c r="I114" s="35"/>
      <c r="J114" s="82"/>
      <c r="K114" s="13">
        <f>SUM(K55,K72,K88)</f>
        <v>0</v>
      </c>
      <c r="L114" s="12"/>
      <c r="M114" s="33" t="s">
        <v>450</v>
      </c>
      <c r="N114" s="34"/>
      <c r="O114" s="35"/>
      <c r="P114" s="82"/>
      <c r="Q114" s="13">
        <f>SUM(Q55,Q72,Q88)</f>
        <v>0</v>
      </c>
      <c r="R114" s="12"/>
      <c r="S114" s="12"/>
      <c r="T114" s="286"/>
      <c r="U114" s="323"/>
      <c r="V114" s="324"/>
      <c r="W114" s="286"/>
    </row>
    <row r="115" spans="1:23" ht="12.6">
      <c r="A115" s="91" t="s">
        <v>451</v>
      </c>
      <c r="B115" s="34"/>
      <c r="C115" s="35"/>
      <c r="D115" s="399"/>
      <c r="E115" s="92">
        <f>SUM(E93,E97)</f>
        <v>0</v>
      </c>
      <c r="F115" s="12"/>
      <c r="G115" s="91" t="s">
        <v>451</v>
      </c>
      <c r="H115" s="34"/>
      <c r="I115" s="35"/>
      <c r="J115" s="399"/>
      <c r="K115" s="92">
        <f>SUM(K93,K97)</f>
        <v>0</v>
      </c>
      <c r="L115" s="12"/>
      <c r="M115" s="91" t="s">
        <v>451</v>
      </c>
      <c r="N115" s="34"/>
      <c r="O115" s="35"/>
      <c r="P115" s="399"/>
      <c r="Q115" s="92">
        <f>SUM(Q93,Q97)</f>
        <v>0</v>
      </c>
      <c r="R115" s="12"/>
      <c r="S115" s="12"/>
      <c r="T115" s="286"/>
      <c r="U115" s="323"/>
      <c r="V115" s="324"/>
      <c r="W115" s="286"/>
    </row>
    <row r="116" spans="1:23" ht="12.6">
      <c r="A116" s="400" t="s">
        <v>452</v>
      </c>
      <c r="B116" s="1077"/>
      <c r="C116" s="1078"/>
      <c r="D116" s="401"/>
      <c r="E116" s="1015">
        <f>E105</f>
        <v>0</v>
      </c>
      <c r="F116" s="12"/>
      <c r="G116" s="400" t="s">
        <v>452</v>
      </c>
      <c r="H116" s="1077"/>
      <c r="I116" s="1078"/>
      <c r="J116" s="401"/>
      <c r="K116" s="1015">
        <f>K105</f>
        <v>0</v>
      </c>
      <c r="L116" s="12"/>
      <c r="M116" s="400" t="s">
        <v>452</v>
      </c>
      <c r="N116" s="1077"/>
      <c r="O116" s="1078"/>
      <c r="P116" s="401"/>
      <c r="Q116" s="1015">
        <f>Q105</f>
        <v>0</v>
      </c>
      <c r="R116" s="12"/>
      <c r="S116" s="325"/>
      <c r="T116" s="1079"/>
      <c r="U116" s="1079"/>
      <c r="V116" s="326"/>
      <c r="W116" s="286"/>
    </row>
    <row r="117" spans="1:23" ht="12.95">
      <c r="A117" s="402" t="s">
        <v>453</v>
      </c>
      <c r="B117" s="89"/>
      <c r="C117" s="89"/>
      <c r="D117" s="86"/>
      <c r="E117" s="403">
        <f>SUM(E114:E116)</f>
        <v>0</v>
      </c>
      <c r="F117" s="12"/>
      <c r="G117" s="402" t="s">
        <v>453</v>
      </c>
      <c r="H117" s="89"/>
      <c r="I117" s="89"/>
      <c r="J117" s="86"/>
      <c r="K117" s="403">
        <f>SUM(K114:K116)</f>
        <v>0</v>
      </c>
      <c r="L117" s="12"/>
      <c r="M117" s="402" t="s">
        <v>453</v>
      </c>
      <c r="N117" s="89"/>
      <c r="O117" s="89"/>
      <c r="P117" s="86"/>
      <c r="Q117" s="403">
        <f>SUM(Q114:Q116)</f>
        <v>0</v>
      </c>
      <c r="R117" s="12"/>
      <c r="S117" s="277"/>
      <c r="T117" s="302"/>
      <c r="U117" s="302"/>
      <c r="V117" s="167"/>
      <c r="W117" s="167"/>
    </row>
    <row r="118" spans="1:23" ht="12.95">
      <c r="A118" s="1071"/>
      <c r="B118" s="1072"/>
      <c r="C118" s="1072"/>
      <c r="D118" s="1072"/>
      <c r="E118" s="1073"/>
      <c r="F118" s="12"/>
      <c r="G118" s="1071"/>
      <c r="H118" s="1072"/>
      <c r="I118" s="1072"/>
      <c r="J118" s="1072"/>
      <c r="K118" s="1073"/>
      <c r="L118" s="12"/>
      <c r="M118" s="1071"/>
      <c r="N118" s="1072"/>
      <c r="O118" s="1072"/>
      <c r="P118" s="1072"/>
      <c r="Q118" s="1073"/>
      <c r="R118" s="12"/>
      <c r="S118" s="1074"/>
      <c r="T118" s="1074"/>
      <c r="U118" s="1074"/>
      <c r="V118" s="1074"/>
      <c r="W118" s="1074"/>
    </row>
    <row r="119" spans="1:23" ht="12.95">
      <c r="A119" s="95" t="s">
        <v>454</v>
      </c>
      <c r="B119" s="85"/>
      <c r="C119" s="85"/>
      <c r="D119" s="85"/>
      <c r="E119" s="96"/>
      <c r="F119" s="12"/>
      <c r="G119" s="95" t="s">
        <v>454</v>
      </c>
      <c r="H119" s="85"/>
      <c r="I119" s="85"/>
      <c r="J119" s="85"/>
      <c r="K119" s="96"/>
      <c r="L119" s="12"/>
      <c r="M119" s="95" t="s">
        <v>454</v>
      </c>
      <c r="N119" s="85"/>
      <c r="O119" s="85"/>
      <c r="P119" s="85"/>
      <c r="Q119" s="96"/>
      <c r="R119" s="12"/>
      <c r="S119" s="277"/>
      <c r="T119" s="167"/>
      <c r="U119" s="167"/>
      <c r="V119" s="167"/>
      <c r="W119" s="167"/>
    </row>
    <row r="120" spans="1:23" ht="12.6">
      <c r="A120" s="404" t="s">
        <v>455</v>
      </c>
      <c r="B120" s="394"/>
      <c r="C120" s="401"/>
      <c r="D120" s="401"/>
      <c r="E120" s="405">
        <f>E108</f>
        <v>0</v>
      </c>
      <c r="F120" s="12"/>
      <c r="G120" s="404" t="s">
        <v>455</v>
      </c>
      <c r="H120" s="394"/>
      <c r="I120" s="401"/>
      <c r="J120" s="401"/>
      <c r="K120" s="405">
        <f>K108</f>
        <v>0</v>
      </c>
      <c r="L120" s="12"/>
      <c r="M120" s="404" t="s">
        <v>455</v>
      </c>
      <c r="N120" s="394"/>
      <c r="O120" s="401"/>
      <c r="P120" s="401"/>
      <c r="Q120" s="405">
        <f>Q108</f>
        <v>0</v>
      </c>
      <c r="R120" s="12"/>
      <c r="S120" s="327"/>
      <c r="T120" s="286"/>
      <c r="U120" s="326"/>
      <c r="V120" s="326"/>
      <c r="W120" s="286"/>
    </row>
    <row r="121" spans="1:23" ht="12.6">
      <c r="A121" s="404" t="s">
        <v>456</v>
      </c>
      <c r="B121" s="394"/>
      <c r="C121" s="401"/>
      <c r="D121" s="401"/>
      <c r="E121" s="405">
        <f>E109</f>
        <v>0</v>
      </c>
      <c r="F121" s="12"/>
      <c r="G121" s="404" t="s">
        <v>456</v>
      </c>
      <c r="H121" s="394"/>
      <c r="I121" s="401"/>
      <c r="J121" s="401"/>
      <c r="K121" s="405">
        <f>K109</f>
        <v>0</v>
      </c>
      <c r="L121" s="12"/>
      <c r="M121" s="404" t="s">
        <v>456</v>
      </c>
      <c r="N121" s="394"/>
      <c r="O121" s="401"/>
      <c r="P121" s="401"/>
      <c r="Q121" s="405">
        <f>Q109</f>
        <v>0</v>
      </c>
      <c r="R121" s="12"/>
      <c r="S121" s="327"/>
      <c r="T121" s="286"/>
      <c r="U121" s="326"/>
      <c r="V121" s="326"/>
      <c r="W121" s="286"/>
    </row>
    <row r="122" spans="1:23" ht="12.6">
      <c r="A122" s="404" t="s">
        <v>457</v>
      </c>
      <c r="B122" s="394"/>
      <c r="C122" s="401"/>
      <c r="D122" s="401"/>
      <c r="E122" s="405">
        <f>E110</f>
        <v>0</v>
      </c>
      <c r="F122" s="12"/>
      <c r="G122" s="404" t="s">
        <v>457</v>
      </c>
      <c r="H122" s="394"/>
      <c r="I122" s="401"/>
      <c r="J122" s="401"/>
      <c r="K122" s="405">
        <f>K110</f>
        <v>0</v>
      </c>
      <c r="L122" s="12"/>
      <c r="M122" s="404" t="s">
        <v>457</v>
      </c>
      <c r="N122" s="394"/>
      <c r="O122" s="401"/>
      <c r="P122" s="401"/>
      <c r="Q122" s="405">
        <f>Q110</f>
        <v>0</v>
      </c>
      <c r="R122" s="12"/>
      <c r="S122" s="327"/>
      <c r="T122" s="286"/>
      <c r="U122" s="326"/>
      <c r="V122" s="326"/>
      <c r="W122" s="286"/>
    </row>
    <row r="123" spans="1:23" ht="12.6">
      <c r="A123" s="404" t="s">
        <v>458</v>
      </c>
      <c r="B123" s="401"/>
      <c r="C123" s="401"/>
      <c r="D123" s="401"/>
      <c r="E123" s="405">
        <f>Assumptions!$L$44*E117</f>
        <v>0</v>
      </c>
      <c r="F123" s="12"/>
      <c r="G123" s="404" t="s">
        <v>458</v>
      </c>
      <c r="H123" s="401"/>
      <c r="I123" s="401"/>
      <c r="J123" s="401"/>
      <c r="K123" s="405">
        <f>Assumptions!$L$44*K117</f>
        <v>0</v>
      </c>
      <c r="L123" s="12"/>
      <c r="M123" s="404" t="s">
        <v>458</v>
      </c>
      <c r="N123" s="401"/>
      <c r="O123" s="401"/>
      <c r="P123" s="401"/>
      <c r="Q123" s="405">
        <f>Assumptions!$L$44*Q117</f>
        <v>0</v>
      </c>
      <c r="R123" s="12"/>
      <c r="S123" s="327"/>
      <c r="T123" s="326"/>
      <c r="U123" s="326"/>
      <c r="V123" s="326"/>
      <c r="W123" s="286"/>
    </row>
    <row r="124" spans="1:23" ht="13.5" thickBot="1">
      <c r="A124" s="84" t="s">
        <v>459</v>
      </c>
      <c r="B124" s="72"/>
      <c r="C124" s="87"/>
      <c r="D124" s="406"/>
      <c r="E124" s="73">
        <f>SUM(E120:E123)</f>
        <v>0</v>
      </c>
      <c r="F124" s="12"/>
      <c r="G124" s="84" t="s">
        <v>459</v>
      </c>
      <c r="H124" s="72"/>
      <c r="I124" s="87"/>
      <c r="J124" s="406"/>
      <c r="K124" s="73">
        <f>SUM(K120:K123)</f>
        <v>0</v>
      </c>
      <c r="L124" s="12"/>
      <c r="M124" s="84" t="s">
        <v>459</v>
      </c>
      <c r="N124" s="72"/>
      <c r="O124" s="87"/>
      <c r="P124" s="406"/>
      <c r="Q124" s="73">
        <f>SUM(Q120:Q123)</f>
        <v>0</v>
      </c>
      <c r="R124" s="12"/>
      <c r="S124" s="328"/>
      <c r="T124" s="167"/>
      <c r="U124" s="167"/>
      <c r="V124" s="167"/>
      <c r="W124" s="167"/>
    </row>
    <row r="125" spans="1:23" ht="14.1" thickTop="1" thickBot="1">
      <c r="A125" s="27">
        <v>0.05</v>
      </c>
      <c r="B125" s="74"/>
      <c r="C125" s="88"/>
      <c r="D125" s="94"/>
      <c r="E125" s="79">
        <f>-A125*E117</f>
        <v>0</v>
      </c>
      <c r="F125" s="12"/>
      <c r="G125" s="27">
        <v>0.05</v>
      </c>
      <c r="H125" s="74"/>
      <c r="I125" s="88"/>
      <c r="J125" s="94"/>
      <c r="K125" s="79">
        <f>-G125*K117</f>
        <v>0</v>
      </c>
      <c r="L125" s="12"/>
      <c r="M125" s="27">
        <v>0.05</v>
      </c>
      <c r="N125" s="74"/>
      <c r="O125" s="88"/>
      <c r="P125" s="94"/>
      <c r="Q125" s="79">
        <f>-M125*Q117</f>
        <v>0</v>
      </c>
      <c r="R125" s="12"/>
      <c r="S125" s="329"/>
      <c r="T125" s="286"/>
      <c r="U125" s="286"/>
      <c r="V125" s="286"/>
      <c r="W125" s="286"/>
    </row>
    <row r="126" spans="1:23" ht="14.1" thickTop="1" thickBot="1">
      <c r="A126" s="1016" t="s">
        <v>460</v>
      </c>
      <c r="B126" s="14"/>
      <c r="C126" s="1017"/>
      <c r="D126" s="93"/>
      <c r="E126" s="1018">
        <f>E117+E124+E125</f>
        <v>0</v>
      </c>
      <c r="F126" s="12"/>
      <c r="G126" s="1016" t="s">
        <v>460</v>
      </c>
      <c r="H126" s="14"/>
      <c r="I126" s="1017"/>
      <c r="J126" s="93"/>
      <c r="K126" s="1018">
        <f>K117+K124+K125</f>
        <v>0</v>
      </c>
      <c r="L126" s="12"/>
      <c r="M126" s="1016" t="s">
        <v>460</v>
      </c>
      <c r="N126" s="14"/>
      <c r="O126" s="1017"/>
      <c r="P126" s="93"/>
      <c r="Q126" s="1018">
        <f>Q117+Q124+Q125</f>
        <v>0</v>
      </c>
      <c r="R126" s="12"/>
      <c r="S126" s="330"/>
      <c r="T126" s="167"/>
      <c r="U126" s="331"/>
      <c r="V126" s="331"/>
      <c r="W126" s="167"/>
    </row>
    <row r="127" spans="1:23" ht="13.5" thickBot="1">
      <c r="A127" s="6" t="s">
        <v>461</v>
      </c>
      <c r="B127" s="78" t="s">
        <v>462</v>
      </c>
      <c r="C127" s="78"/>
      <c r="D127" s="78"/>
      <c r="E127" s="15" t="s">
        <v>463</v>
      </c>
      <c r="F127" s="12"/>
      <c r="G127" s="6" t="s">
        <v>461</v>
      </c>
      <c r="H127" s="78" t="s">
        <v>462</v>
      </c>
      <c r="I127" s="78"/>
      <c r="J127" s="78"/>
      <c r="K127" s="15" t="s">
        <v>463</v>
      </c>
      <c r="L127" s="12"/>
      <c r="M127" s="6" t="s">
        <v>461</v>
      </c>
      <c r="N127" s="78" t="s">
        <v>462</v>
      </c>
      <c r="O127" s="78"/>
      <c r="P127" s="78"/>
      <c r="Q127" s="15" t="s">
        <v>463</v>
      </c>
      <c r="R127" s="12"/>
      <c r="S127" s="123"/>
      <c r="T127" s="124"/>
      <c r="U127" s="124"/>
      <c r="V127" s="124"/>
      <c r="W127" s="124"/>
    </row>
    <row r="128" spans="1:23" ht="13.5" thickBot="1">
      <c r="A128" s="97" t="s">
        <v>464</v>
      </c>
      <c r="B128" s="90"/>
      <c r="C128" s="16"/>
      <c r="D128" s="16"/>
      <c r="E128" s="98">
        <f>-0.3*E117</f>
        <v>0</v>
      </c>
      <c r="F128" s="12"/>
      <c r="G128" s="97" t="s">
        <v>464</v>
      </c>
      <c r="H128" s="90"/>
      <c r="I128" s="16"/>
      <c r="J128" s="16"/>
      <c r="K128" s="98">
        <f>-0.3*K117</f>
        <v>0</v>
      </c>
      <c r="L128" s="12"/>
      <c r="M128" s="97" t="s">
        <v>464</v>
      </c>
      <c r="N128" s="90"/>
      <c r="O128" s="16"/>
      <c r="P128" s="16"/>
      <c r="Q128" s="98">
        <f>-0.3*Q117</f>
        <v>0</v>
      </c>
      <c r="R128" s="12"/>
      <c r="S128" s="289"/>
      <c r="T128" s="332"/>
      <c r="U128" s="333"/>
      <c r="V128" s="333"/>
      <c r="W128" s="333"/>
    </row>
    <row r="129" spans="1:25" ht="13.5" thickBot="1">
      <c r="A129" s="1019" t="s">
        <v>465</v>
      </c>
      <c r="B129" s="81"/>
      <c r="C129" s="81"/>
      <c r="D129" s="81"/>
      <c r="E129" s="1020">
        <f>E126+E128</f>
        <v>0</v>
      </c>
      <c r="F129" s="12"/>
      <c r="G129" s="1019" t="s">
        <v>465</v>
      </c>
      <c r="H129" s="81"/>
      <c r="I129" s="81"/>
      <c r="J129" s="81"/>
      <c r="K129" s="1020">
        <f>K126+K128</f>
        <v>0</v>
      </c>
      <c r="L129" s="12"/>
      <c r="M129" s="1019" t="s">
        <v>465</v>
      </c>
      <c r="N129" s="81"/>
      <c r="O129" s="81"/>
      <c r="P129" s="81"/>
      <c r="Q129" s="1020">
        <f>Q126+Q128</f>
        <v>0</v>
      </c>
      <c r="R129" s="12"/>
      <c r="S129" s="118"/>
      <c r="T129" s="334"/>
      <c r="U129" s="334"/>
      <c r="V129" s="334"/>
      <c r="W129" s="335"/>
    </row>
    <row r="130" spans="1:25" ht="12.6">
      <c r="F130" s="12"/>
      <c r="L130" s="12"/>
      <c r="R130" s="12"/>
    </row>
    <row r="131" spans="1:25" ht="12.95">
      <c r="A131" s="734" t="s">
        <v>383</v>
      </c>
      <c r="B131" s="734"/>
      <c r="C131" s="734"/>
      <c r="F131" s="12"/>
      <c r="G131" s="734" t="s">
        <v>383</v>
      </c>
      <c r="H131" s="734"/>
      <c r="I131" s="734"/>
      <c r="L131" s="12"/>
      <c r="M131" s="734" t="s">
        <v>383</v>
      </c>
      <c r="N131" s="734"/>
      <c r="O131" s="734"/>
      <c r="R131" s="12"/>
      <c r="S131" s="274"/>
      <c r="T131" s="274"/>
      <c r="U131" s="274"/>
    </row>
    <row r="132" spans="1:25" ht="12.95">
      <c r="A132" s="735"/>
      <c r="B132" s="736" t="s">
        <v>466</v>
      </c>
      <c r="C132" s="736" t="s">
        <v>467</v>
      </c>
      <c r="F132" s="83"/>
      <c r="G132" s="735"/>
      <c r="H132" s="736" t="s">
        <v>466</v>
      </c>
      <c r="I132" s="736" t="s">
        <v>467</v>
      </c>
      <c r="L132" s="83"/>
      <c r="M132" s="735"/>
      <c r="N132" s="736" t="s">
        <v>466</v>
      </c>
      <c r="O132" s="736" t="s">
        <v>467</v>
      </c>
      <c r="R132" s="83"/>
      <c r="S132" s="274"/>
      <c r="T132" s="282"/>
      <c r="U132" s="282"/>
    </row>
    <row r="133" spans="1:25" ht="12.75" customHeight="1">
      <c r="A133" s="737" t="s">
        <v>387</v>
      </c>
      <c r="B133" s="738">
        <f>IFERROR(INDEX(Assumptions!$D$4:$E$16,MATCH('1-A Financial'!B$34,Assumptions!$D$4:$D$16,0),2),0)</f>
        <v>290</v>
      </c>
      <c r="C133" s="739">
        <f>B133*D34</f>
        <v>317800502</v>
      </c>
      <c r="F133" s="12"/>
      <c r="G133" s="737" t="s">
        <v>387</v>
      </c>
      <c r="H133" s="738">
        <f>IFERROR(INDEX(Assumptions!$D$4:$E$16,MATCH('1-A Financial'!H$34,Assumptions!$D$4:$D$16,0),2),0)</f>
        <v>0</v>
      </c>
      <c r="I133" s="739">
        <f>H133*J34</f>
        <v>0</v>
      </c>
      <c r="L133" s="12"/>
      <c r="M133" s="737" t="s">
        <v>387</v>
      </c>
      <c r="N133" s="738">
        <f>IFERROR(INDEX(Assumptions!$D$4:$E$16,MATCH('1-A Financial'!N$34,Assumptions!$D$4:$D$16,0),2),0)</f>
        <v>0</v>
      </c>
      <c r="O133" s="739">
        <f>N133*P34</f>
        <v>0</v>
      </c>
      <c r="R133" s="12"/>
      <c r="S133" s="177"/>
      <c r="T133" s="336"/>
      <c r="U133" s="286"/>
    </row>
    <row r="134" spans="1:25" ht="12.75" customHeight="1">
      <c r="A134" s="737" t="s">
        <v>77</v>
      </c>
      <c r="B134" s="562">
        <f>Assumptions!$E$19</f>
        <v>0.05</v>
      </c>
      <c r="C134" s="740">
        <f>B134*C133</f>
        <v>15890025.100000001</v>
      </c>
      <c r="F134" s="12"/>
      <c r="G134" s="737" t="s">
        <v>77</v>
      </c>
      <c r="H134" s="562">
        <f>Assumptions!$E$19</f>
        <v>0.05</v>
      </c>
      <c r="I134" s="740">
        <f>H134*I133</f>
        <v>0</v>
      </c>
      <c r="L134" s="12"/>
      <c r="M134" s="737" t="s">
        <v>77</v>
      </c>
      <c r="N134" s="562">
        <f>Assumptions!$E$19</f>
        <v>0.05</v>
      </c>
      <c r="O134" s="740">
        <f>N134*O133</f>
        <v>0</v>
      </c>
      <c r="R134" s="12"/>
      <c r="S134" s="177"/>
      <c r="T134" s="337"/>
      <c r="U134" s="290"/>
      <c r="Y134" s="12"/>
    </row>
    <row r="135" spans="1:25" ht="12.75" customHeight="1">
      <c r="A135" s="737" t="s">
        <v>389</v>
      </c>
      <c r="B135" s="407" t="s">
        <v>101</v>
      </c>
      <c r="C135" s="741">
        <v>0</v>
      </c>
      <c r="F135" s="12"/>
      <c r="G135" s="737" t="s">
        <v>389</v>
      </c>
      <c r="H135" s="407" t="s">
        <v>101</v>
      </c>
      <c r="I135" s="741">
        <v>0</v>
      </c>
      <c r="L135" s="12"/>
      <c r="M135" s="737" t="s">
        <v>389</v>
      </c>
      <c r="N135" s="407" t="s">
        <v>101</v>
      </c>
      <c r="O135" s="741">
        <v>0</v>
      </c>
      <c r="R135" s="12"/>
      <c r="S135" s="177"/>
      <c r="T135" s="338"/>
      <c r="U135" s="339"/>
      <c r="Y135" s="12"/>
    </row>
    <row r="136" spans="1:25" ht="12.75" customHeight="1">
      <c r="A136" s="737" t="s">
        <v>391</v>
      </c>
      <c r="B136" s="748" t="s">
        <v>468</v>
      </c>
      <c r="C136" s="739">
        <f>IF(C133=0,0,INDEX('Development Program'!$C$58:$L$62,5,MATCH($D$2,'Development Program'!$C$58:$L$58,0))/INDEX('Development Program'!$L$9:$M$18,MATCH($D$2,'Development Program'!$L$9:$L$18,0),2))</f>
        <v>808909.2</v>
      </c>
      <c r="F136" s="12"/>
      <c r="G136" s="737" t="s">
        <v>391</v>
      </c>
      <c r="H136" s="748" t="s">
        <v>468</v>
      </c>
      <c r="I136" s="739">
        <f>IF(I133=0,0,INDEX('Development Program'!$C$58:$L$62,5,MATCH($D$2,'Development Program'!$C$58:$L$58,0))/INDEX('Development Program'!$L$9:$M$18,MATCH($D$2,'Development Program'!$L$9:$L$18,0),2))</f>
        <v>0</v>
      </c>
      <c r="L136" s="12"/>
      <c r="M136" s="737" t="s">
        <v>391</v>
      </c>
      <c r="N136" s="748" t="s">
        <v>468</v>
      </c>
      <c r="O136" s="739">
        <f>IF(O133=0,0,INDEX('Development Program'!$C$58:$L$62,5,MATCH($D$2,'Development Program'!$C$58:$L$58,0))/INDEX('Development Program'!$L$9:$M$18,MATCH($D$2,'Development Program'!$L$9:$L$18,0),2))</f>
        <v>0</v>
      </c>
      <c r="R136" s="12"/>
      <c r="S136" s="177"/>
      <c r="T136" s="340"/>
      <c r="U136" s="179"/>
    </row>
    <row r="137" spans="1:25" ht="12.75" customHeight="1">
      <c r="A137" s="426" t="s">
        <v>16</v>
      </c>
      <c r="B137" s="748" t="s">
        <v>468</v>
      </c>
      <c r="C137" s="739">
        <f>IF(C133=0,0,INDEX('Development Program'!$D$40:$M$55,16,MATCH($D$2,'Development Program'!$D$40:$M$40,0))/INDEX('Development Program'!$L$9:$M$18,MATCH($D$2,'Development Program'!$L$9:$L$18,0),2))</f>
        <v>14730000</v>
      </c>
      <c r="F137" s="12"/>
      <c r="G137" s="426" t="s">
        <v>16</v>
      </c>
      <c r="H137" s="748" t="s">
        <v>468</v>
      </c>
      <c r="I137" s="739">
        <f>IF(I133=0,0,INDEX('Development Program'!$D$40:$M$55,16,MATCH($D$2,'Development Program'!$D$40:$M$40,0))/INDEX('Development Program'!$L$9:$M$18,MATCH($D$2,'Development Program'!$L$9:$L$18,0),2))</f>
        <v>0</v>
      </c>
      <c r="L137" s="12"/>
      <c r="M137" s="426" t="s">
        <v>16</v>
      </c>
      <c r="N137" s="748" t="s">
        <v>468</v>
      </c>
      <c r="O137" s="739">
        <f>IF(O133=0,0,INDEX('Development Program'!$D$40:$M$55,16,MATCH($D$2,'Development Program'!$D$40:$M$40,0))/INDEX('Development Program'!$L$9:$M$18,MATCH($D$2,'Development Program'!$L$9:$L$18,0),2))</f>
        <v>0</v>
      </c>
      <c r="R137" s="12"/>
    </row>
    <row r="138" spans="1:25" ht="12.75" customHeight="1">
      <c r="A138" s="737" t="s">
        <v>79</v>
      </c>
      <c r="B138" s="409">
        <f>Assumptions!$E$20</f>
        <v>0.02</v>
      </c>
      <c r="C138" s="739">
        <f>B138*(C$133)</f>
        <v>6356010.04</v>
      </c>
      <c r="F138" s="12"/>
      <c r="G138" s="737" t="s">
        <v>79</v>
      </c>
      <c r="H138" s="409">
        <f>Assumptions!$E$20</f>
        <v>0.02</v>
      </c>
      <c r="I138" s="739">
        <f>H138*(I$133)</f>
        <v>0</v>
      </c>
      <c r="L138" s="12"/>
      <c r="M138" s="737" t="s">
        <v>79</v>
      </c>
      <c r="N138" s="409">
        <f>Assumptions!$E$20</f>
        <v>0.02</v>
      </c>
      <c r="O138" s="739">
        <f>N138*(O$133)</f>
        <v>0</v>
      </c>
      <c r="R138" s="12"/>
      <c r="S138" s="177"/>
      <c r="T138" s="341"/>
      <c r="U138" s="286"/>
    </row>
    <row r="139" spans="1:25" ht="12.75" customHeight="1">
      <c r="A139" s="730" t="s">
        <v>83</v>
      </c>
      <c r="B139" s="409">
        <f>Assumptions!$E$22</f>
        <v>1.4999999999999999E-2</v>
      </c>
      <c r="C139" s="739">
        <f>B139*(C$133)</f>
        <v>4767007.53</v>
      </c>
      <c r="F139" s="12"/>
      <c r="G139" s="730" t="s">
        <v>83</v>
      </c>
      <c r="H139" s="409">
        <f>Assumptions!$E$22</f>
        <v>1.4999999999999999E-2</v>
      </c>
      <c r="I139" s="739">
        <f>H139*(I$133)</f>
        <v>0</v>
      </c>
      <c r="L139" s="12"/>
      <c r="M139" s="730" t="s">
        <v>83</v>
      </c>
      <c r="N139" s="409">
        <f>Assumptions!$E$22</f>
        <v>1.4999999999999999E-2</v>
      </c>
      <c r="O139" s="739">
        <f>N139*(O$133)</f>
        <v>0</v>
      </c>
      <c r="R139" s="12"/>
      <c r="S139" s="12"/>
      <c r="T139" s="341"/>
      <c r="U139" s="286"/>
    </row>
    <row r="140" spans="1:25" ht="12.75" customHeight="1">
      <c r="A140" s="730" t="s">
        <v>84</v>
      </c>
      <c r="B140" s="564">
        <f>Assumptions!$E$23</f>
        <v>2.5000000000000001E-2</v>
      </c>
      <c r="C140" s="739">
        <f>IF(D34=0,0,B140*$B$10)</f>
        <v>20222.73</v>
      </c>
      <c r="F140" s="12"/>
      <c r="G140" s="730" t="s">
        <v>84</v>
      </c>
      <c r="H140" s="564">
        <f>Assumptions!$E$23</f>
        <v>2.5000000000000001E-2</v>
      </c>
      <c r="I140" s="739">
        <f>IF(J34=0,0,H140*$B$10)</f>
        <v>0</v>
      </c>
      <c r="L140" s="12"/>
      <c r="M140" s="730" t="s">
        <v>84</v>
      </c>
      <c r="N140" s="564">
        <f>Assumptions!$E$23</f>
        <v>2.5000000000000001E-2</v>
      </c>
      <c r="O140" s="739">
        <f>IF(P34=0,0,N140*$B$10)</f>
        <v>0</v>
      </c>
      <c r="R140" s="12"/>
      <c r="S140" s="12"/>
      <c r="T140" s="26"/>
      <c r="U140" s="339"/>
    </row>
    <row r="141" spans="1:25" ht="12.75" customHeight="1">
      <c r="A141" s="730" t="s">
        <v>85</v>
      </c>
      <c r="B141" s="409">
        <f>Assumptions!$E$24</f>
        <v>0.02</v>
      </c>
      <c r="C141" s="739">
        <f>B141*(C133)</f>
        <v>6356010.04</v>
      </c>
      <c r="F141" s="12"/>
      <c r="G141" s="730" t="s">
        <v>85</v>
      </c>
      <c r="H141" s="409">
        <f>Assumptions!$E$24</f>
        <v>0.02</v>
      </c>
      <c r="I141" s="739">
        <f>H141*(I133)</f>
        <v>0</v>
      </c>
      <c r="L141" s="12"/>
      <c r="M141" s="730" t="s">
        <v>85</v>
      </c>
      <c r="N141" s="409">
        <f>Assumptions!$E$24</f>
        <v>0.02</v>
      </c>
      <c r="O141" s="739">
        <f>N141*(O133)</f>
        <v>0</v>
      </c>
      <c r="R141" s="12"/>
      <c r="S141" s="12"/>
      <c r="T141" s="341"/>
      <c r="U141" s="286"/>
    </row>
    <row r="142" spans="1:25" ht="12.75" customHeight="1">
      <c r="A142" s="730" t="s">
        <v>86</v>
      </c>
      <c r="B142" s="409">
        <f>Assumptions!$E$25</f>
        <v>3.5000000000000003E-2</v>
      </c>
      <c r="C142" s="739">
        <f>B142*(C133)</f>
        <v>11123017.57</v>
      </c>
      <c r="F142" s="12"/>
      <c r="G142" s="730" t="s">
        <v>86</v>
      </c>
      <c r="H142" s="409">
        <f>Assumptions!$E$25</f>
        <v>3.5000000000000003E-2</v>
      </c>
      <c r="I142" s="739">
        <f>H142*(I133)</f>
        <v>0</v>
      </c>
      <c r="L142" s="12"/>
      <c r="M142" s="730" t="s">
        <v>86</v>
      </c>
      <c r="N142" s="409">
        <f>Assumptions!$E$25</f>
        <v>3.5000000000000003E-2</v>
      </c>
      <c r="O142" s="739">
        <f>N142*(O133)</f>
        <v>0</v>
      </c>
      <c r="R142" s="12"/>
      <c r="S142" s="12"/>
      <c r="T142" s="341"/>
      <c r="U142" s="286"/>
    </row>
    <row r="143" spans="1:25" ht="12.75" customHeight="1">
      <c r="A143" s="730" t="s">
        <v>88</v>
      </c>
      <c r="B143" s="409">
        <f>Assumptions!$E$26</f>
        <v>0.02</v>
      </c>
      <c r="C143" s="739">
        <f>B143*(C133)</f>
        <v>6356010.04</v>
      </c>
      <c r="D143" s="276"/>
      <c r="E143" s="275"/>
      <c r="F143" s="12"/>
      <c r="G143" s="730" t="s">
        <v>88</v>
      </c>
      <c r="H143" s="409">
        <f>Assumptions!$E$26</f>
        <v>0.02</v>
      </c>
      <c r="I143" s="739">
        <f>H143*(I133)</f>
        <v>0</v>
      </c>
      <c r="J143" s="276"/>
      <c r="K143" s="275"/>
      <c r="L143" s="12"/>
      <c r="M143" s="730" t="s">
        <v>88</v>
      </c>
      <c r="N143" s="409">
        <f>Assumptions!$E$26</f>
        <v>0.02</v>
      </c>
      <c r="O143" s="739">
        <f>N143*(O133)</f>
        <v>0</v>
      </c>
      <c r="P143" s="276"/>
      <c r="Q143" s="275"/>
      <c r="R143" s="12"/>
      <c r="S143" s="12"/>
      <c r="T143" s="341"/>
      <c r="U143" s="286"/>
      <c r="V143" s="276"/>
      <c r="W143" s="275"/>
    </row>
    <row r="144" spans="1:25" ht="12.75" customHeight="1">
      <c r="A144" s="730" t="s">
        <v>93</v>
      </c>
      <c r="B144" s="409">
        <f>Assumptions!$E$27</f>
        <v>0.05</v>
      </c>
      <c r="C144" s="739">
        <f>B144*C133</f>
        <v>15890025.100000001</v>
      </c>
      <c r="D144" s="276"/>
      <c r="E144" s="275"/>
      <c r="F144" s="12"/>
      <c r="G144" s="730" t="s">
        <v>93</v>
      </c>
      <c r="H144" s="409">
        <f>Assumptions!$E$27</f>
        <v>0.05</v>
      </c>
      <c r="I144" s="739">
        <f>H144*I133</f>
        <v>0</v>
      </c>
      <c r="J144" s="276"/>
      <c r="K144" s="275"/>
      <c r="L144" s="12"/>
      <c r="M144" s="730" t="s">
        <v>93</v>
      </c>
      <c r="N144" s="409">
        <f>Assumptions!$E$27</f>
        <v>0.05</v>
      </c>
      <c r="O144" s="739">
        <f>N144*O133</f>
        <v>0</v>
      </c>
      <c r="P144" s="276"/>
      <c r="Q144" s="275"/>
      <c r="R144" s="12"/>
      <c r="S144" s="12"/>
      <c r="T144" s="342"/>
      <c r="U144" s="286"/>
      <c r="V144" s="276"/>
      <c r="W144" s="275"/>
    </row>
    <row r="145" spans="1:23" ht="12.75" customHeight="1">
      <c r="A145" s="730" t="s">
        <v>97</v>
      </c>
      <c r="B145" s="409">
        <f>Assumptions!$E$28</f>
        <v>1.4999999999999999E-2</v>
      </c>
      <c r="C145" s="739">
        <f>B145*C133</f>
        <v>4767007.53</v>
      </c>
      <c r="D145" s="276"/>
      <c r="E145" s="275"/>
      <c r="F145" s="12"/>
      <c r="G145" s="730" t="s">
        <v>97</v>
      </c>
      <c r="H145" s="409">
        <f>Assumptions!$E$28</f>
        <v>1.4999999999999999E-2</v>
      </c>
      <c r="I145" s="739">
        <f>H145*I133</f>
        <v>0</v>
      </c>
      <c r="J145" s="276"/>
      <c r="K145" s="275"/>
      <c r="L145" s="12"/>
      <c r="M145" s="730" t="s">
        <v>97</v>
      </c>
      <c r="N145" s="409">
        <f>Assumptions!$E$28</f>
        <v>1.4999999999999999E-2</v>
      </c>
      <c r="O145" s="739">
        <f>N145*O133</f>
        <v>0</v>
      </c>
      <c r="P145" s="276"/>
      <c r="Q145" s="275"/>
      <c r="R145" s="12"/>
      <c r="S145" s="12"/>
      <c r="T145" s="341"/>
      <c r="U145" s="286"/>
      <c r="V145" s="276"/>
      <c r="W145" s="275"/>
    </row>
    <row r="146" spans="1:23" ht="12.75" customHeight="1">
      <c r="A146" s="730" t="s">
        <v>100</v>
      </c>
      <c r="B146" s="410" t="s">
        <v>101</v>
      </c>
      <c r="C146" s="741">
        <v>0</v>
      </c>
      <c r="F146" s="12"/>
      <c r="G146" s="730" t="s">
        <v>100</v>
      </c>
      <c r="H146" s="410" t="s">
        <v>101</v>
      </c>
      <c r="I146" s="741">
        <v>0</v>
      </c>
      <c r="L146" s="12"/>
      <c r="M146" s="730" t="s">
        <v>100</v>
      </c>
      <c r="N146" s="410" t="s">
        <v>101</v>
      </c>
      <c r="O146" s="741">
        <v>0</v>
      </c>
      <c r="R146" s="12"/>
      <c r="S146" s="12"/>
      <c r="T146" s="26"/>
      <c r="U146" s="339"/>
    </row>
    <row r="147" spans="1:23" ht="12.75" customHeight="1">
      <c r="A147" s="730" t="s">
        <v>103</v>
      </c>
      <c r="B147" s="411">
        <f>Assumptions!$E$30</f>
        <v>6</v>
      </c>
      <c r="C147" s="739">
        <f>-B147*(E128/6)</f>
        <v>0</v>
      </c>
      <c r="F147" s="12"/>
      <c r="G147" s="730" t="s">
        <v>103</v>
      </c>
      <c r="H147" s="411">
        <f>Assumptions!$E$30</f>
        <v>6</v>
      </c>
      <c r="I147" s="739">
        <f>-H147*(K128/6)</f>
        <v>0</v>
      </c>
      <c r="L147" s="12"/>
      <c r="M147" s="730" t="s">
        <v>103</v>
      </c>
      <c r="N147" s="411">
        <f>Assumptions!$E$30</f>
        <v>6</v>
      </c>
      <c r="O147" s="739">
        <f>-N147*(Q128/6)</f>
        <v>0</v>
      </c>
      <c r="R147" s="12"/>
      <c r="S147" s="12"/>
      <c r="T147" s="343"/>
      <c r="U147" s="286"/>
    </row>
    <row r="148" spans="1:23" ht="12.75" customHeight="1">
      <c r="A148" s="730" t="s">
        <v>106</v>
      </c>
      <c r="B148" s="742">
        <f>Assumptions!$E$31</f>
        <v>30</v>
      </c>
      <c r="C148" s="739">
        <f>B148*SUM(C93,C97)</f>
        <v>0</v>
      </c>
      <c r="G148" s="730" t="s">
        <v>106</v>
      </c>
      <c r="H148" s="742">
        <f>Assumptions!$E$31</f>
        <v>30</v>
      </c>
      <c r="I148" s="739">
        <f>H148*SUM(I93,I97)</f>
        <v>0</v>
      </c>
      <c r="L148" s="12"/>
      <c r="M148" s="730" t="s">
        <v>106</v>
      </c>
      <c r="N148" s="742">
        <f>Assumptions!$E$31</f>
        <v>30</v>
      </c>
      <c r="O148" s="739">
        <f>N148*SUM(O93,O97)</f>
        <v>0</v>
      </c>
      <c r="R148" s="12"/>
      <c r="S148" s="12"/>
      <c r="T148" s="303"/>
      <c r="U148" s="286"/>
    </row>
    <row r="149" spans="1:23" ht="12.75" customHeight="1">
      <c r="A149" s="730" t="s">
        <v>403</v>
      </c>
      <c r="B149" s="563">
        <f>Assumptions!$E$32</f>
        <v>0.03</v>
      </c>
      <c r="C149" s="731">
        <f>B149*SUM(E93,E97)</f>
        <v>0</v>
      </c>
      <c r="G149" s="730" t="s">
        <v>403</v>
      </c>
      <c r="H149" s="563">
        <f>Assumptions!$E$32</f>
        <v>0.03</v>
      </c>
      <c r="I149" s="731">
        <f>H149*SUM(K93,K97)</f>
        <v>0</v>
      </c>
      <c r="M149" s="730" t="s">
        <v>403</v>
      </c>
      <c r="N149" s="563">
        <f>Assumptions!$E$32</f>
        <v>0.03</v>
      </c>
      <c r="O149" s="731">
        <f>N149*SUM(Q93,Q97)</f>
        <v>0</v>
      </c>
      <c r="S149" s="12"/>
      <c r="T149" s="344"/>
      <c r="U149" s="345"/>
    </row>
    <row r="150" spans="1:23" ht="12.75" customHeight="1">
      <c r="A150" s="730" t="s">
        <v>112</v>
      </c>
      <c r="B150" s="732">
        <f>Assumptions!$E$33</f>
        <v>1.4999999999999999E-2</v>
      </c>
      <c r="C150" s="733">
        <f>B150*SUM(C138:C149,C135,C152,C153)</f>
        <v>1217029.6587000003</v>
      </c>
      <c r="D150" s="18"/>
      <c r="E150" s="18"/>
      <c r="G150" s="730" t="s">
        <v>112</v>
      </c>
      <c r="H150" s="732">
        <f>Assumptions!$E$33</f>
        <v>1.4999999999999999E-2</v>
      </c>
      <c r="I150" s="733">
        <f>H150*SUM(I138:I149,I135,I152,I153)</f>
        <v>0</v>
      </c>
      <c r="J150" s="18"/>
      <c r="K150" s="18"/>
      <c r="M150" s="730" t="s">
        <v>112</v>
      </c>
      <c r="N150" s="732">
        <f>Assumptions!$E$33</f>
        <v>1.4999999999999999E-2</v>
      </c>
      <c r="O150" s="733">
        <f>N150*SUM(O138:O149,O135,O152,O153)</f>
        <v>0</v>
      </c>
      <c r="P150" s="18"/>
      <c r="Q150" s="18"/>
      <c r="S150" s="12"/>
      <c r="T150" s="346"/>
      <c r="U150" s="339"/>
      <c r="V150" s="347"/>
      <c r="W150" s="347"/>
    </row>
    <row r="151" spans="1:23" ht="12.75" customHeight="1">
      <c r="A151" s="730" t="s">
        <v>165</v>
      </c>
      <c r="B151" s="732" t="s">
        <v>468</v>
      </c>
      <c r="C151" s="733">
        <f>IF(C133=0,0,-INDEX('Development Program'!$C$30:$L$37,8,MATCH($D$2,'Development Program'!$C$30:$L$30,0))/INDEX('Development Program'!$L$9:$M$18,MATCH($D$2,'Development Program'!$L$9:$L$18,0),2))</f>
        <v>-3500000</v>
      </c>
      <c r="D151" s="18"/>
      <c r="E151" s="18"/>
      <c r="G151" s="730" t="s">
        <v>165</v>
      </c>
      <c r="H151" s="732" t="s">
        <v>468</v>
      </c>
      <c r="I151" s="733">
        <f>IF(I133=0,0,-INDEX('Development Program'!$C$30:$L$37,8,MATCH($D$2,'Development Program'!$C$30:$L$30,0))/INDEX('Development Program'!$L$9:$M$18,MATCH($D$2,'Development Program'!$L$9:$L$18,0),2))</f>
        <v>0</v>
      </c>
      <c r="J151" s="18"/>
      <c r="K151" s="18"/>
      <c r="M151" s="730" t="s">
        <v>165</v>
      </c>
      <c r="N151" s="732" t="s">
        <v>468</v>
      </c>
      <c r="O151" s="733">
        <f>IF(O133=0,0,-INDEX('Development Program'!$C$30:$L$37,8,MATCH($D$2,'Development Program'!$C$30:$L$30,0))/INDEX('Development Program'!$L$9:$M$18,MATCH($D$2,'Development Program'!$L$9:$L$18,0),2))</f>
        <v>0</v>
      </c>
      <c r="P151" s="18"/>
      <c r="Q151" s="18"/>
      <c r="S151" s="12"/>
      <c r="T151" s="346"/>
      <c r="U151" s="339"/>
      <c r="V151" s="347"/>
      <c r="W151" s="347"/>
    </row>
    <row r="152" spans="1:23" ht="12.75" customHeight="1">
      <c r="A152" s="426" t="s">
        <v>38</v>
      </c>
      <c r="B152" s="732">
        <f>Assumptions!$L$5</f>
        <v>5.0000000000000001E-3</v>
      </c>
      <c r="C152" s="741">
        <v>1500000</v>
      </c>
      <c r="D152" s="18">
        <f>C152/B$157</f>
        <v>5.0057191412898683E-3</v>
      </c>
      <c r="E152" s="18"/>
      <c r="G152" s="426" t="s">
        <v>38</v>
      </c>
      <c r="H152" s="732">
        <f>Assumptions!$L$5</f>
        <v>5.0000000000000001E-3</v>
      </c>
      <c r="I152" s="741">
        <v>0</v>
      </c>
      <c r="J152" s="18" t="e">
        <f>I152/H$157</f>
        <v>#DIV/0!</v>
      </c>
      <c r="K152" s="18"/>
      <c r="M152" s="426" t="s">
        <v>38</v>
      </c>
      <c r="N152" s="732">
        <f>Assumptions!$L$5</f>
        <v>5.0000000000000001E-3</v>
      </c>
      <c r="O152" s="741">
        <v>0</v>
      </c>
      <c r="P152" s="18" t="e">
        <f>O152/N$157</f>
        <v>#DIV/0!</v>
      </c>
      <c r="Q152" s="18"/>
      <c r="S152" s="12"/>
      <c r="T152" s="346"/>
      <c r="U152" s="339"/>
      <c r="V152" s="347"/>
      <c r="W152" s="347"/>
    </row>
    <row r="153" spans="1:23" ht="12.75" customHeight="1">
      <c r="A153" s="426" t="s">
        <v>407</v>
      </c>
      <c r="B153" s="732">
        <f>Assumptions!$L$4</f>
        <v>0.08</v>
      </c>
      <c r="C153" s="741">
        <v>24000000</v>
      </c>
      <c r="D153" s="18">
        <f>C153/B$157</f>
        <v>8.0091506260637893E-2</v>
      </c>
      <c r="E153" s="18"/>
      <c r="G153" s="426" t="s">
        <v>407</v>
      </c>
      <c r="H153" s="732">
        <f>Assumptions!$L$4</f>
        <v>0.08</v>
      </c>
      <c r="I153" s="741">
        <v>0</v>
      </c>
      <c r="J153" s="18" t="e">
        <f>I153/H$157</f>
        <v>#DIV/0!</v>
      </c>
      <c r="K153" s="18"/>
      <c r="M153" s="426" t="s">
        <v>407</v>
      </c>
      <c r="N153" s="732">
        <f>Assumptions!$L$4</f>
        <v>0.08</v>
      </c>
      <c r="O153" s="741">
        <v>0</v>
      </c>
      <c r="P153" s="18" t="e">
        <f>O153/N$157</f>
        <v>#DIV/0!</v>
      </c>
      <c r="Q153" s="18"/>
      <c r="S153" s="12"/>
      <c r="T153" s="346"/>
      <c r="U153" s="339"/>
      <c r="V153" s="347"/>
      <c r="W153" s="347"/>
    </row>
    <row r="154" spans="1:23" ht="12.75" customHeight="1">
      <c r="A154" s="743" t="s">
        <v>408</v>
      </c>
      <c r="B154" s="744"/>
      <c r="C154" s="745">
        <f>SUM(C133:C153)</f>
        <v>428081776.53870004</v>
      </c>
      <c r="D154" s="18"/>
      <c r="E154" s="18"/>
      <c r="G154" s="743" t="s">
        <v>408</v>
      </c>
      <c r="H154" s="744"/>
      <c r="I154" s="745">
        <f>SUM(I133:I153)</f>
        <v>0</v>
      </c>
      <c r="J154" s="18"/>
      <c r="K154" s="18"/>
      <c r="M154" s="743" t="s">
        <v>408</v>
      </c>
      <c r="N154" s="744"/>
      <c r="O154" s="745">
        <f>SUM(O133:O153)</f>
        <v>0</v>
      </c>
      <c r="P154" s="18"/>
      <c r="Q154" s="18"/>
    </row>
    <row r="155" spans="1:23" ht="12.75" customHeight="1" thickBot="1">
      <c r="A155" s="328"/>
      <c r="C155" s="167"/>
      <c r="D155" s="746"/>
      <c r="E155" s="746"/>
      <c r="G155" s="328"/>
      <c r="I155" s="167"/>
      <c r="J155" s="746"/>
      <c r="K155" s="746"/>
      <c r="M155" s="328"/>
      <c r="O155" s="167"/>
      <c r="P155" s="746"/>
      <c r="Q155" s="746"/>
    </row>
    <row r="156" spans="1:23" ht="12.75" customHeight="1">
      <c r="A156" s="1021" t="s">
        <v>23</v>
      </c>
      <c r="B156" s="1022"/>
      <c r="C156" s="167"/>
      <c r="D156" s="18"/>
      <c r="E156" s="18"/>
      <c r="G156" s="1021" t="s">
        <v>23</v>
      </c>
      <c r="H156" s="1022"/>
      <c r="I156" s="167"/>
      <c r="J156" s="18"/>
      <c r="K156" s="18"/>
      <c r="M156" s="1021" t="s">
        <v>23</v>
      </c>
      <c r="N156" s="1022"/>
      <c r="O156" s="167"/>
      <c r="P156" s="18"/>
      <c r="Q156" s="18"/>
    </row>
    <row r="157" spans="1:23" ht="12.75" customHeight="1">
      <c r="A157" s="840">
        <f>IFERROR(INDEX(Assumptions!$J$11:$L$23,MATCH('1-A Financial'!B$34,Assumptions!$J$11:$J$23,0),3),0)</f>
        <v>0.7</v>
      </c>
      <c r="B157" s="747">
        <f>C154*A157</f>
        <v>299657243.57709002</v>
      </c>
      <c r="C157" s="871"/>
      <c r="D157" s="18"/>
      <c r="E157" s="18"/>
      <c r="G157" s="840">
        <f>IFERROR(INDEX(Assumptions!$J$11:$L$23,MATCH('1-A Financial'!H$34,Assumptions!$J$11:$J$23,0),3),0)</f>
        <v>0</v>
      </c>
      <c r="H157" s="747">
        <f>I154*G157</f>
        <v>0</v>
      </c>
      <c r="I157" s="167"/>
      <c r="J157" s="18"/>
      <c r="K157" s="18"/>
      <c r="M157" s="840">
        <f>IFERROR(INDEX(Assumptions!$J$11:$L$23,MATCH('1-A Financial'!N$34,Assumptions!$J$11:$J$23,0),3),0)</f>
        <v>0</v>
      </c>
      <c r="N157" s="747">
        <f>O154*M157</f>
        <v>0</v>
      </c>
      <c r="O157" s="167"/>
      <c r="P157" s="18"/>
      <c r="Q157" s="18"/>
    </row>
    <row r="158" spans="1:23" ht="12.75" customHeight="1">
      <c r="A158" s="841">
        <f>1-A157</f>
        <v>0.30000000000000004</v>
      </c>
      <c r="B158" s="747">
        <f>C154*A158</f>
        <v>128424532.96161003</v>
      </c>
      <c r="G158" s="841">
        <f>1-G157</f>
        <v>1</v>
      </c>
      <c r="H158" s="747">
        <f>I154*G158</f>
        <v>0</v>
      </c>
      <c r="M158" s="841">
        <f>1-M157</f>
        <v>1</v>
      </c>
      <c r="N158" s="747">
        <f>O154*M158</f>
        <v>0</v>
      </c>
      <c r="S158" s="12"/>
      <c r="T158" s="349"/>
      <c r="U158" s="339"/>
      <c r="V158" s="347"/>
      <c r="W158" s="347"/>
    </row>
    <row r="159" spans="1:23" ht="12.75" customHeight="1" thickBot="1">
      <c r="S159" s="12"/>
      <c r="T159" s="349"/>
      <c r="U159" s="339"/>
      <c r="V159" s="347"/>
      <c r="W159" s="347"/>
    </row>
    <row r="160" spans="1:23" ht="13.5" thickBot="1">
      <c r="A160" s="1021" t="s">
        <v>469</v>
      </c>
      <c r="B160" s="1022"/>
      <c r="D160" s="18"/>
      <c r="G160" s="1021" t="s">
        <v>469</v>
      </c>
      <c r="H160" s="1022"/>
      <c r="J160" s="18"/>
      <c r="M160" s="1021" t="s">
        <v>469</v>
      </c>
      <c r="N160" s="1022"/>
      <c r="P160" s="18"/>
      <c r="S160" s="328"/>
      <c r="U160" s="167"/>
    </row>
    <row r="161" spans="1:22" ht="13.5" thickBot="1">
      <c r="A161" s="565" t="s">
        <v>470</v>
      </c>
      <c r="B161" s="566"/>
      <c r="C161" s="12"/>
      <c r="D161" s="346"/>
      <c r="E161" s="339"/>
      <c r="G161" s="565" t="s">
        <v>470</v>
      </c>
      <c r="H161" s="566"/>
      <c r="I161" s="12"/>
      <c r="J161" s="12"/>
      <c r="K161" s="346"/>
      <c r="L161" s="339"/>
      <c r="M161" s="565" t="s">
        <v>470</v>
      </c>
      <c r="N161" s="566"/>
      <c r="O161" s="12"/>
      <c r="P161" s="12"/>
      <c r="Q161" s="346"/>
      <c r="R161" s="339"/>
      <c r="S161" s="274"/>
      <c r="T161" s="274"/>
      <c r="V161" s="347"/>
    </row>
    <row r="162" spans="1:22" ht="12.95">
      <c r="A162" s="358" t="s">
        <v>471</v>
      </c>
      <c r="B162" s="359">
        <f>E63+E80+E101</f>
        <v>547931900</v>
      </c>
      <c r="D162" s="281"/>
      <c r="G162" s="358" t="s">
        <v>471</v>
      </c>
      <c r="H162" s="359">
        <f>K63+K80+K101</f>
        <v>0</v>
      </c>
      <c r="J162" s="281"/>
      <c r="M162" s="358" t="s">
        <v>471</v>
      </c>
      <c r="N162" s="359">
        <f>Q63+Q80+Q101</f>
        <v>0</v>
      </c>
      <c r="P162" s="281"/>
      <c r="S162" s="137"/>
      <c r="T162" s="281"/>
      <c r="V162" s="129"/>
    </row>
    <row r="163" spans="1:22" ht="12.95">
      <c r="A163" s="479">
        <v>0.03</v>
      </c>
      <c r="B163" s="480">
        <f>-B162*A163</f>
        <v>-16437957</v>
      </c>
      <c r="D163" s="167"/>
      <c r="G163" s="479">
        <v>0.03</v>
      </c>
      <c r="H163" s="480">
        <f>-H162*G163</f>
        <v>0</v>
      </c>
      <c r="J163" s="167"/>
      <c r="M163" s="479">
        <v>0.03</v>
      </c>
      <c r="N163" s="480">
        <f>-N162*M163</f>
        <v>0</v>
      </c>
      <c r="P163" s="167"/>
      <c r="S163" s="277"/>
      <c r="T163" s="288"/>
      <c r="V163" s="281"/>
    </row>
    <row r="164" spans="1:22" ht="13.5" thickBot="1">
      <c r="A164" s="414" t="s">
        <v>472</v>
      </c>
      <c r="B164" s="481">
        <f>SUM(B162:B163)</f>
        <v>531493943</v>
      </c>
      <c r="G164" s="414" t="s">
        <v>472</v>
      </c>
      <c r="H164" s="481">
        <f>SUM(H162:H163)</f>
        <v>0</v>
      </c>
      <c r="M164" s="414" t="s">
        <v>472</v>
      </c>
      <c r="N164" s="481">
        <f>SUM(N162:N163)</f>
        <v>0</v>
      </c>
      <c r="S164" s="280"/>
      <c r="T164" s="350"/>
      <c r="V164" s="167"/>
    </row>
    <row r="165" spans="1:22" ht="13.5" thickBot="1">
      <c r="A165" s="1023" t="s">
        <v>473</v>
      </c>
      <c r="B165" s="1024"/>
      <c r="G165" s="1023" t="s">
        <v>473</v>
      </c>
      <c r="H165" s="1024"/>
      <c r="M165" s="1023" t="s">
        <v>473</v>
      </c>
      <c r="N165" s="1024"/>
      <c r="S165" s="277"/>
      <c r="T165" s="351"/>
    </row>
    <row r="166" spans="1:22" ht="12.95">
      <c r="A166" s="360" t="s">
        <v>474</v>
      </c>
      <c r="B166" s="567" t="str">
        <f>IFERROR(INDEX(Assumptions!$J$64:$L$76,MATCH('1-A Financial'!B$34,Assumptions!$J$64:$J$76,0),3),0)</f>
        <v>-</v>
      </c>
      <c r="G166" s="360" t="s">
        <v>474</v>
      </c>
      <c r="H166" s="567">
        <f>IFERROR(INDEX(Assumptions!$J$64:$L$76,MATCH('1-A Financial'!H$34,Assumptions!$J$64:$J$76,0),3),0)</f>
        <v>0</v>
      </c>
      <c r="M166" s="360" t="s">
        <v>474</v>
      </c>
      <c r="N166" s="567">
        <f>IFERROR(INDEX(Assumptions!$J$64:$L$76,MATCH('1-A Financial'!N$34,Assumptions!$J$64:$J$76,0),3),0)</f>
        <v>0</v>
      </c>
      <c r="S166" s="277"/>
      <c r="T166" s="351"/>
    </row>
    <row r="167" spans="1:22" ht="12.95">
      <c r="A167" s="482" t="s">
        <v>475</v>
      </c>
      <c r="B167" s="483">
        <f>IFERROR(E$129/B$166,0)</f>
        <v>0</v>
      </c>
      <c r="C167" s="279"/>
      <c r="G167" s="482" t="s">
        <v>475</v>
      </c>
      <c r="H167" s="483">
        <f>IFERROR(K$129/H$166,0)</f>
        <v>0</v>
      </c>
      <c r="I167" s="279"/>
      <c r="M167" s="482" t="s">
        <v>475</v>
      </c>
      <c r="N167" s="483">
        <f>IFERROR(Q$129/N$166,0)</f>
        <v>0</v>
      </c>
      <c r="O167" s="279"/>
      <c r="S167" s="277"/>
      <c r="T167" s="351"/>
    </row>
    <row r="168" spans="1:22" ht="12.95">
      <c r="A168" s="408" t="s">
        <v>476</v>
      </c>
      <c r="B168" s="484">
        <f>IFERROR(B166-1%,0)</f>
        <v>0</v>
      </c>
      <c r="C168" s="288"/>
      <c r="F168" s="18"/>
      <c r="G168" s="408" t="s">
        <v>476</v>
      </c>
      <c r="H168" s="484">
        <f>IFERROR(H166-1%,0)</f>
        <v>-0.01</v>
      </c>
      <c r="I168" s="288"/>
      <c r="L168" s="18"/>
      <c r="M168" s="408" t="s">
        <v>476</v>
      </c>
      <c r="N168" s="484">
        <f>IFERROR(N166-1%,0)</f>
        <v>-0.01</v>
      </c>
      <c r="O168" s="288"/>
      <c r="R168" s="18"/>
      <c r="S168" s="352"/>
      <c r="T168" s="281"/>
    </row>
    <row r="169" spans="1:22" ht="12.95">
      <c r="A169" s="408" t="s">
        <v>127</v>
      </c>
      <c r="B169" s="872">
        <f>IFERROR(INDEX(Assumptions!$J$48:$L$60,MATCH('1-A Financial'!B$34,Assumptions!$J$48:$J$60,0),3),0)</f>
        <v>0</v>
      </c>
      <c r="F169" s="18"/>
      <c r="G169" s="408" t="s">
        <v>127</v>
      </c>
      <c r="H169" s="872">
        <f>IFERROR(INDEX(Assumptions!$J$48:$L$60,MATCH('1-A Financial'!H$34,Assumptions!$J$48:$J$60,0),3),0)</f>
        <v>0</v>
      </c>
      <c r="L169" s="18"/>
      <c r="M169" s="408" t="s">
        <v>127</v>
      </c>
      <c r="N169" s="872">
        <f>IFERROR(INDEX(Assumptions!$J$48:$L$60,MATCH('1-A Financial'!N$34,Assumptions!$J$48:$J$60,0),3),0)</f>
        <v>0</v>
      </c>
      <c r="R169" s="18"/>
      <c r="S169" s="352"/>
      <c r="T169" s="281"/>
    </row>
    <row r="170" spans="1:22" ht="12.95">
      <c r="A170" s="408" t="s">
        <v>125</v>
      </c>
      <c r="B170" s="485">
        <f>Assumptions!$L$41</f>
        <v>5</v>
      </c>
      <c r="D170" s="279"/>
      <c r="F170" s="18"/>
      <c r="G170" s="408" t="s">
        <v>125</v>
      </c>
      <c r="H170" s="485">
        <f>Assumptions!$L$41</f>
        <v>5</v>
      </c>
      <c r="J170" s="279"/>
      <c r="L170" s="18"/>
      <c r="M170" s="408" t="s">
        <v>125</v>
      </c>
      <c r="N170" s="485">
        <f>Assumptions!$L$41</f>
        <v>5</v>
      </c>
      <c r="P170" s="279"/>
      <c r="R170" s="18"/>
      <c r="S170" s="352"/>
      <c r="T170" s="281"/>
    </row>
    <row r="171" spans="1:22" ht="12.95">
      <c r="A171" s="408" t="s">
        <v>386</v>
      </c>
      <c r="B171" s="419">
        <f>(E$129*(1+B$169)^(B$170+1))</f>
        <v>0</v>
      </c>
      <c r="D171" s="279"/>
      <c r="F171" s="18"/>
      <c r="G171" s="408" t="s">
        <v>386</v>
      </c>
      <c r="H171" s="419">
        <f>(K$129*(1+H$169)^(H$170+1))</f>
        <v>0</v>
      </c>
      <c r="J171" s="279"/>
      <c r="L171" s="18"/>
      <c r="M171" s="408" t="s">
        <v>386</v>
      </c>
      <c r="N171" s="419">
        <f>(Q$129*(1+N$169)^(N$170+1))</f>
        <v>0</v>
      </c>
      <c r="P171" s="279"/>
      <c r="R171" s="18"/>
      <c r="S171" s="352"/>
      <c r="T171" s="281"/>
    </row>
    <row r="172" spans="1:22" ht="12.95">
      <c r="A172" s="418" t="s">
        <v>477</v>
      </c>
      <c r="B172" s="483">
        <f>IFERROR(B171/B$168,0)</f>
        <v>0</v>
      </c>
      <c r="C172" s="357"/>
      <c r="D172" s="279"/>
      <c r="F172" s="18"/>
      <c r="G172" s="418" t="s">
        <v>477</v>
      </c>
      <c r="H172" s="483">
        <f>IFERROR(H171/H$168,0)</f>
        <v>0</v>
      </c>
      <c r="I172" s="357"/>
      <c r="J172" s="279"/>
      <c r="L172" s="18"/>
      <c r="M172" s="418" t="s">
        <v>477</v>
      </c>
      <c r="N172" s="483">
        <f>IFERROR(N171/N$168,0)</f>
        <v>0</v>
      </c>
      <c r="O172" s="357"/>
      <c r="P172" s="279"/>
      <c r="R172" s="18"/>
      <c r="S172" s="352"/>
      <c r="T172" s="281"/>
    </row>
    <row r="173" spans="1:22" ht="12.95">
      <c r="A173" s="412" t="s">
        <v>471</v>
      </c>
      <c r="B173" s="486">
        <f>B172</f>
        <v>0</v>
      </c>
      <c r="F173" s="18"/>
      <c r="G173" s="412" t="s">
        <v>471</v>
      </c>
      <c r="H173" s="486">
        <f>H172</f>
        <v>0</v>
      </c>
      <c r="L173" s="18"/>
      <c r="M173" s="412" t="s">
        <v>471</v>
      </c>
      <c r="N173" s="486">
        <f>N172</f>
        <v>0</v>
      </c>
      <c r="R173" s="18"/>
      <c r="S173" s="352"/>
      <c r="T173" s="281"/>
    </row>
    <row r="174" spans="1:22" ht="12.95">
      <c r="A174" s="479">
        <v>0.03</v>
      </c>
      <c r="B174" s="413">
        <f>-A$174*B$167</f>
        <v>0</v>
      </c>
      <c r="D174" s="167"/>
      <c r="G174" s="479">
        <v>0.03</v>
      </c>
      <c r="H174" s="413">
        <f>-G$174*H$167</f>
        <v>0</v>
      </c>
      <c r="J174" s="167"/>
      <c r="M174" s="479">
        <v>0.03</v>
      </c>
      <c r="N174" s="413">
        <f>-M$174*N$167</f>
        <v>0</v>
      </c>
      <c r="P174" s="167"/>
      <c r="S174" s="353"/>
      <c r="T174" s="283"/>
    </row>
    <row r="175" spans="1:22" ht="13.5" thickBot="1">
      <c r="A175" s="414" t="s">
        <v>472</v>
      </c>
      <c r="B175" s="415">
        <f>SUM(B173:B174)</f>
        <v>0</v>
      </c>
      <c r="D175" s="283"/>
      <c r="E175" s="274"/>
      <c r="G175" s="414" t="s">
        <v>472</v>
      </c>
      <c r="H175" s="415">
        <f>SUM(H173:H174)</f>
        <v>0</v>
      </c>
      <c r="J175" s="283"/>
      <c r="K175" s="274"/>
      <c r="M175" s="414" t="s">
        <v>472</v>
      </c>
      <c r="N175" s="415">
        <f>SUM(N173:N174)</f>
        <v>0</v>
      </c>
      <c r="P175" s="283"/>
      <c r="Q175" s="274"/>
      <c r="S175" s="277"/>
      <c r="T175" s="288"/>
      <c r="V175" s="167"/>
    </row>
    <row r="176" spans="1:22" ht="13.5" thickBot="1">
      <c r="A176" s="1023" t="s">
        <v>478</v>
      </c>
      <c r="B176" s="566"/>
      <c r="D176" s="276"/>
      <c r="G176" s="1023" t="s">
        <v>478</v>
      </c>
      <c r="H176" s="566"/>
      <c r="J176" s="276"/>
      <c r="M176" s="1023" t="s">
        <v>478</v>
      </c>
      <c r="N176" s="566"/>
      <c r="P176" s="276"/>
      <c r="S176" s="280"/>
      <c r="T176" s="278"/>
    </row>
    <row r="177" spans="1:22" ht="12.95">
      <c r="A177" s="291" t="s">
        <v>479</v>
      </c>
      <c r="B177" s="292">
        <f>B162+B173</f>
        <v>547931900</v>
      </c>
      <c r="G177" s="291" t="s">
        <v>479</v>
      </c>
      <c r="H177" s="292">
        <f>H162+H173</f>
        <v>0</v>
      </c>
      <c r="M177" s="291" t="s">
        <v>479</v>
      </c>
      <c r="N177" s="292">
        <f>N162+N173</f>
        <v>0</v>
      </c>
      <c r="S177" s="277"/>
      <c r="T177" s="302"/>
      <c r="V177" s="276"/>
    </row>
    <row r="178" spans="1:22" ht="12.95">
      <c r="A178" s="418" t="s">
        <v>480</v>
      </c>
      <c r="B178" s="486">
        <f>SUM(B164,B175)</f>
        <v>531493943</v>
      </c>
      <c r="G178" s="418" t="s">
        <v>480</v>
      </c>
      <c r="H178" s="486">
        <f>SUM(H164,H175)</f>
        <v>0</v>
      </c>
      <c r="M178" s="418" t="s">
        <v>480</v>
      </c>
      <c r="N178" s="486">
        <f>SUM(N164,N175)</f>
        <v>0</v>
      </c>
      <c r="S178" s="277"/>
      <c r="T178" s="302"/>
      <c r="V178" s="276"/>
    </row>
    <row r="179" spans="1:22" ht="13.5" thickBot="1">
      <c r="A179" s="416" t="s">
        <v>481</v>
      </c>
      <c r="B179" s="417">
        <f>SUM(B178:B178)</f>
        <v>531493943</v>
      </c>
      <c r="G179" s="416" t="s">
        <v>481</v>
      </c>
      <c r="H179" s="417">
        <f>SUM(H178:H178)</f>
        <v>0</v>
      </c>
      <c r="M179" s="416" t="s">
        <v>481</v>
      </c>
      <c r="N179" s="417">
        <f>SUM(N178:N178)</f>
        <v>0</v>
      </c>
      <c r="S179" s="277"/>
      <c r="T179" s="302"/>
      <c r="V179" s="276"/>
    </row>
    <row r="180" spans="1:22" ht="23.25" customHeight="1">
      <c r="D180" s="277"/>
      <c r="G180" s="356"/>
      <c r="H180" s="288"/>
      <c r="J180" s="277"/>
      <c r="M180" s="356"/>
      <c r="N180" s="288"/>
      <c r="P180" s="277"/>
      <c r="S180" s="355"/>
      <c r="T180" s="354"/>
    </row>
    <row r="181" spans="1:22" ht="23.25" customHeight="1">
      <c r="S181" s="356"/>
      <c r="T181" s="288"/>
      <c r="V181" s="277"/>
    </row>
    <row r="182" spans="1:22" ht="23.25" customHeight="1">
      <c r="B182" s="130"/>
      <c r="D182" s="277"/>
    </row>
    <row r="183" spans="1:22" ht="23.25" customHeight="1">
      <c r="B183" s="130"/>
    </row>
  </sheetData>
  <mergeCells count="9">
    <mergeCell ref="A118:E118"/>
    <mergeCell ref="G118:K118"/>
    <mergeCell ref="M118:Q118"/>
    <mergeCell ref="S118:W118"/>
    <mergeCell ref="D2:E2"/>
    <mergeCell ref="B116:C116"/>
    <mergeCell ref="H116:I116"/>
    <mergeCell ref="N116:O116"/>
    <mergeCell ref="T116:U116"/>
  </mergeCells>
  <conditionalFormatting sqref="C49 C66">
    <cfRule type="expression" dxfId="136" priority="8">
      <formula>C55&gt;D48</formula>
    </cfRule>
  </conditionalFormatting>
  <conditionalFormatting sqref="C58 C75 C83">
    <cfRule type="expression" dxfId="135" priority="7">
      <formula>C63&gt;D57</formula>
    </cfRule>
  </conditionalFormatting>
  <conditionalFormatting sqref="I49 I66">
    <cfRule type="expression" dxfId="134" priority="4">
      <formula>I55&gt;J48</formula>
    </cfRule>
  </conditionalFormatting>
  <conditionalFormatting sqref="I58 I75 I83">
    <cfRule type="expression" dxfId="133" priority="3">
      <formula>I63&gt;J57</formula>
    </cfRule>
  </conditionalFormatting>
  <conditionalFormatting sqref="O49 O66">
    <cfRule type="expression" dxfId="132" priority="2">
      <formula>O55&gt;P48</formula>
    </cfRule>
  </conditionalFormatting>
  <conditionalFormatting sqref="O58 O75 O83">
    <cfRule type="expression" dxfId="131" priority="1">
      <formula>O63&gt;P57</formula>
    </cfRule>
  </conditionalFormatting>
  <conditionalFormatting sqref="U49 U66">
    <cfRule type="expression" dxfId="130" priority="6">
      <formula>U55&gt;V48</formula>
    </cfRule>
  </conditionalFormatting>
  <conditionalFormatting sqref="U58 U75 U83">
    <cfRule type="expression" dxfId="129" priority="5">
      <formula>U63&gt;V57</formula>
    </cfRule>
  </conditionalFormatting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1" manualBreakCount="1">
    <brk id="111" max="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A39F9-5B14-4203-9AB4-D860499FFFD6}">
  <sheetPr>
    <tabColor theme="2" tint="-9.9978637043366805E-2"/>
  </sheetPr>
  <dimension ref="A1:CI184"/>
  <sheetViews>
    <sheetView zoomScale="85" zoomScaleNormal="85" zoomScalePageLayoutView="125" workbookViewId="0">
      <pane xSplit="1" ySplit="9" topLeftCell="B10" activePane="bottomRight" state="frozen"/>
      <selection pane="bottomRight" activeCell="B42" sqref="B42"/>
      <selection pane="bottomLeft" activeCell="E130" sqref="E130"/>
      <selection pane="topRight" activeCell="E130" sqref="E130"/>
    </sheetView>
  </sheetViews>
  <sheetFormatPr defaultColWidth="8.85546875" defaultRowHeight="14.1"/>
  <cols>
    <col min="1" max="1" width="44" style="207" bestFit="1" customWidth="1"/>
    <col min="2" max="2" width="42.5703125" style="208" customWidth="1"/>
    <col min="3" max="4" width="17.85546875" style="207" hidden="1" customWidth="1"/>
    <col min="5" max="43" width="17.85546875" style="207" customWidth="1"/>
    <col min="44" max="44" width="17.85546875" style="208" customWidth="1"/>
    <col min="45" max="58" width="17.5703125" style="207" customWidth="1"/>
    <col min="59" max="59" width="20.42578125" style="207" customWidth="1"/>
    <col min="60" max="84" width="17" style="207" customWidth="1"/>
    <col min="85" max="85" width="16.42578125" style="207" customWidth="1"/>
    <col min="86" max="86" width="15" style="209" customWidth="1"/>
    <col min="87" max="87" width="17.85546875" style="209" bestFit="1" customWidth="1"/>
    <col min="88" max="88" width="9.42578125" style="207" bestFit="1" customWidth="1"/>
    <col min="89" max="89" width="11.85546875" style="207" bestFit="1" customWidth="1"/>
    <col min="90" max="91" width="9.42578125" style="207" bestFit="1" customWidth="1"/>
    <col min="92" max="16384" width="8.85546875" style="207"/>
  </cols>
  <sheetData>
    <row r="1" spans="1:87" ht="20.25" customHeight="1"/>
    <row r="2" spans="1:87" s="488" customFormat="1" ht="20.25" customHeight="1">
      <c r="A2" s="1081" t="str">
        <f>'1-A Financial'!D2</f>
        <v>1-A</v>
      </c>
      <c r="B2" s="775"/>
      <c r="C2" s="1092"/>
      <c r="D2" s="1092"/>
      <c r="E2" s="1082" t="str">
        <f>'Development Program'!C65</f>
        <v>Pre-Development</v>
      </c>
      <c r="F2" s="1083"/>
      <c r="G2" s="1083"/>
      <c r="H2" s="1082" t="str">
        <f>'Development Program'!F65</f>
        <v>Construction</v>
      </c>
      <c r="I2" s="1083"/>
      <c r="J2" s="1083"/>
      <c r="K2" s="1082" t="str">
        <f>'Development Program'!I65</f>
        <v>Close-Out</v>
      </c>
      <c r="L2" s="1083"/>
      <c r="M2" s="1084"/>
      <c r="N2" s="420" t="s">
        <v>202</v>
      </c>
      <c r="O2" s="1092"/>
      <c r="P2" s="1092"/>
      <c r="Q2" s="1092"/>
      <c r="R2" s="1092"/>
      <c r="S2" s="1092"/>
      <c r="T2" s="1092"/>
      <c r="U2" s="1092"/>
      <c r="V2" s="1092"/>
      <c r="W2" s="1092"/>
      <c r="X2" s="1092"/>
      <c r="Y2" s="1092"/>
      <c r="Z2" s="1092"/>
      <c r="AA2" s="1092"/>
      <c r="AB2" s="1092"/>
      <c r="AC2" s="1092"/>
      <c r="AD2" s="1092"/>
      <c r="AE2" s="1092"/>
      <c r="AF2" s="1092"/>
      <c r="AG2" s="1092"/>
      <c r="AH2" s="1092"/>
      <c r="AI2" s="1092"/>
      <c r="AJ2" s="1092"/>
      <c r="AK2" s="1092"/>
      <c r="AL2" s="1092"/>
      <c r="AM2" s="1092"/>
      <c r="AN2" s="1092"/>
      <c r="AO2" s="1092"/>
      <c r="AP2" s="1092"/>
      <c r="AQ2" s="1092"/>
      <c r="AR2" s="775"/>
      <c r="AS2" s="1092"/>
      <c r="AT2" s="1092"/>
      <c r="AU2" s="1092"/>
      <c r="AV2" s="1092"/>
      <c r="AW2" s="1092"/>
      <c r="AX2" s="1092"/>
      <c r="AY2" s="1092"/>
      <c r="AZ2" s="1092"/>
      <c r="BA2" s="1092"/>
      <c r="BB2" s="1092"/>
      <c r="BC2" s="1092"/>
      <c r="BD2" s="1092"/>
      <c r="BE2" s="1092"/>
      <c r="BF2" s="1092"/>
      <c r="BG2" s="1092"/>
      <c r="BH2" s="1092"/>
      <c r="BI2" s="1092"/>
      <c r="BJ2" s="1092"/>
      <c r="BK2" s="1092"/>
      <c r="BL2" s="1092"/>
      <c r="BM2" s="1092"/>
      <c r="BN2" s="1092"/>
      <c r="BO2" s="1092"/>
      <c r="BP2" s="1092"/>
      <c r="BQ2" s="1092"/>
      <c r="BR2" s="1092"/>
      <c r="BS2" s="1092"/>
      <c r="BT2" s="1092"/>
      <c r="BU2" s="1092"/>
      <c r="BV2" s="1092"/>
      <c r="BW2" s="1092"/>
      <c r="BX2" s="1092"/>
      <c r="BY2" s="1092"/>
      <c r="BZ2" s="1092"/>
      <c r="CA2" s="1092"/>
      <c r="CB2" s="1092"/>
      <c r="CC2" s="1092"/>
      <c r="CD2" s="1092"/>
      <c r="CE2" s="1092"/>
      <c r="CF2" s="1092"/>
      <c r="CG2" s="1092"/>
      <c r="CH2" s="1093"/>
      <c r="CI2" s="1093"/>
    </row>
    <row r="3" spans="1:87" ht="20.25" customHeight="1">
      <c r="A3" s="1081"/>
      <c r="B3" s="248" t="s">
        <v>482</v>
      </c>
      <c r="E3" s="765" t="str">
        <f>'Development Program'!C66</f>
        <v>PD Start</v>
      </c>
      <c r="F3" s="1094" t="str">
        <f>'Development Program'!D66</f>
        <v>PD End</v>
      </c>
      <c r="G3" s="766" t="str">
        <f>'Development Program'!E66</f>
        <v>PD Duration</v>
      </c>
      <c r="H3" s="765" t="str">
        <f>'Development Program'!F66</f>
        <v>CS Start</v>
      </c>
      <c r="I3" s="1094" t="str">
        <f>'Development Program'!G66</f>
        <v>CS End</v>
      </c>
      <c r="J3" s="766" t="str">
        <f>'Development Program'!H66</f>
        <v>CS Duration</v>
      </c>
      <c r="K3" s="1025" t="str">
        <f>'Development Program'!I66</f>
        <v>CO Start</v>
      </c>
      <c r="L3" s="767" t="str">
        <f>'Development Program'!J66</f>
        <v>CO End</v>
      </c>
      <c r="M3" s="266" t="str">
        <f>'Development Program'!K66</f>
        <v>CO Duration</v>
      </c>
      <c r="N3" s="262"/>
    </row>
    <row r="4" spans="1:87" s="768" customFormat="1" ht="20.25" customHeight="1">
      <c r="A4" s="1081"/>
      <c r="B4" s="776" t="s">
        <v>483</v>
      </c>
      <c r="E4" s="263">
        <f>INDEX('Development Program'!$B$66:$K$76,MATCH($A$2,'Development Program'!$B$66:$B$76,0),MATCH(E3,'Development Program'!$B$66:$K$66,0))</f>
        <v>46023</v>
      </c>
      <c r="F4" s="264">
        <f>INDEX('Development Program'!$B$66:$K$76,MATCH($A$2,'Development Program'!$B$66:$B$76,0),MATCH(F3,'Development Program'!$B$66:$K$66,0))</f>
        <v>46477</v>
      </c>
      <c r="G4" s="265">
        <f>INDEX('Development Program'!$B$66:$K$76,MATCH($A$2,'Development Program'!$B$66:$B$76,0),MATCH(G3,'Development Program'!$B$66:$K$66,0))</f>
        <v>15</v>
      </c>
      <c r="H4" s="263">
        <f>INDEX('Development Program'!$B$66:$K$76,MATCH($A$2,'Development Program'!$B$66:$B$76,0),MATCH(H3,'Development Program'!$B$66:$K$66,0))</f>
        <v>46478</v>
      </c>
      <c r="I4" s="264">
        <f>INDEX('Development Program'!$B$66:$K$76,MATCH($A$2,'Development Program'!$B$66:$B$76,0),MATCH(I3,'Development Program'!$B$66:$K$66,0))</f>
        <v>47573</v>
      </c>
      <c r="J4" s="265">
        <f>INDEX('Development Program'!$B$66:$K$76,MATCH($A$2,'Development Program'!$B$66:$B$76,0),MATCH(J3,'Development Program'!$B$66:$K$66,0))</f>
        <v>36</v>
      </c>
      <c r="K4" s="263">
        <f>INDEX('Development Program'!$B$66:$K$76,MATCH($A$2,'Development Program'!$B$66:$B$76,0),MATCH(K3,'Development Program'!$B$66:$K$66,0))</f>
        <v>47574</v>
      </c>
      <c r="L4" s="264">
        <f>INDEX('Development Program'!$B$66:$K$76,MATCH($A$2,'Development Program'!$B$66:$B$76,0),MATCH(L3,'Development Program'!$B$66:$K$66,0))</f>
        <v>47756</v>
      </c>
      <c r="M4" s="265">
        <f>INDEX('Development Program'!$B$66:$K$76,MATCH($A$2,'Development Program'!$B$66:$B$76,0),MATCH(M3,'Development Program'!$B$66:$K$66,0))</f>
        <v>6</v>
      </c>
      <c r="N4" s="265">
        <f>INDEX('Development Program'!$B$66:$L$76,MATCH($A$2,'Development Program'!$B$66:$B$76,0),MATCH(N2,'Development Program'!$B$65:$L$65,0))</f>
        <v>57</v>
      </c>
      <c r="O4" s="769"/>
      <c r="U4" s="770"/>
      <c r="AR4" s="771"/>
      <c r="AS4" s="772"/>
      <c r="AT4" s="772"/>
      <c r="AU4" s="772"/>
      <c r="BA4" s="1085" t="s">
        <v>484</v>
      </c>
      <c r="BB4" s="1085"/>
      <c r="BC4" s="1085"/>
      <c r="BD4" s="1085"/>
      <c r="BE4" s="1085"/>
      <c r="BF4" s="773"/>
      <c r="BG4" s="1080" t="s">
        <v>485</v>
      </c>
      <c r="BH4" s="1080"/>
      <c r="BI4" s="1080"/>
      <c r="CH4" s="774"/>
      <c r="CI4" s="774"/>
    </row>
    <row r="5" spans="1:87" s="210" customFormat="1" ht="20.25" customHeight="1">
      <c r="A5" s="261"/>
      <c r="B5" s="249"/>
      <c r="C5" s="258" t="str">
        <f>IFERROR(INDEX($E$2:$N$4,2,MATCH(#REF!+1,$E$4:$N$4,0)),"")</f>
        <v/>
      </c>
      <c r="D5" s="258" t="str">
        <f>IFERROR(INDEX($E$2:$N$4,2,MATCH(C9+1,$E$4:$N$4,0)),"")</f>
        <v/>
      </c>
      <c r="E5" s="258"/>
      <c r="F5" s="258" t="str">
        <f t="shared" ref="F5:X5" si="0">IFERROR(INDEX($E$2:$N$4,2,MATCH(E9+1,$E$4:$N$4,0)),"")</f>
        <v>PD Start</v>
      </c>
      <c r="G5" s="258" t="str">
        <f t="shared" si="0"/>
        <v/>
      </c>
      <c r="H5" s="258" t="str">
        <f t="shared" si="0"/>
        <v/>
      </c>
      <c r="I5" s="258" t="str">
        <f t="shared" si="0"/>
        <v/>
      </c>
      <c r="J5" s="258" t="str">
        <f t="shared" si="0"/>
        <v/>
      </c>
      <c r="K5" s="258" t="str">
        <f t="shared" si="0"/>
        <v>CS Start</v>
      </c>
      <c r="L5" s="258" t="str">
        <f t="shared" si="0"/>
        <v/>
      </c>
      <c r="M5" s="258" t="str">
        <f t="shared" si="0"/>
        <v/>
      </c>
      <c r="N5" s="258" t="str">
        <f t="shared" si="0"/>
        <v/>
      </c>
      <c r="O5" s="258" t="str">
        <f t="shared" si="0"/>
        <v/>
      </c>
      <c r="P5" s="258" t="str">
        <f t="shared" si="0"/>
        <v/>
      </c>
      <c r="Q5" s="258" t="str">
        <f t="shared" si="0"/>
        <v/>
      </c>
      <c r="R5" s="258" t="str">
        <f t="shared" si="0"/>
        <v/>
      </c>
      <c r="S5" s="258" t="str">
        <f t="shared" si="0"/>
        <v/>
      </c>
      <c r="T5" s="258" t="str">
        <f t="shared" si="0"/>
        <v/>
      </c>
      <c r="U5" s="258" t="str">
        <f t="shared" si="0"/>
        <v/>
      </c>
      <c r="V5" s="258" t="str">
        <f t="shared" si="0"/>
        <v/>
      </c>
      <c r="W5" s="258" t="str">
        <f t="shared" si="0"/>
        <v>CO Start</v>
      </c>
      <c r="X5" s="258" t="str">
        <f t="shared" si="0"/>
        <v/>
      </c>
      <c r="Y5" s="246">
        <v>1</v>
      </c>
      <c r="Z5" s="246">
        <v>1</v>
      </c>
      <c r="AA5" s="246">
        <v>1</v>
      </c>
      <c r="AB5" s="246">
        <v>1</v>
      </c>
      <c r="AC5" s="246">
        <v>2</v>
      </c>
      <c r="AD5" s="246">
        <v>2</v>
      </c>
      <c r="AE5" s="246">
        <v>2</v>
      </c>
      <c r="AF5" s="246">
        <v>2</v>
      </c>
      <c r="AG5" s="246">
        <v>3</v>
      </c>
      <c r="AH5" s="246">
        <v>3</v>
      </c>
      <c r="AI5" s="246">
        <v>3</v>
      </c>
      <c r="AJ5" s="246">
        <v>3</v>
      </c>
      <c r="AK5" s="246">
        <v>4</v>
      </c>
      <c r="AL5" s="246">
        <v>4</v>
      </c>
      <c r="AM5" s="246">
        <v>4</v>
      </c>
      <c r="AN5" s="246">
        <v>4</v>
      </c>
      <c r="AO5" s="246">
        <v>5</v>
      </c>
      <c r="AP5" s="246">
        <v>5</v>
      </c>
      <c r="AQ5" s="246">
        <v>5</v>
      </c>
      <c r="AR5" s="247">
        <v>5</v>
      </c>
      <c r="AS5" s="211"/>
      <c r="AT5" s="211"/>
      <c r="AU5" s="211"/>
      <c r="BA5" s="212"/>
      <c r="BB5" s="212"/>
      <c r="BC5" s="212"/>
      <c r="BD5" s="212"/>
      <c r="BE5" s="212"/>
      <c r="BF5" s="212"/>
      <c r="BG5" s="213"/>
      <c r="BH5" s="213"/>
      <c r="BI5" s="213"/>
      <c r="CH5" s="214"/>
      <c r="CI5" s="214"/>
    </row>
    <row r="6" spans="1:87" s="210" customFormat="1" ht="20.25" customHeight="1">
      <c r="A6" s="261"/>
      <c r="B6" s="249"/>
      <c r="C6" s="258"/>
      <c r="D6" s="258"/>
      <c r="E6" s="258" t="str">
        <f t="shared" ref="E6:X6" si="1">IFERROR(INDEX($E$2:$N$4,2,MATCH(E9,$E$4:$N$4,0)),"")</f>
        <v/>
      </c>
      <c r="F6" s="258" t="str">
        <f t="shared" si="1"/>
        <v/>
      </c>
      <c r="G6" s="258" t="str">
        <f t="shared" si="1"/>
        <v/>
      </c>
      <c r="H6" s="258" t="str">
        <f t="shared" si="1"/>
        <v/>
      </c>
      <c r="I6" s="258" t="str">
        <f t="shared" si="1"/>
        <v/>
      </c>
      <c r="J6" s="258" t="str">
        <f t="shared" si="1"/>
        <v>PD End</v>
      </c>
      <c r="K6" s="258" t="str">
        <f t="shared" si="1"/>
        <v/>
      </c>
      <c r="L6" s="258" t="str">
        <f t="shared" si="1"/>
        <v/>
      </c>
      <c r="M6" s="258" t="str">
        <f t="shared" si="1"/>
        <v/>
      </c>
      <c r="N6" s="258" t="str">
        <f t="shared" si="1"/>
        <v/>
      </c>
      <c r="O6" s="258" t="str">
        <f t="shared" si="1"/>
        <v/>
      </c>
      <c r="P6" s="258" t="str">
        <f t="shared" si="1"/>
        <v/>
      </c>
      <c r="Q6" s="258" t="str">
        <f t="shared" si="1"/>
        <v/>
      </c>
      <c r="R6" s="258" t="str">
        <f t="shared" si="1"/>
        <v/>
      </c>
      <c r="S6" s="258" t="str">
        <f t="shared" si="1"/>
        <v/>
      </c>
      <c r="T6" s="258" t="str">
        <f t="shared" si="1"/>
        <v/>
      </c>
      <c r="U6" s="258" t="str">
        <f t="shared" si="1"/>
        <v/>
      </c>
      <c r="V6" s="258" t="str">
        <f t="shared" si="1"/>
        <v>CS End</v>
      </c>
      <c r="W6" s="258" t="str">
        <f t="shared" si="1"/>
        <v/>
      </c>
      <c r="X6" s="258" t="str">
        <f t="shared" si="1"/>
        <v>CO End</v>
      </c>
      <c r="Y6" s="828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247"/>
      <c r="AS6" s="211"/>
      <c r="AT6" s="211"/>
      <c r="AU6" s="211"/>
      <c r="BA6" s="212"/>
      <c r="BB6" s="212"/>
      <c r="BC6" s="212"/>
      <c r="BD6" s="212"/>
      <c r="BE6" s="212"/>
      <c r="BF6" s="212"/>
      <c r="BG6" s="213"/>
      <c r="BH6" s="213"/>
      <c r="BI6" s="213"/>
      <c r="CH6" s="214"/>
      <c r="CI6" s="214"/>
    </row>
    <row r="7" spans="1:87" s="210" customFormat="1" ht="20.25" customHeight="1">
      <c r="A7" s="261"/>
      <c r="B7" s="249" t="s">
        <v>486</v>
      </c>
      <c r="C7" s="258"/>
      <c r="D7" s="258"/>
      <c r="E7" s="258">
        <v>0</v>
      </c>
      <c r="F7" s="258">
        <f t="shared" ref="F7:X7" si="2">IF(OR($H$4&gt;F9,$K$4&lt;F9),0,E7+1)</f>
        <v>0</v>
      </c>
      <c r="G7" s="258">
        <f t="shared" si="2"/>
        <v>0</v>
      </c>
      <c r="H7" s="258">
        <f t="shared" si="2"/>
        <v>0</v>
      </c>
      <c r="I7" s="258">
        <f t="shared" si="2"/>
        <v>0</v>
      </c>
      <c r="J7" s="258">
        <f t="shared" si="2"/>
        <v>0</v>
      </c>
      <c r="K7" s="258">
        <f t="shared" si="2"/>
        <v>1</v>
      </c>
      <c r="L7" s="258">
        <f t="shared" si="2"/>
        <v>2</v>
      </c>
      <c r="M7" s="258">
        <f t="shared" si="2"/>
        <v>3</v>
      </c>
      <c r="N7" s="258">
        <f t="shared" si="2"/>
        <v>4</v>
      </c>
      <c r="O7" s="258">
        <f t="shared" si="2"/>
        <v>5</v>
      </c>
      <c r="P7" s="258">
        <f t="shared" si="2"/>
        <v>6</v>
      </c>
      <c r="Q7" s="258">
        <f t="shared" si="2"/>
        <v>7</v>
      </c>
      <c r="R7" s="258">
        <f t="shared" si="2"/>
        <v>8</v>
      </c>
      <c r="S7" s="258">
        <f t="shared" si="2"/>
        <v>9</v>
      </c>
      <c r="T7" s="258">
        <f t="shared" si="2"/>
        <v>10</v>
      </c>
      <c r="U7" s="258">
        <f t="shared" si="2"/>
        <v>11</v>
      </c>
      <c r="V7" s="258">
        <f t="shared" si="2"/>
        <v>12</v>
      </c>
      <c r="W7" s="258">
        <f t="shared" si="2"/>
        <v>0</v>
      </c>
      <c r="X7" s="258">
        <f t="shared" si="2"/>
        <v>0</v>
      </c>
      <c r="Y7" s="829">
        <v>1</v>
      </c>
      <c r="Z7" s="829">
        <v>2</v>
      </c>
      <c r="AA7" s="829">
        <v>3</v>
      </c>
      <c r="AB7" s="829">
        <v>4</v>
      </c>
      <c r="AC7" s="829">
        <v>1</v>
      </c>
      <c r="AD7" s="829">
        <v>2</v>
      </c>
      <c r="AE7" s="829">
        <v>3</v>
      </c>
      <c r="AF7" s="829">
        <v>4</v>
      </c>
      <c r="AG7" s="829">
        <v>1</v>
      </c>
      <c r="AH7" s="829">
        <v>2</v>
      </c>
      <c r="AI7" s="829">
        <v>3</v>
      </c>
      <c r="AJ7" s="829">
        <v>4</v>
      </c>
      <c r="AK7" s="829">
        <v>1</v>
      </c>
      <c r="AL7" s="829">
        <v>2</v>
      </c>
      <c r="AM7" s="829">
        <v>3</v>
      </c>
      <c r="AN7" s="829">
        <v>4</v>
      </c>
      <c r="AO7" s="829">
        <v>1</v>
      </c>
      <c r="AP7" s="829">
        <v>2</v>
      </c>
      <c r="AQ7" s="829">
        <v>3</v>
      </c>
      <c r="AR7" s="830">
        <v>4</v>
      </c>
      <c r="AS7" s="211"/>
      <c r="AT7" s="211"/>
      <c r="AU7" s="211"/>
      <c r="BA7" s="212"/>
      <c r="BB7" s="212"/>
      <c r="BC7" s="212"/>
      <c r="BD7" s="212"/>
      <c r="BE7" s="212"/>
      <c r="BF7" s="212"/>
      <c r="BG7" s="213"/>
      <c r="BH7" s="213"/>
      <c r="BI7" s="213"/>
      <c r="CH7" s="214"/>
      <c r="CI7" s="214"/>
    </row>
    <row r="8" spans="1:87" s="210" customFormat="1" ht="20.25" customHeight="1">
      <c r="A8" s="261"/>
      <c r="B8" s="249" t="s">
        <v>487</v>
      </c>
      <c r="C8" s="258"/>
      <c r="D8" s="258"/>
      <c r="E8" s="258">
        <v>0</v>
      </c>
      <c r="F8" s="258">
        <f>IF(OR(G6=$I$3,F6=$I$3,F5=$K$3),1,0)</f>
        <v>0</v>
      </c>
      <c r="G8" s="258">
        <f t="shared" ref="G8:W8" si="3">IF(OR(H6=$I$3,G6=$I$3,G5=$K$3),1,0)</f>
        <v>0</v>
      </c>
      <c r="H8" s="258">
        <f t="shared" si="3"/>
        <v>0</v>
      </c>
      <c r="I8" s="258">
        <f t="shared" si="3"/>
        <v>0</v>
      </c>
      <c r="J8" s="258">
        <f t="shared" si="3"/>
        <v>0</v>
      </c>
      <c r="K8" s="258">
        <f t="shared" si="3"/>
        <v>0</v>
      </c>
      <c r="L8" s="258">
        <f t="shared" si="3"/>
        <v>0</v>
      </c>
      <c r="M8" s="258">
        <f t="shared" si="3"/>
        <v>0</v>
      </c>
      <c r="N8" s="258">
        <f t="shared" si="3"/>
        <v>0</v>
      </c>
      <c r="O8" s="258">
        <f t="shared" si="3"/>
        <v>0</v>
      </c>
      <c r="P8" s="258">
        <f t="shared" si="3"/>
        <v>0</v>
      </c>
      <c r="Q8" s="258">
        <f t="shared" si="3"/>
        <v>0</v>
      </c>
      <c r="R8" s="258">
        <f t="shared" si="3"/>
        <v>0</v>
      </c>
      <c r="S8" s="258">
        <f t="shared" si="3"/>
        <v>0</v>
      </c>
      <c r="T8" s="258">
        <f t="shared" si="3"/>
        <v>0</v>
      </c>
      <c r="U8" s="258">
        <f t="shared" si="3"/>
        <v>1</v>
      </c>
      <c r="V8" s="258">
        <f t="shared" si="3"/>
        <v>1</v>
      </c>
      <c r="W8" s="258">
        <f t="shared" si="3"/>
        <v>1</v>
      </c>
      <c r="X8" s="258">
        <f>IF(OR(Y6=$I$3,X6=$I$3,X5=$K$3),1,0)</f>
        <v>0</v>
      </c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7"/>
      <c r="AS8" s="211"/>
      <c r="AT8" s="211"/>
      <c r="AU8" s="211"/>
      <c r="BA8" s="212"/>
      <c r="BB8" s="212"/>
      <c r="BC8" s="212"/>
      <c r="BD8" s="212"/>
      <c r="BE8" s="212"/>
      <c r="BF8" s="212"/>
      <c r="BG8" s="213"/>
      <c r="BH8" s="213"/>
      <c r="BI8" s="213"/>
      <c r="CH8" s="214"/>
      <c r="CI8" s="214"/>
    </row>
    <row r="9" spans="1:87" s="215" customFormat="1" ht="20.25" customHeight="1">
      <c r="A9" s="261"/>
      <c r="B9" s="250" t="s">
        <v>373</v>
      </c>
      <c r="C9" s="218" t="s">
        <v>488</v>
      </c>
      <c r="D9" s="218" t="s">
        <v>489</v>
      </c>
      <c r="E9" s="216">
        <f>E4-1</f>
        <v>46022</v>
      </c>
      <c r="F9" s="216">
        <f>EOMONTH(E9,3)</f>
        <v>46112</v>
      </c>
      <c r="G9" s="216">
        <f t="shared" ref="G9:V9" si="4">EOMONTH(F9,3)</f>
        <v>46203</v>
      </c>
      <c r="H9" s="216">
        <f t="shared" si="4"/>
        <v>46295</v>
      </c>
      <c r="I9" s="216">
        <f t="shared" si="4"/>
        <v>46387</v>
      </c>
      <c r="J9" s="216">
        <f t="shared" si="4"/>
        <v>46477</v>
      </c>
      <c r="K9" s="216">
        <f t="shared" si="4"/>
        <v>46568</v>
      </c>
      <c r="L9" s="216">
        <f t="shared" si="4"/>
        <v>46660</v>
      </c>
      <c r="M9" s="216">
        <f t="shared" si="4"/>
        <v>46752</v>
      </c>
      <c r="N9" s="216">
        <f t="shared" si="4"/>
        <v>46843</v>
      </c>
      <c r="O9" s="216">
        <f t="shared" si="4"/>
        <v>46934</v>
      </c>
      <c r="P9" s="216">
        <f t="shared" si="4"/>
        <v>47026</v>
      </c>
      <c r="Q9" s="216">
        <f t="shared" si="4"/>
        <v>47118</v>
      </c>
      <c r="R9" s="216">
        <f t="shared" si="4"/>
        <v>47208</v>
      </c>
      <c r="S9" s="216">
        <f t="shared" si="4"/>
        <v>47299</v>
      </c>
      <c r="T9" s="216">
        <f t="shared" si="4"/>
        <v>47391</v>
      </c>
      <c r="U9" s="216">
        <f t="shared" si="4"/>
        <v>47483</v>
      </c>
      <c r="V9" s="216">
        <f t="shared" si="4"/>
        <v>47573</v>
      </c>
      <c r="W9" s="216">
        <f>EOMONTH(V9,3)</f>
        <v>47664</v>
      </c>
      <c r="X9" s="216">
        <f>EOMONTH(W9,3)</f>
        <v>47756</v>
      </c>
      <c r="Y9" s="216">
        <f>EOMONTH(X9,3)</f>
        <v>47848</v>
      </c>
      <c r="Z9" s="216">
        <f t="shared" ref="Z9:AR9" si="5">EOMONTH(Y9,3)</f>
        <v>47938</v>
      </c>
      <c r="AA9" s="216">
        <f t="shared" si="5"/>
        <v>48029</v>
      </c>
      <c r="AB9" s="216">
        <f t="shared" si="5"/>
        <v>48121</v>
      </c>
      <c r="AC9" s="216">
        <f t="shared" si="5"/>
        <v>48213</v>
      </c>
      <c r="AD9" s="216">
        <f t="shared" si="5"/>
        <v>48304</v>
      </c>
      <c r="AE9" s="216">
        <f t="shared" si="5"/>
        <v>48395</v>
      </c>
      <c r="AF9" s="216">
        <f t="shared" si="5"/>
        <v>48487</v>
      </c>
      <c r="AG9" s="216">
        <f t="shared" si="5"/>
        <v>48579</v>
      </c>
      <c r="AH9" s="216">
        <f t="shared" si="5"/>
        <v>48669</v>
      </c>
      <c r="AI9" s="216">
        <f t="shared" si="5"/>
        <v>48760</v>
      </c>
      <c r="AJ9" s="216">
        <f t="shared" si="5"/>
        <v>48852</v>
      </c>
      <c r="AK9" s="216">
        <f t="shared" si="5"/>
        <v>48944</v>
      </c>
      <c r="AL9" s="216">
        <f t="shared" si="5"/>
        <v>49034</v>
      </c>
      <c r="AM9" s="216">
        <f t="shared" si="5"/>
        <v>49125</v>
      </c>
      <c r="AN9" s="216">
        <f t="shared" si="5"/>
        <v>49217</v>
      </c>
      <c r="AO9" s="216">
        <f t="shared" si="5"/>
        <v>49309</v>
      </c>
      <c r="AP9" s="216">
        <f t="shared" si="5"/>
        <v>49399</v>
      </c>
      <c r="AQ9" s="216">
        <f t="shared" si="5"/>
        <v>49490</v>
      </c>
      <c r="AR9" s="217">
        <f t="shared" si="5"/>
        <v>49582</v>
      </c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</row>
    <row r="10" spans="1:87" ht="20.25" customHeight="1">
      <c r="A10" s="207" t="s">
        <v>490</v>
      </c>
      <c r="B10" s="251"/>
      <c r="C10" s="220"/>
      <c r="D10" s="222"/>
      <c r="E10" s="271">
        <f>IF(E7&gt;0,NORMSDIST((E7-(($J$4)/6))/1.8),0)</f>
        <v>0</v>
      </c>
      <c r="F10" s="220">
        <f t="shared" ref="F10:X10" si="6">IF(F7&gt;0,NORMSDIST((F7-(($J$4)/6))/1.8),0)</f>
        <v>0</v>
      </c>
      <c r="G10" s="220">
        <f t="shared" si="6"/>
        <v>0</v>
      </c>
      <c r="H10" s="220">
        <f t="shared" si="6"/>
        <v>0</v>
      </c>
      <c r="I10" s="220">
        <f t="shared" si="6"/>
        <v>0</v>
      </c>
      <c r="J10" s="220">
        <f t="shared" si="6"/>
        <v>0</v>
      </c>
      <c r="K10" s="220">
        <f t="shared" si="6"/>
        <v>2.7366017862441431E-3</v>
      </c>
      <c r="L10" s="220">
        <f t="shared" si="6"/>
        <v>1.3134145691021117E-2</v>
      </c>
      <c r="M10" s="220">
        <f t="shared" si="6"/>
        <v>4.7790352272814703E-2</v>
      </c>
      <c r="N10" s="220">
        <f t="shared" si="6"/>
        <v>0.13326026290250542</v>
      </c>
      <c r="O10" s="220">
        <f t="shared" si="6"/>
        <v>0.28925736075397196</v>
      </c>
      <c r="P10" s="220">
        <f t="shared" si="6"/>
        <v>0.5</v>
      </c>
      <c r="Q10" s="220">
        <f t="shared" si="6"/>
        <v>0.7107426392460281</v>
      </c>
      <c r="R10" s="220">
        <f t="shared" si="6"/>
        <v>0.86673973709749452</v>
      </c>
      <c r="S10" s="220">
        <f t="shared" si="6"/>
        <v>0.9522096477271853</v>
      </c>
      <c r="T10" s="220">
        <f t="shared" si="6"/>
        <v>0.98686585430897888</v>
      </c>
      <c r="U10" s="220">
        <f t="shared" si="6"/>
        <v>0.99726339821375587</v>
      </c>
      <c r="V10" s="220">
        <f t="shared" si="6"/>
        <v>0.99957093966680322</v>
      </c>
      <c r="W10" s="220">
        <f t="shared" si="6"/>
        <v>0</v>
      </c>
      <c r="X10" s="220">
        <f t="shared" si="6"/>
        <v>0</v>
      </c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1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CH10" s="207"/>
      <c r="CI10" s="207"/>
    </row>
    <row r="11" spans="1:87" ht="20.25" customHeight="1">
      <c r="A11" s="207" t="s">
        <v>491</v>
      </c>
      <c r="B11" s="268">
        <f>SUM(E11:W11)</f>
        <v>0.99957093966680322</v>
      </c>
      <c r="C11" s="220">
        <f>SUM(E11:X11)</f>
        <v>0.99957093966680322</v>
      </c>
      <c r="D11" s="222"/>
      <c r="E11" s="271">
        <f>IF(E10-B10&lt;0,0,E10-B10)</f>
        <v>0</v>
      </c>
      <c r="F11" s="220">
        <f t="shared" ref="F11:X11" si="7">IF(F10-E10&lt;0,0,F10-E10)</f>
        <v>0</v>
      </c>
      <c r="G11" s="220">
        <f t="shared" si="7"/>
        <v>0</v>
      </c>
      <c r="H11" s="220">
        <f t="shared" si="7"/>
        <v>0</v>
      </c>
      <c r="I11" s="220">
        <f t="shared" si="7"/>
        <v>0</v>
      </c>
      <c r="J11" s="220">
        <f t="shared" si="7"/>
        <v>0</v>
      </c>
      <c r="K11" s="220">
        <f t="shared" si="7"/>
        <v>2.7366017862441431E-3</v>
      </c>
      <c r="L11" s="220">
        <f t="shared" si="7"/>
        <v>1.0397543904776974E-2</v>
      </c>
      <c r="M11" s="220">
        <f t="shared" si="7"/>
        <v>3.4656206581793587E-2</v>
      </c>
      <c r="N11" s="220">
        <f t="shared" si="7"/>
        <v>8.5469910629690726E-2</v>
      </c>
      <c r="O11" s="220">
        <f t="shared" si="7"/>
        <v>0.15599709785146654</v>
      </c>
      <c r="P11" s="220">
        <f t="shared" si="7"/>
        <v>0.21074263924602804</v>
      </c>
      <c r="Q11" s="220">
        <f t="shared" si="7"/>
        <v>0.2107426392460281</v>
      </c>
      <c r="R11" s="220">
        <f t="shared" si="7"/>
        <v>0.15599709785146643</v>
      </c>
      <c r="S11" s="220">
        <f t="shared" si="7"/>
        <v>8.5469910629690782E-2</v>
      </c>
      <c r="T11" s="220">
        <f t="shared" si="7"/>
        <v>3.465620658179358E-2</v>
      </c>
      <c r="U11" s="220">
        <f t="shared" si="7"/>
        <v>1.0397543904776985E-2</v>
      </c>
      <c r="V11" s="220">
        <f t="shared" si="7"/>
        <v>2.3075414530473459E-3</v>
      </c>
      <c r="W11" s="220">
        <f t="shared" si="7"/>
        <v>0</v>
      </c>
      <c r="X11" s="220">
        <f t="shared" si="7"/>
        <v>0</v>
      </c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1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CH11" s="207"/>
      <c r="CI11" s="207"/>
    </row>
    <row r="12" spans="1:87" ht="20.25" customHeight="1">
      <c r="A12" s="207" t="s">
        <v>492</v>
      </c>
      <c r="B12" s="268">
        <f>SUM(E12:W12)</f>
        <v>4.290603331967846E-4</v>
      </c>
      <c r="C12" s="220">
        <f>SUM(E12:X12)</f>
        <v>4.290603331967846E-4</v>
      </c>
      <c r="D12" s="487">
        <f>B12-C12</f>
        <v>0</v>
      </c>
      <c r="E12" s="269">
        <f t="shared" ref="E12:X12" si="8">IF(E6=$I$3,100%-E10,0)</f>
        <v>0</v>
      </c>
      <c r="F12" s="267">
        <f t="shared" si="8"/>
        <v>0</v>
      </c>
      <c r="G12" s="267">
        <f t="shared" si="8"/>
        <v>0</v>
      </c>
      <c r="H12" s="267">
        <f t="shared" si="8"/>
        <v>0</v>
      </c>
      <c r="I12" s="267">
        <f t="shared" si="8"/>
        <v>0</v>
      </c>
      <c r="J12" s="267">
        <f t="shared" si="8"/>
        <v>0</v>
      </c>
      <c r="K12" s="267">
        <f t="shared" si="8"/>
        <v>0</v>
      </c>
      <c r="L12" s="267">
        <f t="shared" si="8"/>
        <v>0</v>
      </c>
      <c r="M12" s="267">
        <f t="shared" si="8"/>
        <v>0</v>
      </c>
      <c r="N12" s="267">
        <f t="shared" si="8"/>
        <v>0</v>
      </c>
      <c r="O12" s="267">
        <f t="shared" si="8"/>
        <v>0</v>
      </c>
      <c r="P12" s="267">
        <f t="shared" si="8"/>
        <v>0</v>
      </c>
      <c r="Q12" s="267">
        <f t="shared" si="8"/>
        <v>0</v>
      </c>
      <c r="R12" s="267">
        <f t="shared" si="8"/>
        <v>0</v>
      </c>
      <c r="S12" s="267">
        <f t="shared" si="8"/>
        <v>0</v>
      </c>
      <c r="T12" s="267">
        <f t="shared" si="8"/>
        <v>0</v>
      </c>
      <c r="U12" s="267">
        <f t="shared" si="8"/>
        <v>0</v>
      </c>
      <c r="V12" s="267">
        <f t="shared" si="8"/>
        <v>4.290603331967846E-4</v>
      </c>
      <c r="W12" s="267">
        <f t="shared" si="8"/>
        <v>0</v>
      </c>
      <c r="X12" s="267">
        <f t="shared" si="8"/>
        <v>0</v>
      </c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1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CH12" s="207"/>
      <c r="CI12" s="207"/>
    </row>
    <row r="13" spans="1:87" ht="20.25" customHeight="1">
      <c r="A13" s="207" t="s">
        <v>491</v>
      </c>
      <c r="B13" s="251">
        <f>SUM(E13:W13)</f>
        <v>1</v>
      </c>
      <c r="C13" s="220">
        <f>SUM(E13:X13)</f>
        <v>1</v>
      </c>
      <c r="D13" s="222"/>
      <c r="E13" s="269">
        <f t="shared" ref="E13:X13" si="9">SUM(E11:E12)</f>
        <v>0</v>
      </c>
      <c r="F13" s="267">
        <f t="shared" si="9"/>
        <v>0</v>
      </c>
      <c r="G13" s="267">
        <f t="shared" si="9"/>
        <v>0</v>
      </c>
      <c r="H13" s="267">
        <f t="shared" si="9"/>
        <v>0</v>
      </c>
      <c r="I13" s="267">
        <f t="shared" si="9"/>
        <v>0</v>
      </c>
      <c r="J13" s="267">
        <f t="shared" si="9"/>
        <v>0</v>
      </c>
      <c r="K13" s="267">
        <f t="shared" si="9"/>
        <v>2.7366017862441431E-3</v>
      </c>
      <c r="L13" s="267">
        <f t="shared" si="9"/>
        <v>1.0397543904776974E-2</v>
      </c>
      <c r="M13" s="267">
        <f t="shared" si="9"/>
        <v>3.4656206581793587E-2</v>
      </c>
      <c r="N13" s="267">
        <f t="shared" si="9"/>
        <v>8.5469910629690726E-2</v>
      </c>
      <c r="O13" s="267">
        <f t="shared" si="9"/>
        <v>0.15599709785146654</v>
      </c>
      <c r="P13" s="267">
        <f t="shared" si="9"/>
        <v>0.21074263924602804</v>
      </c>
      <c r="Q13" s="267">
        <f t="shared" si="9"/>
        <v>0.2107426392460281</v>
      </c>
      <c r="R13" s="267">
        <f t="shared" si="9"/>
        <v>0.15599709785146643</v>
      </c>
      <c r="S13" s="267">
        <f t="shared" si="9"/>
        <v>8.5469910629690782E-2</v>
      </c>
      <c r="T13" s="267">
        <f t="shared" si="9"/>
        <v>3.465620658179358E-2</v>
      </c>
      <c r="U13" s="267">
        <f t="shared" si="9"/>
        <v>1.0397543904776985E-2</v>
      </c>
      <c r="V13" s="267">
        <f t="shared" si="9"/>
        <v>2.7366017862441305E-3</v>
      </c>
      <c r="W13" s="267">
        <f t="shared" si="9"/>
        <v>0</v>
      </c>
      <c r="X13" s="267">
        <f t="shared" si="9"/>
        <v>0</v>
      </c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1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CH13" s="207"/>
      <c r="CI13" s="207"/>
    </row>
    <row r="14" spans="1:87" s="488" customFormat="1" ht="20.25" customHeight="1">
      <c r="A14" s="1092" t="s">
        <v>387</v>
      </c>
      <c r="B14" s="764">
        <f t="shared" ref="B14:B31" si="10">SUM(E14:X14)</f>
        <v>317800502</v>
      </c>
      <c r="C14" s="1095">
        <f>'1-A Financial'!$B7</f>
        <v>317800502</v>
      </c>
      <c r="D14" s="1095">
        <f t="shared" ref="D14:D31" si="11">B14-C14</f>
        <v>0</v>
      </c>
      <c r="E14" s="1096">
        <v>0</v>
      </c>
      <c r="F14" s="1095">
        <f>$C$14*F13</f>
        <v>0</v>
      </c>
      <c r="G14" s="1095">
        <f t="shared" ref="G14:X14" si="12">$C$14*G13</f>
        <v>0</v>
      </c>
      <c r="H14" s="1095">
        <f t="shared" si="12"/>
        <v>0</v>
      </c>
      <c r="I14" s="1095">
        <f t="shared" si="12"/>
        <v>0</v>
      </c>
      <c r="J14" s="1095">
        <f t="shared" si="12"/>
        <v>0</v>
      </c>
      <c r="K14" s="1095">
        <f t="shared" si="12"/>
        <v>869693.42144248541</v>
      </c>
      <c r="L14" s="1095">
        <f t="shared" si="12"/>
        <v>3304344.6725051627</v>
      </c>
      <c r="M14" s="1095">
        <f t="shared" si="12"/>
        <v>11013759.849109706</v>
      </c>
      <c r="N14" s="1095">
        <f t="shared" si="12"/>
        <v>27162380.504010849</v>
      </c>
      <c r="O14" s="1095">
        <f t="shared" si="12"/>
        <v>49575956.007739186</v>
      </c>
      <c r="P14" s="1095">
        <f t="shared" si="12"/>
        <v>66974116.545192614</v>
      </c>
      <c r="Q14" s="1095">
        <f t="shared" si="12"/>
        <v>66974116.545192629</v>
      </c>
      <c r="R14" s="1095">
        <f t="shared" si="12"/>
        <v>49575956.007739149</v>
      </c>
      <c r="S14" s="1095">
        <f t="shared" si="12"/>
        <v>27162380.504010867</v>
      </c>
      <c r="T14" s="1095">
        <f t="shared" si="12"/>
        <v>11013759.849109704</v>
      </c>
      <c r="U14" s="1095">
        <f t="shared" si="12"/>
        <v>3304344.6725051659</v>
      </c>
      <c r="V14" s="1095">
        <f t="shared" si="12"/>
        <v>869693.42144248134</v>
      </c>
      <c r="W14" s="1095">
        <f t="shared" si="12"/>
        <v>0</v>
      </c>
      <c r="X14" s="1095">
        <f t="shared" si="12"/>
        <v>0</v>
      </c>
      <c r="Y14" s="1095"/>
      <c r="Z14" s="1095"/>
      <c r="AA14" s="1095"/>
      <c r="AB14" s="1095"/>
      <c r="AC14" s="1095"/>
      <c r="AD14" s="1095"/>
      <c r="AE14" s="1095"/>
      <c r="AF14" s="1095"/>
      <c r="AG14" s="1095"/>
      <c r="AH14" s="1095"/>
      <c r="AI14" s="1095"/>
      <c r="AJ14" s="1095"/>
      <c r="AK14" s="1095"/>
      <c r="AL14" s="1095"/>
      <c r="AM14" s="1095"/>
      <c r="AN14" s="1095"/>
      <c r="AO14" s="1095"/>
      <c r="AP14" s="1095"/>
      <c r="AQ14" s="1095"/>
      <c r="AR14" s="764"/>
      <c r="AS14" s="1092"/>
      <c r="AT14" s="1092"/>
      <c r="AU14" s="1092"/>
      <c r="AV14" s="1093"/>
      <c r="AW14" s="1093"/>
      <c r="AX14" s="1093"/>
      <c r="AY14" s="1093"/>
      <c r="AZ14" s="1093"/>
      <c r="BA14" s="1093"/>
      <c r="BB14" s="1093"/>
      <c r="BC14" s="1093"/>
      <c r="BD14" s="1093"/>
      <c r="BE14" s="1093"/>
      <c r="BF14" s="1093"/>
      <c r="BG14" s="1093"/>
      <c r="BH14" s="1093"/>
      <c r="BI14" s="1093"/>
      <c r="BJ14" s="1093"/>
      <c r="BK14" s="1093"/>
      <c r="BL14" s="1093"/>
      <c r="BM14" s="1093"/>
      <c r="BN14" s="1093"/>
      <c r="BO14" s="1093"/>
      <c r="BP14" s="1093"/>
      <c r="BQ14" s="1093"/>
      <c r="BR14" s="1093"/>
      <c r="BS14" s="1093"/>
      <c r="BT14" s="1093"/>
      <c r="BU14" s="1093"/>
      <c r="BV14" s="1092"/>
      <c r="BW14" s="1092"/>
      <c r="BX14" s="1092"/>
      <c r="BY14" s="1092"/>
      <c r="BZ14" s="1092"/>
      <c r="CA14" s="1092"/>
      <c r="CB14" s="1092"/>
      <c r="CC14" s="1092"/>
      <c r="CD14" s="1092"/>
      <c r="CE14" s="1092"/>
      <c r="CF14" s="1092"/>
      <c r="CG14" s="1092"/>
      <c r="CH14" s="1092"/>
      <c r="CI14" s="1092"/>
    </row>
    <row r="15" spans="1:87" ht="20.25" customHeight="1">
      <c r="A15" s="207" t="s">
        <v>77</v>
      </c>
      <c r="B15" s="224">
        <f t="shared" si="10"/>
        <v>15890025.100000003</v>
      </c>
      <c r="C15" s="223">
        <f>'1-A Financial'!$B8</f>
        <v>15890025.100000001</v>
      </c>
      <c r="D15" s="223">
        <f t="shared" si="11"/>
        <v>0</v>
      </c>
      <c r="E15" s="270">
        <v>0</v>
      </c>
      <c r="F15" s="223">
        <f>$C15*F$13</f>
        <v>0</v>
      </c>
      <c r="G15" s="223">
        <f t="shared" ref="G15:X15" si="13">$C15*G$13</f>
        <v>0</v>
      </c>
      <c r="H15" s="223">
        <f t="shared" si="13"/>
        <v>0</v>
      </c>
      <c r="I15" s="223">
        <f t="shared" si="13"/>
        <v>0</v>
      </c>
      <c r="J15" s="223">
        <f t="shared" si="13"/>
        <v>0</v>
      </c>
      <c r="K15" s="223">
        <f t="shared" si="13"/>
        <v>43484.671072124271</v>
      </c>
      <c r="L15" s="223">
        <f t="shared" si="13"/>
        <v>165217.23362525814</v>
      </c>
      <c r="M15" s="223">
        <f t="shared" si="13"/>
        <v>550687.99245548539</v>
      </c>
      <c r="N15" s="223">
        <f t="shared" si="13"/>
        <v>1358119.0252005425</v>
      </c>
      <c r="O15" s="223">
        <f t="shared" si="13"/>
        <v>2478797.8003869597</v>
      </c>
      <c r="P15" s="223">
        <f t="shared" si="13"/>
        <v>3348705.8272596309</v>
      </c>
      <c r="Q15" s="223">
        <f t="shared" si="13"/>
        <v>3348705.8272596318</v>
      </c>
      <c r="R15" s="223">
        <f t="shared" si="13"/>
        <v>2478797.8003869578</v>
      </c>
      <c r="S15" s="223">
        <f t="shared" si="13"/>
        <v>1358119.0252005435</v>
      </c>
      <c r="T15" s="223">
        <f t="shared" si="13"/>
        <v>550687.99245548528</v>
      </c>
      <c r="U15" s="223">
        <f t="shared" si="13"/>
        <v>165217.23362525832</v>
      </c>
      <c r="V15" s="223">
        <f t="shared" si="13"/>
        <v>43484.671072124074</v>
      </c>
      <c r="W15" s="223">
        <f t="shared" si="13"/>
        <v>0</v>
      </c>
      <c r="X15" s="223">
        <f t="shared" si="13"/>
        <v>0</v>
      </c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4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CH15" s="207"/>
      <c r="CI15" s="207"/>
    </row>
    <row r="16" spans="1:87" ht="20.25" customHeight="1">
      <c r="A16" s="207" t="s">
        <v>389</v>
      </c>
      <c r="B16" s="224">
        <f t="shared" si="10"/>
        <v>0</v>
      </c>
      <c r="C16" s="223">
        <f>'1-A Financial'!$B9</f>
        <v>0</v>
      </c>
      <c r="D16" s="223">
        <f t="shared" si="11"/>
        <v>0</v>
      </c>
      <c r="E16" s="270">
        <v>0</v>
      </c>
      <c r="F16" s="223">
        <f>IF(AND(F$9&gt;$E$4,F$9&lt;$H$4),$C16/(($G$4)/3),0)</f>
        <v>0</v>
      </c>
      <c r="G16" s="223">
        <f t="shared" ref="G16:X16" si="14">IF(AND(G$9&gt;$E$4,G$9&lt;$H$4),$C16/(($G$4)/3),0)</f>
        <v>0</v>
      </c>
      <c r="H16" s="223">
        <f t="shared" si="14"/>
        <v>0</v>
      </c>
      <c r="I16" s="223">
        <f t="shared" si="14"/>
        <v>0</v>
      </c>
      <c r="J16" s="223">
        <f t="shared" si="14"/>
        <v>0</v>
      </c>
      <c r="K16" s="223">
        <f t="shared" si="14"/>
        <v>0</v>
      </c>
      <c r="L16" s="223">
        <f t="shared" si="14"/>
        <v>0</v>
      </c>
      <c r="M16" s="223">
        <f t="shared" si="14"/>
        <v>0</v>
      </c>
      <c r="N16" s="223">
        <f t="shared" si="14"/>
        <v>0</v>
      </c>
      <c r="O16" s="223">
        <f t="shared" si="14"/>
        <v>0</v>
      </c>
      <c r="P16" s="223">
        <f t="shared" si="14"/>
        <v>0</v>
      </c>
      <c r="Q16" s="223">
        <f t="shared" si="14"/>
        <v>0</v>
      </c>
      <c r="R16" s="223">
        <f t="shared" si="14"/>
        <v>0</v>
      </c>
      <c r="S16" s="223">
        <f t="shared" si="14"/>
        <v>0</v>
      </c>
      <c r="T16" s="223">
        <f t="shared" si="14"/>
        <v>0</v>
      </c>
      <c r="U16" s="223">
        <f t="shared" si="14"/>
        <v>0</v>
      </c>
      <c r="V16" s="223">
        <f t="shared" si="14"/>
        <v>0</v>
      </c>
      <c r="W16" s="223">
        <f t="shared" si="14"/>
        <v>0</v>
      </c>
      <c r="X16" s="223">
        <f t="shared" si="14"/>
        <v>0</v>
      </c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4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CH16" s="207"/>
      <c r="CI16" s="207"/>
    </row>
    <row r="17" spans="1:87" ht="20.25" customHeight="1">
      <c r="A17" s="207" t="s">
        <v>391</v>
      </c>
      <c r="B17" s="224">
        <f t="shared" si="10"/>
        <v>808909.2</v>
      </c>
      <c r="C17" s="223">
        <f>'1-A Financial'!$B10</f>
        <v>808909.2</v>
      </c>
      <c r="D17" s="223">
        <f t="shared" si="11"/>
        <v>0</v>
      </c>
      <c r="E17" s="270">
        <v>0</v>
      </c>
      <c r="F17" s="223">
        <f>IF(F6=$F$3,$C$17,0)</f>
        <v>0</v>
      </c>
      <c r="G17" s="223">
        <f t="shared" ref="G17:X17" si="15">IF(G6=$F$3,$C$17,0)</f>
        <v>0</v>
      </c>
      <c r="H17" s="223">
        <f t="shared" si="15"/>
        <v>0</v>
      </c>
      <c r="I17" s="223">
        <f t="shared" si="15"/>
        <v>0</v>
      </c>
      <c r="J17" s="223">
        <f t="shared" si="15"/>
        <v>808909.2</v>
      </c>
      <c r="K17" s="223">
        <f t="shared" si="15"/>
        <v>0</v>
      </c>
      <c r="L17" s="223">
        <f t="shared" si="15"/>
        <v>0</v>
      </c>
      <c r="M17" s="223">
        <f t="shared" si="15"/>
        <v>0</v>
      </c>
      <c r="N17" s="223">
        <f t="shared" si="15"/>
        <v>0</v>
      </c>
      <c r="O17" s="223">
        <f t="shared" si="15"/>
        <v>0</v>
      </c>
      <c r="P17" s="223">
        <f t="shared" si="15"/>
        <v>0</v>
      </c>
      <c r="Q17" s="223">
        <f t="shared" si="15"/>
        <v>0</v>
      </c>
      <c r="R17" s="223">
        <f t="shared" si="15"/>
        <v>0</v>
      </c>
      <c r="S17" s="223">
        <f t="shared" si="15"/>
        <v>0</v>
      </c>
      <c r="T17" s="223">
        <f t="shared" si="15"/>
        <v>0</v>
      </c>
      <c r="U17" s="223">
        <f t="shared" si="15"/>
        <v>0</v>
      </c>
      <c r="V17" s="223">
        <f t="shared" si="15"/>
        <v>0</v>
      </c>
      <c r="W17" s="223">
        <f t="shared" si="15"/>
        <v>0</v>
      </c>
      <c r="X17" s="223">
        <f t="shared" si="15"/>
        <v>0</v>
      </c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4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CH17" s="207"/>
      <c r="CI17" s="207"/>
    </row>
    <row r="18" spans="1:87" ht="20.25" customHeight="1">
      <c r="A18" s="207" t="s">
        <v>393</v>
      </c>
      <c r="B18" s="224">
        <f t="shared" si="10"/>
        <v>14730000</v>
      </c>
      <c r="C18" s="223">
        <f>'1-A Financial'!$B11</f>
        <v>14730000</v>
      </c>
      <c r="D18" s="223">
        <f t="shared" si="11"/>
        <v>0</v>
      </c>
      <c r="E18" s="270">
        <v>0</v>
      </c>
      <c r="F18" s="223">
        <f>$C18*F$13</f>
        <v>0</v>
      </c>
      <c r="G18" s="223">
        <f t="shared" ref="G18:X19" si="16">$C18*G$13</f>
        <v>0</v>
      </c>
      <c r="H18" s="223">
        <f t="shared" si="16"/>
        <v>0</v>
      </c>
      <c r="I18" s="223">
        <f t="shared" si="16"/>
        <v>0</v>
      </c>
      <c r="J18" s="223">
        <f t="shared" si="16"/>
        <v>0</v>
      </c>
      <c r="K18" s="223">
        <f t="shared" si="16"/>
        <v>40310.144311376229</v>
      </c>
      <c r="L18" s="223">
        <f t="shared" si="16"/>
        <v>153155.82171736483</v>
      </c>
      <c r="M18" s="223">
        <f t="shared" si="16"/>
        <v>510485.92294981953</v>
      </c>
      <c r="N18" s="223">
        <f t="shared" si="16"/>
        <v>1258971.7835753444</v>
      </c>
      <c r="O18" s="223">
        <f t="shared" si="16"/>
        <v>2297837.251352102</v>
      </c>
      <c r="P18" s="223">
        <f t="shared" si="16"/>
        <v>3104239.0760939931</v>
      </c>
      <c r="Q18" s="223">
        <f t="shared" si="16"/>
        <v>3104239.0760939941</v>
      </c>
      <c r="R18" s="223">
        <f t="shared" si="16"/>
        <v>2297837.2513521006</v>
      </c>
      <c r="S18" s="223">
        <f t="shared" si="16"/>
        <v>1258971.7835753453</v>
      </c>
      <c r="T18" s="223">
        <f t="shared" si="16"/>
        <v>510485.92294981942</v>
      </c>
      <c r="U18" s="223">
        <f t="shared" si="16"/>
        <v>153155.82171736498</v>
      </c>
      <c r="V18" s="223">
        <f t="shared" si="16"/>
        <v>40310.14431137604</v>
      </c>
      <c r="W18" s="223">
        <f t="shared" si="16"/>
        <v>0</v>
      </c>
      <c r="X18" s="223">
        <f t="shared" si="16"/>
        <v>0</v>
      </c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4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CH18" s="207"/>
      <c r="CI18" s="207"/>
    </row>
    <row r="19" spans="1:87" ht="20.25" customHeight="1">
      <c r="A19" s="207" t="s">
        <v>79</v>
      </c>
      <c r="B19" s="224">
        <f t="shared" si="10"/>
        <v>6356010.04</v>
      </c>
      <c r="C19" s="223">
        <f>'1-A Financial'!$B12</f>
        <v>6356010.04</v>
      </c>
      <c r="D19" s="223">
        <f t="shared" si="11"/>
        <v>0</v>
      </c>
      <c r="E19" s="270">
        <v>0</v>
      </c>
      <c r="F19" s="223">
        <f>$C19*F$13</f>
        <v>0</v>
      </c>
      <c r="G19" s="223">
        <f t="shared" si="16"/>
        <v>0</v>
      </c>
      <c r="H19" s="223">
        <f t="shared" si="16"/>
        <v>0</v>
      </c>
      <c r="I19" s="223">
        <f t="shared" si="16"/>
        <v>0</v>
      </c>
      <c r="J19" s="223">
        <f t="shared" si="16"/>
        <v>0</v>
      </c>
      <c r="K19" s="223">
        <f t="shared" si="16"/>
        <v>17393.868428849706</v>
      </c>
      <c r="L19" s="223">
        <f t="shared" si="16"/>
        <v>66086.893450103249</v>
      </c>
      <c r="M19" s="223">
        <f t="shared" si="16"/>
        <v>220275.19698219412</v>
      </c>
      <c r="N19" s="223">
        <f t="shared" si="16"/>
        <v>543247.61008021701</v>
      </c>
      <c r="O19" s="223">
        <f t="shared" si="16"/>
        <v>991519.12015478371</v>
      </c>
      <c r="P19" s="223">
        <f t="shared" si="16"/>
        <v>1339482.3309038524</v>
      </c>
      <c r="Q19" s="223">
        <f t="shared" si="16"/>
        <v>1339482.3309038526</v>
      </c>
      <c r="R19" s="223">
        <f t="shared" si="16"/>
        <v>991519.12015478301</v>
      </c>
      <c r="S19" s="223">
        <f t="shared" si="16"/>
        <v>543247.61008021736</v>
      </c>
      <c r="T19" s="223">
        <f t="shared" si="16"/>
        <v>220275.19698219409</v>
      </c>
      <c r="U19" s="223">
        <f t="shared" si="16"/>
        <v>66086.893450103322</v>
      </c>
      <c r="V19" s="223">
        <f t="shared" si="16"/>
        <v>17393.868428849626</v>
      </c>
      <c r="W19" s="223">
        <f t="shared" si="16"/>
        <v>0</v>
      </c>
      <c r="X19" s="223">
        <f t="shared" si="16"/>
        <v>0</v>
      </c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4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CH19" s="207"/>
      <c r="CI19" s="207"/>
    </row>
    <row r="20" spans="1:87" ht="20.25" customHeight="1">
      <c r="A20" s="207" t="s">
        <v>83</v>
      </c>
      <c r="B20" s="224">
        <f t="shared" si="10"/>
        <v>4767007.53</v>
      </c>
      <c r="C20" s="223">
        <f>'1-A Financial'!$B13</f>
        <v>4767007.53</v>
      </c>
      <c r="D20" s="223">
        <f t="shared" si="11"/>
        <v>0</v>
      </c>
      <c r="E20" s="270">
        <v>0</v>
      </c>
      <c r="F20" s="223">
        <f>IF(AND(F9&gt;$E$4,F9&lt;$H$4), (($C20)*60%/(($G$4)/3)),IF(OR(F7=1,F7=2,F7=3,F7=4,F7=5,F7=6),(($C20)*40%/6),0))</f>
        <v>572040.90360000008</v>
      </c>
      <c r="G20" s="223">
        <f t="shared" ref="G20:X20" si="17">IF(AND(G9&gt;$E$4,G9&lt;$H$4), (($C20)*60%/(($G$4)/3)),IF(OR(G7=1,G7=2,G7=3,G7=4,G7=5,G7=6),(($C20)*40%/6),0))</f>
        <v>572040.90360000008</v>
      </c>
      <c r="H20" s="223">
        <f t="shared" si="17"/>
        <v>572040.90360000008</v>
      </c>
      <c r="I20" s="223">
        <f t="shared" si="17"/>
        <v>572040.90360000008</v>
      </c>
      <c r="J20" s="223">
        <f t="shared" si="17"/>
        <v>572040.90360000008</v>
      </c>
      <c r="K20" s="223">
        <f t="shared" si="17"/>
        <v>317800.50200000004</v>
      </c>
      <c r="L20" s="223">
        <f t="shared" si="17"/>
        <v>317800.50200000004</v>
      </c>
      <c r="M20" s="223">
        <f t="shared" si="17"/>
        <v>317800.50200000004</v>
      </c>
      <c r="N20" s="223">
        <f t="shared" si="17"/>
        <v>317800.50200000004</v>
      </c>
      <c r="O20" s="223">
        <f t="shared" si="17"/>
        <v>317800.50200000004</v>
      </c>
      <c r="P20" s="223">
        <f t="shared" si="17"/>
        <v>317800.50200000004</v>
      </c>
      <c r="Q20" s="223">
        <f t="shared" si="17"/>
        <v>0</v>
      </c>
      <c r="R20" s="223">
        <f t="shared" si="17"/>
        <v>0</v>
      </c>
      <c r="S20" s="223">
        <f t="shared" si="17"/>
        <v>0</v>
      </c>
      <c r="T20" s="223">
        <f t="shared" si="17"/>
        <v>0</v>
      </c>
      <c r="U20" s="223">
        <f t="shared" si="17"/>
        <v>0</v>
      </c>
      <c r="V20" s="223">
        <f t="shared" si="17"/>
        <v>0</v>
      </c>
      <c r="W20" s="223">
        <f t="shared" si="17"/>
        <v>0</v>
      </c>
      <c r="X20" s="223">
        <f t="shared" si="17"/>
        <v>0</v>
      </c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4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CH20" s="207"/>
      <c r="CI20" s="207"/>
    </row>
    <row r="21" spans="1:87" ht="20.25" customHeight="1">
      <c r="A21" s="207" t="s">
        <v>84</v>
      </c>
      <c r="B21" s="224">
        <f t="shared" si="10"/>
        <v>20222.73</v>
      </c>
      <c r="C21" s="223">
        <f>'1-A Financial'!$B14</f>
        <v>20222.73</v>
      </c>
      <c r="D21" s="223">
        <f t="shared" si="11"/>
        <v>0</v>
      </c>
      <c r="E21" s="270">
        <v>0</v>
      </c>
      <c r="F21" s="223">
        <f>IF(F17=0,0,$C$21)</f>
        <v>0</v>
      </c>
      <c r="G21" s="223">
        <f t="shared" ref="G21:X21" si="18">IF(G17=0,0,$C$21)</f>
        <v>0</v>
      </c>
      <c r="H21" s="223">
        <f t="shared" si="18"/>
        <v>0</v>
      </c>
      <c r="I21" s="223">
        <f t="shared" si="18"/>
        <v>0</v>
      </c>
      <c r="J21" s="223">
        <f t="shared" si="18"/>
        <v>20222.73</v>
      </c>
      <c r="K21" s="223">
        <f t="shared" si="18"/>
        <v>0</v>
      </c>
      <c r="L21" s="223">
        <f t="shared" si="18"/>
        <v>0</v>
      </c>
      <c r="M21" s="223">
        <f t="shared" si="18"/>
        <v>0</v>
      </c>
      <c r="N21" s="223">
        <f t="shared" si="18"/>
        <v>0</v>
      </c>
      <c r="O21" s="223">
        <f t="shared" si="18"/>
        <v>0</v>
      </c>
      <c r="P21" s="223">
        <f t="shared" si="18"/>
        <v>0</v>
      </c>
      <c r="Q21" s="223">
        <f t="shared" si="18"/>
        <v>0</v>
      </c>
      <c r="R21" s="223">
        <f t="shared" si="18"/>
        <v>0</v>
      </c>
      <c r="S21" s="223">
        <f t="shared" si="18"/>
        <v>0</v>
      </c>
      <c r="T21" s="223">
        <f t="shared" si="18"/>
        <v>0</v>
      </c>
      <c r="U21" s="223">
        <f t="shared" si="18"/>
        <v>0</v>
      </c>
      <c r="V21" s="223">
        <f t="shared" si="18"/>
        <v>0</v>
      </c>
      <c r="W21" s="223">
        <f t="shared" si="18"/>
        <v>0</v>
      </c>
      <c r="X21" s="223">
        <f t="shared" si="18"/>
        <v>0</v>
      </c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4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CH21" s="207"/>
      <c r="CI21" s="207"/>
    </row>
    <row r="22" spans="1:87" ht="20.25" customHeight="1">
      <c r="A22" s="207" t="s">
        <v>85</v>
      </c>
      <c r="B22" s="224">
        <f t="shared" si="10"/>
        <v>6356010.0400000019</v>
      </c>
      <c r="C22" s="223">
        <f>'1-A Financial'!$B15</f>
        <v>6356010.04</v>
      </c>
      <c r="D22" s="223">
        <f t="shared" si="11"/>
        <v>0</v>
      </c>
      <c r="E22" s="270">
        <v>0</v>
      </c>
      <c r="F22" s="223">
        <f>IF(AND(F9&gt;$E$4,F9&lt;$H$4), (($C22)*60%/(($G$4)/3)),IF(OR(F7=1,F7=2,F7=3,F7=4,F7=5,F7=6),(($C22)*40%/6),0))</f>
        <v>762721.20479999995</v>
      </c>
      <c r="G22" s="223">
        <f t="shared" ref="G22:X22" si="19">IF(AND(G9&gt;$E$4,G9&lt;$H$4), (($C22)*60%/(($G$4)/3)),IF(OR(G7=1,G7=2,G7=3,G7=4,G7=5,G7=6),(($C22)*40%/6),0))</f>
        <v>762721.20479999995</v>
      </c>
      <c r="H22" s="223">
        <f t="shared" si="19"/>
        <v>762721.20479999995</v>
      </c>
      <c r="I22" s="223">
        <f t="shared" si="19"/>
        <v>762721.20479999995</v>
      </c>
      <c r="J22" s="223">
        <f t="shared" si="19"/>
        <v>762721.20479999995</v>
      </c>
      <c r="K22" s="223">
        <f t="shared" si="19"/>
        <v>423734.0026666667</v>
      </c>
      <c r="L22" s="223">
        <f t="shared" si="19"/>
        <v>423734.0026666667</v>
      </c>
      <c r="M22" s="223">
        <f t="shared" si="19"/>
        <v>423734.0026666667</v>
      </c>
      <c r="N22" s="223">
        <f t="shared" si="19"/>
        <v>423734.0026666667</v>
      </c>
      <c r="O22" s="223">
        <f t="shared" si="19"/>
        <v>423734.0026666667</v>
      </c>
      <c r="P22" s="223">
        <f t="shared" si="19"/>
        <v>423734.0026666667</v>
      </c>
      <c r="Q22" s="223">
        <f t="shared" si="19"/>
        <v>0</v>
      </c>
      <c r="R22" s="223">
        <f t="shared" si="19"/>
        <v>0</v>
      </c>
      <c r="S22" s="223">
        <f t="shared" si="19"/>
        <v>0</v>
      </c>
      <c r="T22" s="223">
        <f t="shared" si="19"/>
        <v>0</v>
      </c>
      <c r="U22" s="223">
        <f t="shared" si="19"/>
        <v>0</v>
      </c>
      <c r="V22" s="223">
        <f t="shared" si="19"/>
        <v>0</v>
      </c>
      <c r="W22" s="223">
        <f t="shared" si="19"/>
        <v>0</v>
      </c>
      <c r="X22" s="223">
        <f t="shared" si="19"/>
        <v>0</v>
      </c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4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CH22" s="207"/>
      <c r="CI22" s="207"/>
    </row>
    <row r="23" spans="1:87" ht="20.25" customHeight="1">
      <c r="A23" s="207" t="s">
        <v>86</v>
      </c>
      <c r="B23" s="224">
        <f t="shared" si="10"/>
        <v>11123017.57</v>
      </c>
      <c r="C23" s="223">
        <f>'1-A Financial'!$B16</f>
        <v>11123017.57</v>
      </c>
      <c r="D23" s="223">
        <f t="shared" si="11"/>
        <v>0</v>
      </c>
      <c r="E23" s="270">
        <v>0</v>
      </c>
      <c r="F23" s="223">
        <f>IF(AND(F$9&gt;$F$4,F9&lt;$K$4),$C23/(($J$4)/3),0)</f>
        <v>0</v>
      </c>
      <c r="G23" s="223">
        <f t="shared" ref="G23:X23" si="20">IF(AND(G$9&gt;$F$4,G9&lt;$K$4),$C23/(($J$4)/3),0)</f>
        <v>0</v>
      </c>
      <c r="H23" s="223">
        <f t="shared" si="20"/>
        <v>0</v>
      </c>
      <c r="I23" s="223">
        <f t="shared" si="20"/>
        <v>0</v>
      </c>
      <c r="J23" s="223">
        <f t="shared" si="20"/>
        <v>0</v>
      </c>
      <c r="K23" s="223">
        <f t="shared" si="20"/>
        <v>926918.13083333336</v>
      </c>
      <c r="L23" s="223">
        <f t="shared" si="20"/>
        <v>926918.13083333336</v>
      </c>
      <c r="M23" s="223">
        <f t="shared" si="20"/>
        <v>926918.13083333336</v>
      </c>
      <c r="N23" s="223">
        <f t="shared" si="20"/>
        <v>926918.13083333336</v>
      </c>
      <c r="O23" s="223">
        <f t="shared" si="20"/>
        <v>926918.13083333336</v>
      </c>
      <c r="P23" s="223">
        <f t="shared" si="20"/>
        <v>926918.13083333336</v>
      </c>
      <c r="Q23" s="223">
        <f t="shared" si="20"/>
        <v>926918.13083333336</v>
      </c>
      <c r="R23" s="223">
        <f t="shared" si="20"/>
        <v>926918.13083333336</v>
      </c>
      <c r="S23" s="223">
        <f t="shared" si="20"/>
        <v>926918.13083333336</v>
      </c>
      <c r="T23" s="223">
        <f t="shared" si="20"/>
        <v>926918.13083333336</v>
      </c>
      <c r="U23" s="223">
        <f t="shared" si="20"/>
        <v>926918.13083333336</v>
      </c>
      <c r="V23" s="223">
        <f t="shared" si="20"/>
        <v>926918.13083333336</v>
      </c>
      <c r="W23" s="223">
        <f t="shared" si="20"/>
        <v>0</v>
      </c>
      <c r="X23" s="223">
        <f t="shared" si="20"/>
        <v>0</v>
      </c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4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CH23" s="207"/>
      <c r="CI23" s="207"/>
    </row>
    <row r="24" spans="1:87" ht="20.25" customHeight="1">
      <c r="A24" s="207" t="s">
        <v>88</v>
      </c>
      <c r="B24" s="224">
        <f t="shared" si="10"/>
        <v>6356010.0399999982</v>
      </c>
      <c r="C24" s="223">
        <f>'1-A Financial'!$B17</f>
        <v>6356010.04</v>
      </c>
      <c r="D24" s="223">
        <f t="shared" si="11"/>
        <v>0</v>
      </c>
      <c r="E24" s="270">
        <v>0</v>
      </c>
      <c r="F24" s="223">
        <f>IF(AND(F$9&gt;$F$4,F$9&lt;$K$4),$C24/(($J$4)/3),0)</f>
        <v>0</v>
      </c>
      <c r="G24" s="223">
        <f t="shared" ref="G24:X24" si="21">IF(AND(G$9&gt;$F$4,G$9&lt;$K$4),$C24/(($J$4)/3),0)</f>
        <v>0</v>
      </c>
      <c r="H24" s="223">
        <f t="shared" si="21"/>
        <v>0</v>
      </c>
      <c r="I24" s="223">
        <f t="shared" si="21"/>
        <v>0</v>
      </c>
      <c r="J24" s="223">
        <f t="shared" si="21"/>
        <v>0</v>
      </c>
      <c r="K24" s="223">
        <f t="shared" si="21"/>
        <v>529667.5033333333</v>
      </c>
      <c r="L24" s="223">
        <f t="shared" si="21"/>
        <v>529667.5033333333</v>
      </c>
      <c r="M24" s="223">
        <f t="shared" si="21"/>
        <v>529667.5033333333</v>
      </c>
      <c r="N24" s="223">
        <f t="shared" si="21"/>
        <v>529667.5033333333</v>
      </c>
      <c r="O24" s="223">
        <f t="shared" si="21"/>
        <v>529667.5033333333</v>
      </c>
      <c r="P24" s="223">
        <f t="shared" si="21"/>
        <v>529667.5033333333</v>
      </c>
      <c r="Q24" s="223">
        <f t="shared" si="21"/>
        <v>529667.5033333333</v>
      </c>
      <c r="R24" s="223">
        <f t="shared" si="21"/>
        <v>529667.5033333333</v>
      </c>
      <c r="S24" s="223">
        <f t="shared" si="21"/>
        <v>529667.5033333333</v>
      </c>
      <c r="T24" s="223">
        <f t="shared" si="21"/>
        <v>529667.5033333333</v>
      </c>
      <c r="U24" s="223">
        <f t="shared" si="21"/>
        <v>529667.5033333333</v>
      </c>
      <c r="V24" s="223">
        <f t="shared" si="21"/>
        <v>529667.5033333333</v>
      </c>
      <c r="W24" s="223">
        <f t="shared" si="21"/>
        <v>0</v>
      </c>
      <c r="X24" s="223">
        <f t="shared" si="21"/>
        <v>0</v>
      </c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4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CH24" s="207"/>
      <c r="CI24" s="207"/>
    </row>
    <row r="25" spans="1:87" ht="20.25" customHeight="1">
      <c r="A25" s="207" t="s">
        <v>93</v>
      </c>
      <c r="B25" s="224">
        <f t="shared" si="10"/>
        <v>15890025.100000003</v>
      </c>
      <c r="C25" s="223">
        <f>'1-A Financial'!$B18</f>
        <v>15890025.100000001</v>
      </c>
      <c r="D25" s="223">
        <f t="shared" si="11"/>
        <v>0</v>
      </c>
      <c r="E25" s="270">
        <v>0</v>
      </c>
      <c r="F25" s="223">
        <f>$C25*F$13</f>
        <v>0</v>
      </c>
      <c r="G25" s="223">
        <f t="shared" ref="G25:X25" si="22">$C25*G$13</f>
        <v>0</v>
      </c>
      <c r="H25" s="223">
        <f t="shared" si="22"/>
        <v>0</v>
      </c>
      <c r="I25" s="223">
        <f t="shared" si="22"/>
        <v>0</v>
      </c>
      <c r="J25" s="223">
        <f t="shared" si="22"/>
        <v>0</v>
      </c>
      <c r="K25" s="223">
        <f t="shared" si="22"/>
        <v>43484.671072124271</v>
      </c>
      <c r="L25" s="223">
        <f t="shared" si="22"/>
        <v>165217.23362525814</v>
      </c>
      <c r="M25" s="223">
        <f t="shared" si="22"/>
        <v>550687.99245548539</v>
      </c>
      <c r="N25" s="223">
        <f t="shared" si="22"/>
        <v>1358119.0252005425</v>
      </c>
      <c r="O25" s="223">
        <f t="shared" si="22"/>
        <v>2478797.8003869597</v>
      </c>
      <c r="P25" s="223">
        <f t="shared" si="22"/>
        <v>3348705.8272596309</v>
      </c>
      <c r="Q25" s="223">
        <f t="shared" si="22"/>
        <v>3348705.8272596318</v>
      </c>
      <c r="R25" s="223">
        <f t="shared" si="22"/>
        <v>2478797.8003869578</v>
      </c>
      <c r="S25" s="223">
        <f t="shared" si="22"/>
        <v>1358119.0252005435</v>
      </c>
      <c r="T25" s="223">
        <f t="shared" si="22"/>
        <v>550687.99245548528</v>
      </c>
      <c r="U25" s="223">
        <f t="shared" si="22"/>
        <v>165217.23362525832</v>
      </c>
      <c r="V25" s="223">
        <f t="shared" si="22"/>
        <v>43484.671072124074</v>
      </c>
      <c r="W25" s="223">
        <f t="shared" si="22"/>
        <v>0</v>
      </c>
      <c r="X25" s="223">
        <f t="shared" si="22"/>
        <v>0</v>
      </c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4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CH25" s="207"/>
      <c r="CI25" s="207"/>
    </row>
    <row r="26" spans="1:87" ht="20.25" customHeight="1">
      <c r="A26" s="207" t="s">
        <v>97</v>
      </c>
      <c r="B26" s="224">
        <f t="shared" si="10"/>
        <v>4767007.53</v>
      </c>
      <c r="C26" s="223">
        <f>'1-A Financial'!$B19</f>
        <v>4767007.53</v>
      </c>
      <c r="D26" s="223">
        <f t="shared" si="11"/>
        <v>0</v>
      </c>
      <c r="E26" s="270">
        <v>0</v>
      </c>
      <c r="F26" s="273">
        <f>IF(AND(F9&gt;$E$4,F9&lt;$H$4),(($C26)*20%/(($G$4)/3)),IF((F7=1),(($C26)*80%),0))</f>
        <v>190680.30120000002</v>
      </c>
      <c r="G26" s="273">
        <f t="shared" ref="G26:X26" si="23">IF(AND(G9&gt;$E$4,G9&lt;$H$4),(($C26)*20%/(($G$4)/3)),IF((G7=1),(($C26)*80%),0))</f>
        <v>190680.30120000002</v>
      </c>
      <c r="H26" s="273">
        <f t="shared" si="23"/>
        <v>190680.30120000002</v>
      </c>
      <c r="I26" s="273">
        <f t="shared" si="23"/>
        <v>190680.30120000002</v>
      </c>
      <c r="J26" s="273">
        <f t="shared" si="23"/>
        <v>190680.30120000002</v>
      </c>
      <c r="K26" s="273">
        <f t="shared" si="23"/>
        <v>3813606.0240000002</v>
      </c>
      <c r="L26" s="273">
        <f t="shared" si="23"/>
        <v>0</v>
      </c>
      <c r="M26" s="273">
        <f t="shared" si="23"/>
        <v>0</v>
      </c>
      <c r="N26" s="273">
        <f t="shared" si="23"/>
        <v>0</v>
      </c>
      <c r="O26" s="273">
        <f t="shared" si="23"/>
        <v>0</v>
      </c>
      <c r="P26" s="273">
        <f t="shared" si="23"/>
        <v>0</v>
      </c>
      <c r="Q26" s="273">
        <f t="shared" si="23"/>
        <v>0</v>
      </c>
      <c r="R26" s="273">
        <f t="shared" si="23"/>
        <v>0</v>
      </c>
      <c r="S26" s="273">
        <f t="shared" si="23"/>
        <v>0</v>
      </c>
      <c r="T26" s="273">
        <f t="shared" si="23"/>
        <v>0</v>
      </c>
      <c r="U26" s="273">
        <f t="shared" si="23"/>
        <v>0</v>
      </c>
      <c r="V26" s="273">
        <f t="shared" si="23"/>
        <v>0</v>
      </c>
      <c r="W26" s="273">
        <f t="shared" si="23"/>
        <v>0</v>
      </c>
      <c r="X26" s="273">
        <f t="shared" si="23"/>
        <v>0</v>
      </c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4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CH26" s="207"/>
      <c r="CI26" s="207"/>
    </row>
    <row r="27" spans="1:87" ht="20.25" customHeight="1">
      <c r="A27" s="207" t="s">
        <v>100</v>
      </c>
      <c r="B27" s="224">
        <f t="shared" si="10"/>
        <v>0</v>
      </c>
      <c r="C27" s="223">
        <f>'1-A Financial'!$B20</f>
        <v>0</v>
      </c>
      <c r="D27" s="223">
        <f t="shared" si="11"/>
        <v>0</v>
      </c>
      <c r="E27" s="270">
        <v>0</v>
      </c>
      <c r="F27" s="223">
        <f>IF(F$8=1,$C27/COUNTIF($E$8:$X$8,"1"),0)</f>
        <v>0</v>
      </c>
      <c r="G27" s="223">
        <f t="shared" ref="G27:X27" si="24">IF(G$8=1,$C27/COUNTIF($E$8:$X$8,"1"),0)</f>
        <v>0</v>
      </c>
      <c r="H27" s="223">
        <f>IF(H$8=1,$C27/COUNTIF($E$8:$X$8,"1"),0)</f>
        <v>0</v>
      </c>
      <c r="I27" s="223">
        <f t="shared" si="24"/>
        <v>0</v>
      </c>
      <c r="J27" s="223">
        <f t="shared" si="24"/>
        <v>0</v>
      </c>
      <c r="K27" s="223">
        <f t="shared" si="24"/>
        <v>0</v>
      </c>
      <c r="L27" s="223">
        <f t="shared" si="24"/>
        <v>0</v>
      </c>
      <c r="M27" s="223">
        <f t="shared" si="24"/>
        <v>0</v>
      </c>
      <c r="N27" s="223">
        <f t="shared" si="24"/>
        <v>0</v>
      </c>
      <c r="O27" s="223">
        <f t="shared" si="24"/>
        <v>0</v>
      </c>
      <c r="P27" s="223">
        <f t="shared" si="24"/>
        <v>0</v>
      </c>
      <c r="Q27" s="223">
        <f t="shared" si="24"/>
        <v>0</v>
      </c>
      <c r="R27" s="223">
        <f t="shared" si="24"/>
        <v>0</v>
      </c>
      <c r="S27" s="223">
        <f t="shared" si="24"/>
        <v>0</v>
      </c>
      <c r="T27" s="223">
        <f t="shared" si="24"/>
        <v>0</v>
      </c>
      <c r="U27" s="223">
        <f t="shared" si="24"/>
        <v>0</v>
      </c>
      <c r="V27" s="223">
        <f t="shared" si="24"/>
        <v>0</v>
      </c>
      <c r="W27" s="223">
        <f t="shared" si="24"/>
        <v>0</v>
      </c>
      <c r="X27" s="223">
        <f t="shared" si="24"/>
        <v>0</v>
      </c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4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CH27" s="207"/>
      <c r="CI27" s="207"/>
    </row>
    <row r="28" spans="1:87" ht="20.25" customHeight="1">
      <c r="A28" s="207" t="s">
        <v>103</v>
      </c>
      <c r="B28" s="224">
        <f t="shared" si="10"/>
        <v>0</v>
      </c>
      <c r="C28" s="223">
        <f>'1-A Financial'!$B21</f>
        <v>0</v>
      </c>
      <c r="D28" s="223">
        <f t="shared" si="11"/>
        <v>0</v>
      </c>
      <c r="E28" s="270">
        <v>0</v>
      </c>
      <c r="F28" s="223">
        <f>IF(AND(F9&gt;$I$4,F9&lt;=$L$4),$C28/(($M$4)/3),0)</f>
        <v>0</v>
      </c>
      <c r="G28" s="223">
        <f t="shared" ref="G28:X28" si="25">IF(AND(G9&gt;$I$4,G9&lt;=$L$4),$C28/(($M$4)/3),0)</f>
        <v>0</v>
      </c>
      <c r="H28" s="223">
        <f t="shared" si="25"/>
        <v>0</v>
      </c>
      <c r="I28" s="223">
        <f t="shared" si="25"/>
        <v>0</v>
      </c>
      <c r="J28" s="223">
        <f t="shared" si="25"/>
        <v>0</v>
      </c>
      <c r="K28" s="223">
        <f t="shared" si="25"/>
        <v>0</v>
      </c>
      <c r="L28" s="223">
        <f t="shared" si="25"/>
        <v>0</v>
      </c>
      <c r="M28" s="223">
        <f t="shared" si="25"/>
        <v>0</v>
      </c>
      <c r="N28" s="223">
        <f t="shared" si="25"/>
        <v>0</v>
      </c>
      <c r="O28" s="223">
        <f t="shared" si="25"/>
        <v>0</v>
      </c>
      <c r="P28" s="223">
        <f t="shared" si="25"/>
        <v>0</v>
      </c>
      <c r="Q28" s="223">
        <f t="shared" si="25"/>
        <v>0</v>
      </c>
      <c r="R28" s="223">
        <f t="shared" si="25"/>
        <v>0</v>
      </c>
      <c r="S28" s="223">
        <f t="shared" si="25"/>
        <v>0</v>
      </c>
      <c r="T28" s="223">
        <f t="shared" si="25"/>
        <v>0</v>
      </c>
      <c r="U28" s="223">
        <f t="shared" si="25"/>
        <v>0</v>
      </c>
      <c r="V28" s="223">
        <f t="shared" si="25"/>
        <v>0</v>
      </c>
      <c r="W28" s="223">
        <f t="shared" si="25"/>
        <v>0</v>
      </c>
      <c r="X28" s="223">
        <f t="shared" si="25"/>
        <v>0</v>
      </c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4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CH28" s="207"/>
      <c r="CI28" s="207"/>
    </row>
    <row r="29" spans="1:87" ht="20.25" customHeight="1">
      <c r="A29" s="207" t="s">
        <v>106</v>
      </c>
      <c r="B29" s="224">
        <f t="shared" si="10"/>
        <v>0</v>
      </c>
      <c r="C29" s="223">
        <f>'1-A Financial'!$B22</f>
        <v>0</v>
      </c>
      <c r="D29" s="223">
        <f t="shared" si="11"/>
        <v>0</v>
      </c>
      <c r="E29" s="270">
        <v>0</v>
      </c>
      <c r="F29" s="223">
        <f>IF(F$8=1,$C29/COUNTIF($E$8:$X$8,"1"),0)</f>
        <v>0</v>
      </c>
      <c r="G29" s="223">
        <f t="shared" ref="G29:X29" si="26">IF(G$8=1,$C29/COUNTIF($E$8:$X$8,"1"),0)</f>
        <v>0</v>
      </c>
      <c r="H29" s="223">
        <f t="shared" si="26"/>
        <v>0</v>
      </c>
      <c r="I29" s="223">
        <f t="shared" si="26"/>
        <v>0</v>
      </c>
      <c r="J29" s="223">
        <f t="shared" si="26"/>
        <v>0</v>
      </c>
      <c r="K29" s="223">
        <f t="shared" si="26"/>
        <v>0</v>
      </c>
      <c r="L29" s="223">
        <f t="shared" si="26"/>
        <v>0</v>
      </c>
      <c r="M29" s="223">
        <f t="shared" si="26"/>
        <v>0</v>
      </c>
      <c r="N29" s="223">
        <f t="shared" si="26"/>
        <v>0</v>
      </c>
      <c r="O29" s="223">
        <f t="shared" si="26"/>
        <v>0</v>
      </c>
      <c r="P29" s="223">
        <f t="shared" si="26"/>
        <v>0</v>
      </c>
      <c r="Q29" s="223">
        <f t="shared" si="26"/>
        <v>0</v>
      </c>
      <c r="R29" s="223">
        <f t="shared" si="26"/>
        <v>0</v>
      </c>
      <c r="S29" s="223">
        <f t="shared" si="26"/>
        <v>0</v>
      </c>
      <c r="T29" s="223">
        <f t="shared" si="26"/>
        <v>0</v>
      </c>
      <c r="U29" s="223">
        <f t="shared" si="26"/>
        <v>0</v>
      </c>
      <c r="V29" s="223">
        <f t="shared" si="26"/>
        <v>0</v>
      </c>
      <c r="W29" s="223">
        <f t="shared" si="26"/>
        <v>0</v>
      </c>
      <c r="X29" s="223">
        <f t="shared" si="26"/>
        <v>0</v>
      </c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4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CH29" s="207"/>
      <c r="CI29" s="207"/>
    </row>
    <row r="30" spans="1:87" ht="20.25" customHeight="1">
      <c r="A30" s="207" t="s">
        <v>403</v>
      </c>
      <c r="B30" s="224">
        <f t="shared" si="10"/>
        <v>0</v>
      </c>
      <c r="C30" s="223">
        <f>'1-A Financial'!$B23</f>
        <v>0</v>
      </c>
      <c r="D30" s="223">
        <f t="shared" si="11"/>
        <v>0</v>
      </c>
      <c r="E30" s="270">
        <v>0</v>
      </c>
      <c r="F30" s="223">
        <f>IF(AND(F$9&gt;$I$4,F$9&lt;$L$4),$C30,0)</f>
        <v>0</v>
      </c>
      <c r="G30" s="223">
        <f t="shared" ref="G30:X30" si="27">IF(AND(G$9&gt;$I$4,G$9&lt;$L$4),$C30,0)</f>
        <v>0</v>
      </c>
      <c r="H30" s="223">
        <f t="shared" si="27"/>
        <v>0</v>
      </c>
      <c r="I30" s="223">
        <f t="shared" si="27"/>
        <v>0</v>
      </c>
      <c r="J30" s="223">
        <f t="shared" si="27"/>
        <v>0</v>
      </c>
      <c r="K30" s="223">
        <f t="shared" si="27"/>
        <v>0</v>
      </c>
      <c r="L30" s="223">
        <f t="shared" si="27"/>
        <v>0</v>
      </c>
      <c r="M30" s="223">
        <f t="shared" si="27"/>
        <v>0</v>
      </c>
      <c r="N30" s="223">
        <f t="shared" si="27"/>
        <v>0</v>
      </c>
      <c r="O30" s="223">
        <f t="shared" si="27"/>
        <v>0</v>
      </c>
      <c r="P30" s="223">
        <f t="shared" si="27"/>
        <v>0</v>
      </c>
      <c r="Q30" s="223">
        <f t="shared" si="27"/>
        <v>0</v>
      </c>
      <c r="R30" s="223">
        <f t="shared" si="27"/>
        <v>0</v>
      </c>
      <c r="S30" s="223">
        <f t="shared" si="27"/>
        <v>0</v>
      </c>
      <c r="T30" s="223">
        <f t="shared" si="27"/>
        <v>0</v>
      </c>
      <c r="U30" s="223">
        <f t="shared" si="27"/>
        <v>0</v>
      </c>
      <c r="V30" s="223">
        <f t="shared" si="27"/>
        <v>0</v>
      </c>
      <c r="W30" s="223">
        <f t="shared" si="27"/>
        <v>0</v>
      </c>
      <c r="X30" s="223">
        <f t="shared" si="27"/>
        <v>0</v>
      </c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4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CH30" s="207"/>
      <c r="CI30" s="207"/>
    </row>
    <row r="31" spans="1:87" ht="20.25" customHeight="1">
      <c r="A31" s="207" t="s">
        <v>112</v>
      </c>
      <c r="B31" s="224">
        <f t="shared" si="10"/>
        <v>1217029.6587000003</v>
      </c>
      <c r="C31" s="223">
        <f>'1-A Financial'!$B24</f>
        <v>1217029.6587000003</v>
      </c>
      <c r="D31" s="223">
        <f t="shared" si="11"/>
        <v>0</v>
      </c>
      <c r="E31" s="270">
        <v>0</v>
      </c>
      <c r="F31" s="223">
        <f t="shared" ref="F31:X31" si="28">IF(F$13&gt;0,$C31/(($J$4)/3),0)</f>
        <v>0</v>
      </c>
      <c r="G31" s="223">
        <f t="shared" si="28"/>
        <v>0</v>
      </c>
      <c r="H31" s="223">
        <f t="shared" si="28"/>
        <v>0</v>
      </c>
      <c r="I31" s="223">
        <f t="shared" si="28"/>
        <v>0</v>
      </c>
      <c r="J31" s="223">
        <f t="shared" si="28"/>
        <v>0</v>
      </c>
      <c r="K31" s="223">
        <f t="shared" si="28"/>
        <v>101419.13822500002</v>
      </c>
      <c r="L31" s="223">
        <f t="shared" si="28"/>
        <v>101419.13822500002</v>
      </c>
      <c r="M31" s="223">
        <f t="shared" si="28"/>
        <v>101419.13822500002</v>
      </c>
      <c r="N31" s="223">
        <f t="shared" si="28"/>
        <v>101419.13822500002</v>
      </c>
      <c r="O31" s="223">
        <f t="shared" si="28"/>
        <v>101419.13822500002</v>
      </c>
      <c r="P31" s="223">
        <f t="shared" si="28"/>
        <v>101419.13822500002</v>
      </c>
      <c r="Q31" s="223">
        <f t="shared" si="28"/>
        <v>101419.13822500002</v>
      </c>
      <c r="R31" s="223">
        <f t="shared" si="28"/>
        <v>101419.13822500002</v>
      </c>
      <c r="S31" s="223">
        <f t="shared" si="28"/>
        <v>101419.13822500002</v>
      </c>
      <c r="T31" s="223">
        <f t="shared" si="28"/>
        <v>101419.13822500002</v>
      </c>
      <c r="U31" s="223">
        <f t="shared" si="28"/>
        <v>101419.13822500002</v>
      </c>
      <c r="V31" s="223">
        <f t="shared" si="28"/>
        <v>101419.13822500002</v>
      </c>
      <c r="W31" s="223">
        <f t="shared" si="28"/>
        <v>0</v>
      </c>
      <c r="X31" s="223">
        <f t="shared" si="28"/>
        <v>0</v>
      </c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CH31" s="207"/>
      <c r="CI31" s="207"/>
    </row>
    <row r="32" spans="1:87" ht="20.25" customHeight="1">
      <c r="A32" s="207" t="s">
        <v>165</v>
      </c>
      <c r="B32" s="224">
        <f>SUM(E32:X32)</f>
        <v>-3499999.9999999995</v>
      </c>
      <c r="C32" s="223">
        <f>'1-A Financial'!$B25</f>
        <v>-3500000</v>
      </c>
      <c r="D32" s="223">
        <f>B32-C32</f>
        <v>0</v>
      </c>
      <c r="E32" s="270">
        <v>0</v>
      </c>
      <c r="F32" s="223">
        <f>$C32*F$13</f>
        <v>0</v>
      </c>
      <c r="G32" s="223">
        <f t="shared" ref="G32:X32" si="29">$C32*G$13</f>
        <v>0</v>
      </c>
      <c r="H32" s="223">
        <f t="shared" si="29"/>
        <v>0</v>
      </c>
      <c r="I32" s="223">
        <f t="shared" si="29"/>
        <v>0</v>
      </c>
      <c r="J32" s="223">
        <f t="shared" si="29"/>
        <v>0</v>
      </c>
      <c r="K32" s="223">
        <f t="shared" si="29"/>
        <v>-9578.1062518545004</v>
      </c>
      <c r="L32" s="223">
        <f t="shared" si="29"/>
        <v>-36391.403666719409</v>
      </c>
      <c r="M32" s="223">
        <f t="shared" si="29"/>
        <v>-121296.72303627756</v>
      </c>
      <c r="N32" s="223">
        <f t="shared" si="29"/>
        <v>-299144.68720391754</v>
      </c>
      <c r="O32" s="223">
        <f t="shared" si="29"/>
        <v>-545989.84248013294</v>
      </c>
      <c r="P32" s="223">
        <f t="shared" si="29"/>
        <v>-737599.23736109817</v>
      </c>
      <c r="Q32" s="223">
        <f t="shared" si="29"/>
        <v>-737599.23736109829</v>
      </c>
      <c r="R32" s="223">
        <f t="shared" si="29"/>
        <v>-545989.84248013247</v>
      </c>
      <c r="S32" s="223">
        <f t="shared" si="29"/>
        <v>-299144.68720391771</v>
      </c>
      <c r="T32" s="223">
        <f t="shared" si="29"/>
        <v>-121296.72303627753</v>
      </c>
      <c r="U32" s="223">
        <f t="shared" si="29"/>
        <v>-36391.403666719445</v>
      </c>
      <c r="V32" s="223">
        <f t="shared" si="29"/>
        <v>-9578.1062518544568</v>
      </c>
      <c r="W32" s="223">
        <f t="shared" si="29"/>
        <v>0</v>
      </c>
      <c r="X32" s="223">
        <f t="shared" si="29"/>
        <v>0</v>
      </c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4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CH32" s="207"/>
      <c r="CI32" s="207"/>
    </row>
    <row r="33" spans="1:87" ht="20.25" customHeight="1">
      <c r="A33" s="207" t="s">
        <v>38</v>
      </c>
      <c r="B33" s="224">
        <f ca="1">SUM(E33:X33)</f>
        <v>1500000</v>
      </c>
      <c r="C33" s="223">
        <f>'1-A Financial'!$B26</f>
        <v>1500000</v>
      </c>
      <c r="D33" s="223">
        <f ca="1">B33-C33</f>
        <v>0</v>
      </c>
      <c r="E33" s="270">
        <v>0</v>
      </c>
      <c r="F33" s="223">
        <f t="shared" ref="F33:X33" ca="1" si="30">IF(AND(G39&gt;0,F39=0),$C$33,0)</f>
        <v>0</v>
      </c>
      <c r="G33" s="223">
        <f t="shared" ca="1" si="30"/>
        <v>0</v>
      </c>
      <c r="H33" s="223">
        <f t="shared" ca="1" si="30"/>
        <v>0</v>
      </c>
      <c r="I33" s="223">
        <f t="shared" ca="1" si="30"/>
        <v>0</v>
      </c>
      <c r="J33" s="223">
        <f t="shared" ca="1" si="30"/>
        <v>0</v>
      </c>
      <c r="K33" s="223">
        <f t="shared" ca="1" si="30"/>
        <v>0</v>
      </c>
      <c r="L33" s="223">
        <f t="shared" ca="1" si="30"/>
        <v>0</v>
      </c>
      <c r="M33" s="223">
        <f t="shared" ca="1" si="30"/>
        <v>0</v>
      </c>
      <c r="N33" s="223">
        <f t="shared" ca="1" si="30"/>
        <v>1500000</v>
      </c>
      <c r="O33" s="223">
        <f t="shared" ca="1" si="30"/>
        <v>0</v>
      </c>
      <c r="P33" s="223">
        <f t="shared" ca="1" si="30"/>
        <v>0</v>
      </c>
      <c r="Q33" s="223">
        <f t="shared" ca="1" si="30"/>
        <v>0</v>
      </c>
      <c r="R33" s="223">
        <f t="shared" ca="1" si="30"/>
        <v>0</v>
      </c>
      <c r="S33" s="223">
        <f t="shared" ca="1" si="30"/>
        <v>0</v>
      </c>
      <c r="T33" s="223">
        <f t="shared" ca="1" si="30"/>
        <v>0</v>
      </c>
      <c r="U33" s="223">
        <f t="shared" ca="1" si="30"/>
        <v>0</v>
      </c>
      <c r="V33" s="223">
        <f t="shared" ca="1" si="30"/>
        <v>0</v>
      </c>
      <c r="W33" s="223">
        <f t="shared" ca="1" si="30"/>
        <v>0</v>
      </c>
      <c r="X33" s="223">
        <f t="shared" ca="1" si="30"/>
        <v>0</v>
      </c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4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CH33" s="207"/>
      <c r="CI33" s="207"/>
    </row>
    <row r="34" spans="1:87" ht="20.25" customHeight="1">
      <c r="A34" s="207" t="s">
        <v>407</v>
      </c>
      <c r="B34" s="224">
        <f>SUM(E34:X34)</f>
        <v>24000000</v>
      </c>
      <c r="C34" s="223">
        <f>'1-A Financial'!$B27</f>
        <v>24000000</v>
      </c>
      <c r="D34" s="223">
        <f>B34-C34</f>
        <v>0</v>
      </c>
      <c r="E34" s="270">
        <v>0</v>
      </c>
      <c r="F34" s="223">
        <f>IF(F7&lt;&gt;0,$C$34/($J$4/3),0)</f>
        <v>0</v>
      </c>
      <c r="G34" s="223">
        <f t="shared" ref="G34:X34" si="31">IF(G7&lt;&gt;0,$C$34/($J$4/3),0)</f>
        <v>0</v>
      </c>
      <c r="H34" s="223">
        <f t="shared" si="31"/>
        <v>0</v>
      </c>
      <c r="I34" s="223">
        <f t="shared" si="31"/>
        <v>0</v>
      </c>
      <c r="J34" s="223">
        <f t="shared" si="31"/>
        <v>0</v>
      </c>
      <c r="K34" s="223">
        <f t="shared" si="31"/>
        <v>2000000</v>
      </c>
      <c r="L34" s="223">
        <f t="shared" si="31"/>
        <v>2000000</v>
      </c>
      <c r="M34" s="223">
        <f t="shared" si="31"/>
        <v>2000000</v>
      </c>
      <c r="N34" s="223">
        <f t="shared" si="31"/>
        <v>2000000</v>
      </c>
      <c r="O34" s="223">
        <f t="shared" si="31"/>
        <v>2000000</v>
      </c>
      <c r="P34" s="223">
        <f t="shared" si="31"/>
        <v>2000000</v>
      </c>
      <c r="Q34" s="223">
        <f t="shared" si="31"/>
        <v>2000000</v>
      </c>
      <c r="R34" s="223">
        <f t="shared" si="31"/>
        <v>2000000</v>
      </c>
      <c r="S34" s="223">
        <f t="shared" si="31"/>
        <v>2000000</v>
      </c>
      <c r="T34" s="223">
        <f t="shared" si="31"/>
        <v>2000000</v>
      </c>
      <c r="U34" s="223">
        <f t="shared" si="31"/>
        <v>2000000</v>
      </c>
      <c r="V34" s="223">
        <f t="shared" si="31"/>
        <v>2000000</v>
      </c>
      <c r="W34" s="223">
        <f t="shared" si="31"/>
        <v>0</v>
      </c>
      <c r="X34" s="223">
        <f t="shared" si="31"/>
        <v>0</v>
      </c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4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CH34" s="207"/>
      <c r="CI34" s="207"/>
    </row>
    <row r="35" spans="1:87" ht="20.25" customHeight="1">
      <c r="B35" s="252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CH35" s="207"/>
      <c r="CI35" s="207"/>
    </row>
    <row r="36" spans="1:87" s="254" customFormat="1" ht="30" customHeight="1">
      <c r="A36" s="254" t="s">
        <v>408</v>
      </c>
      <c r="B36" s="256">
        <f ca="1">SUM(E36:X36)</f>
        <v>428081776.53869998</v>
      </c>
      <c r="C36" s="255">
        <f>SUM(C14:C34)</f>
        <v>428081776.53870004</v>
      </c>
      <c r="D36" s="255">
        <f ca="1">B36-C36</f>
        <v>0</v>
      </c>
      <c r="E36" s="255">
        <f>SUM(E14:E34)</f>
        <v>0</v>
      </c>
      <c r="F36" s="255">
        <f ca="1">SUM(F14:F34)</f>
        <v>1525442.4096000001</v>
      </c>
      <c r="G36" s="255">
        <f t="shared" ref="G36:X36" ca="1" si="32">SUM(G14:G34)</f>
        <v>1525442.4096000001</v>
      </c>
      <c r="H36" s="255">
        <f t="shared" ca="1" si="32"/>
        <v>1525442.4096000001</v>
      </c>
      <c r="I36" s="255">
        <f t="shared" ca="1" si="32"/>
        <v>1525442.4096000001</v>
      </c>
      <c r="J36" s="255">
        <f t="shared" ca="1" si="32"/>
        <v>2354574.3396000001</v>
      </c>
      <c r="K36" s="255">
        <f t="shared" ca="1" si="32"/>
        <v>9117933.9711334407</v>
      </c>
      <c r="L36" s="255">
        <f t="shared" ca="1" si="32"/>
        <v>8117169.7283147611</v>
      </c>
      <c r="M36" s="255">
        <f t="shared" ca="1" si="32"/>
        <v>17024139.507974748</v>
      </c>
      <c r="N36" s="255">
        <f t="shared" ca="1" si="32"/>
        <v>37181232.537921913</v>
      </c>
      <c r="O36" s="255">
        <f t="shared" ca="1" si="32"/>
        <v>61576457.414598182</v>
      </c>
      <c r="P36" s="255">
        <f t="shared" ca="1" si="32"/>
        <v>81677189.646406949</v>
      </c>
      <c r="Q36" s="255">
        <f t="shared" ca="1" si="32"/>
        <v>80935655.141740307</v>
      </c>
      <c r="R36" s="255">
        <f t="shared" ca="1" si="32"/>
        <v>60834922.909931481</v>
      </c>
      <c r="S36" s="255">
        <f t="shared" ca="1" si="32"/>
        <v>34939698.033255264</v>
      </c>
      <c r="T36" s="255">
        <f t="shared" ca="1" si="32"/>
        <v>16282605.003308076</v>
      </c>
      <c r="U36" s="255">
        <f t="shared" ca="1" si="32"/>
        <v>7375635.2236480974</v>
      </c>
      <c r="V36" s="255">
        <f t="shared" ca="1" si="32"/>
        <v>4562793.4424667675</v>
      </c>
      <c r="W36" s="255">
        <f t="shared" ca="1" si="32"/>
        <v>0</v>
      </c>
      <c r="X36" s="255">
        <f t="shared" ca="1" si="32"/>
        <v>0</v>
      </c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6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</row>
    <row r="37" spans="1:87" s="227" customFormat="1" ht="20.25" customHeight="1">
      <c r="A37" s="227" t="s">
        <v>493</v>
      </c>
      <c r="B37" s="369">
        <f ca="1">SUM(E37:X37)</f>
        <v>128424532.96161003</v>
      </c>
      <c r="C37" s="228"/>
      <c r="D37" s="230"/>
      <c r="E37" s="228">
        <f>E36</f>
        <v>0</v>
      </c>
      <c r="F37" s="228">
        <f t="shared" ref="F37:X37" ca="1" si="33">IF(((E38+F36)&lt;=$B$38),F36,($B$38-E38))</f>
        <v>1525442.4096000001</v>
      </c>
      <c r="G37" s="228">
        <f t="shared" ca="1" si="33"/>
        <v>1525442.4096000001</v>
      </c>
      <c r="H37" s="228">
        <f t="shared" ca="1" si="33"/>
        <v>1525442.4096000001</v>
      </c>
      <c r="I37" s="228">
        <f t="shared" ca="1" si="33"/>
        <v>1525442.4096000001</v>
      </c>
      <c r="J37" s="228">
        <f t="shared" ca="1" si="33"/>
        <v>2354574.3396000001</v>
      </c>
      <c r="K37" s="228">
        <f t="shared" ca="1" si="33"/>
        <v>9117933.9711334407</v>
      </c>
      <c r="L37" s="228">
        <f t="shared" ca="1" si="33"/>
        <v>8117169.7283147611</v>
      </c>
      <c r="M37" s="228">
        <f t="shared" ca="1" si="33"/>
        <v>17024139.507974748</v>
      </c>
      <c r="N37" s="228">
        <f t="shared" ca="1" si="33"/>
        <v>37181232.537921913</v>
      </c>
      <c r="O37" s="228">
        <f t="shared" ca="1" si="33"/>
        <v>48527713.238265172</v>
      </c>
      <c r="P37" s="228">
        <f t="shared" ca="1" si="33"/>
        <v>0</v>
      </c>
      <c r="Q37" s="228">
        <f t="shared" ca="1" si="33"/>
        <v>0</v>
      </c>
      <c r="R37" s="228">
        <f t="shared" ca="1" si="33"/>
        <v>0</v>
      </c>
      <c r="S37" s="228">
        <f t="shared" ca="1" si="33"/>
        <v>0</v>
      </c>
      <c r="T37" s="228">
        <f t="shared" ca="1" si="33"/>
        <v>0</v>
      </c>
      <c r="U37" s="228">
        <f t="shared" ca="1" si="33"/>
        <v>0</v>
      </c>
      <c r="V37" s="228">
        <f t="shared" ca="1" si="33"/>
        <v>0</v>
      </c>
      <c r="W37" s="228">
        <f t="shared" ca="1" si="33"/>
        <v>0</v>
      </c>
      <c r="X37" s="228">
        <f t="shared" ca="1" si="33"/>
        <v>0</v>
      </c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9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</row>
    <row r="38" spans="1:87" ht="20.25" customHeight="1">
      <c r="A38" s="207" t="s">
        <v>494</v>
      </c>
      <c r="B38" s="224">
        <f>'1-A Financial'!$D$15</f>
        <v>128424532.96161003</v>
      </c>
      <c r="C38" s="223"/>
      <c r="D38" s="223"/>
      <c r="E38" s="223">
        <f>IF(OR(E9&lt;$E$4,E9&gt;$L$4),0,IF(SUM($E$37:E37)&lt;=$B38,SUM($E$37:E37),$B$38))</f>
        <v>0</v>
      </c>
      <c r="F38" s="223">
        <f ca="1">IF(OR(F9&lt;$E$4,F9&gt;$L$4),0,IF(SUM($E$37:F37)&lt;=$B38,SUM($E$37:F37),$B$38))</f>
        <v>1525442.4096000001</v>
      </c>
      <c r="G38" s="223">
        <f ca="1">IF(OR(G9&lt;$E$4,G9&gt;$L$4),0,IF(SUM($E$37:G37)&lt;=$B38,SUM($E$37:G37),$B$38))</f>
        <v>3050884.8192000003</v>
      </c>
      <c r="H38" s="223">
        <f ca="1">IF(OR(H9&lt;$E$4,H9&gt;$L$4),0,IF(SUM($E$37:H37)&lt;=$B38,SUM($E$37:H37),$B$38))</f>
        <v>4576327.2288000006</v>
      </c>
      <c r="I38" s="223">
        <f ca="1">IF(OR(I9&lt;$E$4,I9&gt;$L$4),0,IF(SUM($E$37:I37)&lt;=$B38,SUM($E$37:I37),$B$38))</f>
        <v>6101769.6384000005</v>
      </c>
      <c r="J38" s="223">
        <f ca="1">IF(OR(J9&lt;$E$4,J9&gt;$L$4),0,IF(SUM($E$37:J37)&lt;=$B38,SUM($E$37:J37),$B$38))</f>
        <v>8456343.9780000001</v>
      </c>
      <c r="K38" s="223">
        <f ca="1">IF(OR(K9&lt;$E$4,K9&gt;$L$4),0,IF(SUM($E$37:K37)&lt;=$B38,SUM($E$37:K37),$B$38))</f>
        <v>17574277.949133441</v>
      </c>
      <c r="L38" s="223">
        <f ca="1">IF(OR(L9&lt;$E$4,L9&gt;$L$4),0,IF(SUM($E$37:L37)&lt;=$B38,SUM($E$37:L37),$B$38))</f>
        <v>25691447.677448202</v>
      </c>
      <c r="M38" s="223">
        <f ca="1">IF(OR(M9&lt;$E$4,M9&gt;$L$4),0,IF(SUM($E$37:M37)&lt;=$B38,SUM($E$37:M37),$B$38))</f>
        <v>42715587.185422949</v>
      </c>
      <c r="N38" s="223">
        <f ca="1">IF(OR(N9&lt;$E$4,N9&gt;$L$4),0,IF(SUM($E$37:N37)&lt;=$B38,SUM($E$37:N37),$B$38))</f>
        <v>79896819.723344862</v>
      </c>
      <c r="O38" s="223">
        <f ca="1">IF(OR(O9&lt;$E$4,O9&gt;$L$4),0,IF(SUM($E$37:O37)&lt;=$B38,SUM($E$37:O37),$B$38))</f>
        <v>128424532.96161003</v>
      </c>
      <c r="P38" s="223">
        <f ca="1">IF(OR(P9&lt;$E$4,P9&gt;$L$4),0,IF(SUM($E$37:P37)&lt;=$B38,SUM($E$37:P37),$B$38))</f>
        <v>128424532.96161003</v>
      </c>
      <c r="Q38" s="223">
        <f ca="1">IF(OR(Q9&lt;$E$4,Q9&gt;$L$4),0,IF(SUM($E$37:Q37)&lt;=$B38,SUM($E$37:Q37),$B$38))</f>
        <v>128424532.96161003</v>
      </c>
      <c r="R38" s="223">
        <f ca="1">IF(OR(R9&lt;$E$4,R9&gt;$L$4),0,IF(SUM($E$37:R37)&lt;=$B38,SUM($E$37:R37),$B$38))</f>
        <v>128424532.96161003</v>
      </c>
      <c r="S38" s="223">
        <f ca="1">IF(OR(S9&lt;$E$4,S9&gt;$L$4),0,IF(SUM($E$37:S37)&lt;=$B38,SUM($E$37:S37),$B$38))</f>
        <v>128424532.96161003</v>
      </c>
      <c r="T38" s="223">
        <f ca="1">IF(OR(T9&lt;$E$4,T9&gt;$L$4),0,IF(SUM($E$37:T37)&lt;=$B38,SUM($E$37:T37),$B$38))</f>
        <v>128424532.96161003</v>
      </c>
      <c r="U38" s="223">
        <f ca="1">IF(OR(U9&lt;$E$4,U9&gt;$L$4),0,IF(SUM($E$37:U37)&lt;=$B38,SUM($E$37:U37),$B$38))</f>
        <v>128424532.96161003</v>
      </c>
      <c r="V38" s="223">
        <f ca="1">IF(OR(V9&lt;$E$4,V9&gt;$L$4),0,IF(SUM($E$37:V37)&lt;=$B38,SUM($E$37:V37),$B$38))</f>
        <v>128424532.96161003</v>
      </c>
      <c r="W38" s="223">
        <f ca="1">IF(OR(W9&lt;$E$4,W9&gt;$L$4),0,IF(SUM($E$37:W37)&lt;=$B38,SUM($E$37:W37),$B$38))</f>
        <v>128424532.96161003</v>
      </c>
      <c r="X38" s="223">
        <f ca="1">IF(OR(X9&lt;$E$4,X9&gt;$L$4),0,IF(SUM($E$37:X37)&lt;=$B38,SUM($E$37:X37),$B$38))</f>
        <v>128424532.96161003</v>
      </c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4"/>
      <c r="AS38" s="223"/>
      <c r="AT38" s="223"/>
      <c r="AU38" s="223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CH38" s="207"/>
      <c r="CI38" s="207"/>
    </row>
    <row r="39" spans="1:87" ht="20.25" customHeight="1">
      <c r="A39" s="207" t="s">
        <v>495</v>
      </c>
      <c r="B39" s="365">
        <f ca="1">SUM(E39:X39)</f>
        <v>299657243.57708997</v>
      </c>
      <c r="C39" s="223"/>
      <c r="D39" s="223"/>
      <c r="E39" s="223">
        <f t="shared" ref="E39:X39" si="34">IF(E36&gt;E37,E36-E37,0)</f>
        <v>0</v>
      </c>
      <c r="F39" s="223">
        <f t="shared" ca="1" si="34"/>
        <v>0</v>
      </c>
      <c r="G39" s="223">
        <f t="shared" ca="1" si="34"/>
        <v>0</v>
      </c>
      <c r="H39" s="223">
        <f t="shared" ca="1" si="34"/>
        <v>0</v>
      </c>
      <c r="I39" s="223">
        <f t="shared" ca="1" si="34"/>
        <v>0</v>
      </c>
      <c r="J39" s="223">
        <f t="shared" ca="1" si="34"/>
        <v>0</v>
      </c>
      <c r="K39" s="223">
        <f t="shared" ca="1" si="34"/>
        <v>0</v>
      </c>
      <c r="L39" s="223">
        <f t="shared" ca="1" si="34"/>
        <v>0</v>
      </c>
      <c r="M39" s="223">
        <f t="shared" ca="1" si="34"/>
        <v>0</v>
      </c>
      <c r="N39" s="223">
        <f t="shared" ca="1" si="34"/>
        <v>0</v>
      </c>
      <c r="O39" s="223">
        <f t="shared" ca="1" si="34"/>
        <v>13048744.17633301</v>
      </c>
      <c r="P39" s="223">
        <f t="shared" ca="1" si="34"/>
        <v>81677189.646406949</v>
      </c>
      <c r="Q39" s="223">
        <f t="shared" ca="1" si="34"/>
        <v>80935655.141740307</v>
      </c>
      <c r="R39" s="223">
        <f t="shared" ca="1" si="34"/>
        <v>60834922.909931481</v>
      </c>
      <c r="S39" s="223">
        <f t="shared" ca="1" si="34"/>
        <v>34939698.033255264</v>
      </c>
      <c r="T39" s="223">
        <f t="shared" ca="1" si="34"/>
        <v>16282605.003308076</v>
      </c>
      <c r="U39" s="223">
        <f t="shared" ca="1" si="34"/>
        <v>7375635.2236480974</v>
      </c>
      <c r="V39" s="223">
        <f t="shared" ca="1" si="34"/>
        <v>4562793.4424667675</v>
      </c>
      <c r="W39" s="223">
        <f t="shared" ca="1" si="34"/>
        <v>0</v>
      </c>
      <c r="X39" s="223">
        <f t="shared" ca="1" si="34"/>
        <v>0</v>
      </c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4"/>
      <c r="AS39" s="245"/>
      <c r="AT39" s="223"/>
      <c r="AU39" s="223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CH39" s="207"/>
      <c r="CI39" s="207"/>
    </row>
    <row r="40" spans="1:87" s="227" customFormat="1" ht="20.25" customHeight="1">
      <c r="A40" s="227" t="s">
        <v>496</v>
      </c>
      <c r="B40" s="229">
        <f ca="1">-B39</f>
        <v>-299657243.57708997</v>
      </c>
      <c r="C40" s="228"/>
      <c r="D40" s="228"/>
      <c r="E40" s="228">
        <f>IF(E6=$K$3,$B$40,0)</f>
        <v>0</v>
      </c>
      <c r="F40" s="228">
        <f t="shared" ref="F40:X40" si="35">IF(F6=$L$3,$B$40,0)</f>
        <v>0</v>
      </c>
      <c r="G40" s="228">
        <f t="shared" si="35"/>
        <v>0</v>
      </c>
      <c r="H40" s="228">
        <f t="shared" si="35"/>
        <v>0</v>
      </c>
      <c r="I40" s="228">
        <f t="shared" si="35"/>
        <v>0</v>
      </c>
      <c r="J40" s="228">
        <f t="shared" si="35"/>
        <v>0</v>
      </c>
      <c r="K40" s="228">
        <f t="shared" si="35"/>
        <v>0</v>
      </c>
      <c r="L40" s="228">
        <f t="shared" si="35"/>
        <v>0</v>
      </c>
      <c r="M40" s="228">
        <f t="shared" si="35"/>
        <v>0</v>
      </c>
      <c r="N40" s="228">
        <f t="shared" si="35"/>
        <v>0</v>
      </c>
      <c r="O40" s="228">
        <f t="shared" si="35"/>
        <v>0</v>
      </c>
      <c r="P40" s="228">
        <f t="shared" si="35"/>
        <v>0</v>
      </c>
      <c r="Q40" s="228">
        <f t="shared" si="35"/>
        <v>0</v>
      </c>
      <c r="R40" s="228">
        <f t="shared" si="35"/>
        <v>0</v>
      </c>
      <c r="S40" s="228">
        <f t="shared" si="35"/>
        <v>0</v>
      </c>
      <c r="T40" s="228">
        <f t="shared" si="35"/>
        <v>0</v>
      </c>
      <c r="U40" s="228">
        <f t="shared" si="35"/>
        <v>0</v>
      </c>
      <c r="V40" s="228">
        <f t="shared" si="35"/>
        <v>0</v>
      </c>
      <c r="W40" s="228">
        <f t="shared" si="35"/>
        <v>0</v>
      </c>
      <c r="X40" s="228">
        <f t="shared" ca="1" si="35"/>
        <v>-299657243.57708997</v>
      </c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9"/>
      <c r="AS40" s="228"/>
      <c r="AT40" s="228"/>
      <c r="AU40" s="228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</row>
    <row r="41" spans="1:87" s="366" customFormat="1" ht="20.25" customHeight="1">
      <c r="A41" s="371" t="s">
        <v>497</v>
      </c>
      <c r="B41" s="372">
        <f>'1-A Financial'!$D$9</f>
        <v>531493943</v>
      </c>
      <c r="C41" s="373"/>
      <c r="D41" s="373"/>
      <c r="E41" s="373">
        <f t="shared" ref="E41:X41" si="36">IF(E6=$L$3,$B41,0)</f>
        <v>0</v>
      </c>
      <c r="F41" s="373">
        <f t="shared" si="36"/>
        <v>0</v>
      </c>
      <c r="G41" s="373">
        <f t="shared" si="36"/>
        <v>0</v>
      </c>
      <c r="H41" s="373">
        <f t="shared" si="36"/>
        <v>0</v>
      </c>
      <c r="I41" s="373">
        <f t="shared" si="36"/>
        <v>0</v>
      </c>
      <c r="J41" s="373">
        <f t="shared" si="36"/>
        <v>0</v>
      </c>
      <c r="K41" s="373">
        <f t="shared" si="36"/>
        <v>0</v>
      </c>
      <c r="L41" s="373">
        <f t="shared" si="36"/>
        <v>0</v>
      </c>
      <c r="M41" s="373">
        <f t="shared" si="36"/>
        <v>0</v>
      </c>
      <c r="N41" s="373">
        <f t="shared" si="36"/>
        <v>0</v>
      </c>
      <c r="O41" s="373">
        <f t="shared" si="36"/>
        <v>0</v>
      </c>
      <c r="P41" s="373">
        <f t="shared" si="36"/>
        <v>0</v>
      </c>
      <c r="Q41" s="373">
        <f t="shared" si="36"/>
        <v>0</v>
      </c>
      <c r="R41" s="373">
        <f t="shared" si="36"/>
        <v>0</v>
      </c>
      <c r="S41" s="373">
        <f t="shared" si="36"/>
        <v>0</v>
      </c>
      <c r="T41" s="373">
        <f t="shared" si="36"/>
        <v>0</v>
      </c>
      <c r="U41" s="373">
        <f t="shared" si="36"/>
        <v>0</v>
      </c>
      <c r="V41" s="373">
        <f t="shared" si="36"/>
        <v>0</v>
      </c>
      <c r="W41" s="373">
        <f t="shared" si="36"/>
        <v>0</v>
      </c>
      <c r="X41" s="373">
        <f t="shared" si="36"/>
        <v>531493943</v>
      </c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2"/>
      <c r="AS41" s="373"/>
      <c r="AT41" s="373"/>
      <c r="AU41" s="373"/>
      <c r="AV41" s="374"/>
      <c r="AW41" s="374"/>
      <c r="AX41" s="374"/>
      <c r="AY41" s="374"/>
      <c r="AZ41" s="374"/>
      <c r="BA41" s="374"/>
      <c r="BB41" s="374"/>
      <c r="BC41" s="374"/>
      <c r="BD41" s="374"/>
      <c r="BE41" s="374"/>
      <c r="BF41" s="374"/>
      <c r="BG41" s="374"/>
      <c r="BH41" s="374"/>
      <c r="BI41" s="374"/>
      <c r="BJ41" s="374"/>
      <c r="BK41" s="374"/>
      <c r="BL41" s="374"/>
      <c r="BM41" s="374"/>
      <c r="BN41" s="374"/>
      <c r="BO41" s="374"/>
      <c r="BP41" s="374"/>
      <c r="BQ41" s="374"/>
      <c r="BR41" s="374"/>
      <c r="BS41" s="374"/>
      <c r="BT41" s="374"/>
      <c r="BU41" s="374"/>
      <c r="BV41" s="371"/>
      <c r="BW41" s="371"/>
      <c r="BX41" s="371"/>
      <c r="BY41" s="371"/>
      <c r="BZ41" s="371"/>
      <c r="CA41" s="371"/>
      <c r="CB41" s="371"/>
      <c r="CC41" s="371"/>
      <c r="CD41" s="371"/>
      <c r="CE41" s="371"/>
      <c r="CF41" s="371"/>
      <c r="CG41" s="371"/>
      <c r="CH41" s="371"/>
      <c r="CI41" s="371"/>
    </row>
    <row r="42" spans="1:87" s="488" customFormat="1" ht="20.25" customHeight="1">
      <c r="A42" s="1092" t="s">
        <v>498</v>
      </c>
      <c r="B42" s="838">
        <f ca="1">SUM(E42:AR42)</f>
        <v>0</v>
      </c>
      <c r="C42" s="1095"/>
      <c r="D42" s="1095"/>
      <c r="E42" s="1097">
        <f ca="1">IF(E41&gt;$B$39,0,IF('1-A Financial'!$D$11="NO",IF(E6&lt;&gt;$L$3,0,0),IF(E6=$L$3,0,0)))</f>
        <v>0</v>
      </c>
      <c r="F42" s="1097">
        <f ca="1">IF(F41&gt;$B$39,0,IF('1-A Financial'!$D$11="NO",IF(F6&lt;&gt;$L$3,0,0),IF(F6=$L$3,0,0)))</f>
        <v>0</v>
      </c>
      <c r="G42" s="1097">
        <f ca="1">IF(G41&gt;$B$39,0,IF('1-A Financial'!$D$11="NO",IF(G6&lt;&gt;$L$3,0,0),IF(G6=$L$3,0,0)))</f>
        <v>0</v>
      </c>
      <c r="H42" s="1097">
        <f ca="1">IF(H41&gt;$B$39,0,IF('1-A Financial'!$D$11="NO",IF(H6&lt;&gt;$L$3,0,0),IF(H6=$L$3,0,0)))</f>
        <v>0</v>
      </c>
      <c r="I42" s="1097">
        <f ca="1">IF(I41&gt;$B$39,0,IF('1-A Financial'!$D$11="NO",IF(I6&lt;&gt;$L$3,0,0),IF(I6=$L$3,0,0)))</f>
        <v>0</v>
      </c>
      <c r="J42" s="1097">
        <f ca="1">IF(J41&gt;$B$39,0,IF('1-A Financial'!$D$11="NO",IF(J6&lt;&gt;$L$3,0,0),IF(J6=$L$3,0,0)))</f>
        <v>0</v>
      </c>
      <c r="K42" s="1097">
        <f ca="1">IF(K41&gt;$B$39,0,IF('1-A Financial'!$D$11="NO",IF(K6&lt;&gt;$L$3,0,0),IF(K6=$L$3,0,0)))</f>
        <v>0</v>
      </c>
      <c r="L42" s="1097">
        <f ca="1">IF(L41&gt;$B$39,0,IF('1-A Financial'!$D$11="NO",IF(L6&lt;&gt;$L$3,0,0),IF(L6=$L$3,0,0)))</f>
        <v>0</v>
      </c>
      <c r="M42" s="1097">
        <f ca="1">IF(M41&gt;$B$39,0,IF('1-A Financial'!$D$11="NO",IF(M6&lt;&gt;$L$3,0,0),IF(M6=$L$3,0,0)))</f>
        <v>0</v>
      </c>
      <c r="N42" s="1097">
        <f ca="1">IF(N41&gt;$B$39,0,IF('1-A Financial'!$D$11="NO",IF(N6&lt;&gt;$L$3,0,0),IF(N6=$L$3,0,0)))</f>
        <v>0</v>
      </c>
      <c r="O42" s="1097">
        <f ca="1">IF(O41&gt;$B$39,0,IF('1-A Financial'!$D$11="NO",IF(O6&lt;&gt;$L$3,0,0),IF(O6=$L$3,0,0)))</f>
        <v>0</v>
      </c>
      <c r="P42" s="1097">
        <f ca="1">IF(P41&gt;$B$39,0,IF('1-A Financial'!$D$11="NO",IF(P6&lt;&gt;$L$3,0,0),IF(P6=$L$3,0,0)))</f>
        <v>0</v>
      </c>
      <c r="Q42" s="1097">
        <f ca="1">IF(Q41&gt;$B$39,0,IF('1-A Financial'!$D$11="NO",IF(Q6&lt;&gt;$L$3,0,0),IF(Q6=$L$3,0,0)))</f>
        <v>0</v>
      </c>
      <c r="R42" s="1097">
        <f ca="1">IF(R41&gt;$B$39,0,IF('1-A Financial'!$D$11="NO",IF(R6&lt;&gt;$L$3,0,0),IF(R6=$L$3,0,0)))</f>
        <v>0</v>
      </c>
      <c r="S42" s="1097">
        <f ca="1">IF(S41&gt;$B$39,0,IF('1-A Financial'!$D$11="NO",IF(S6&lt;&gt;$L$3,0,0),IF(S6=$L$3,0,0)))</f>
        <v>0</v>
      </c>
      <c r="T42" s="1097">
        <f ca="1">IF(T41&gt;$B$39,0,IF('1-A Financial'!$D$11="NO",IF(T6&lt;&gt;$L$3,0,0),IF(T6=$L$3,0,0)))</f>
        <v>0</v>
      </c>
      <c r="U42" s="1097">
        <f ca="1">IF(U41&gt;$B$39,0,IF('1-A Financial'!$D$11="NO",IF(U6&lt;&gt;$L$3,0,0),IF(U6=$L$3,0,0)))</f>
        <v>0</v>
      </c>
      <c r="V42" s="1097">
        <f ca="1">IF(V41&gt;$B$39,0,IF('1-A Financial'!$D$11="NO",IF(V6&lt;&gt;$L$3,0,0),IF(V6=$L$3,0,0)))</f>
        <v>0</v>
      </c>
      <c r="W42" s="1097">
        <f ca="1">IF(W41&gt;$B$39,0,IF('1-A Financial'!$D$11="NO",IF(W6&lt;&gt;$L$3,0,0),IF(W6=$L$3,0,0)))</f>
        <v>0</v>
      </c>
      <c r="X42" s="1097">
        <f ca="1">IF(X41&gt;$B$39,0,IF('1-A Financial'!$D$11="NO",IF(X6&lt;&gt;$L$3,0,0),IF(X6=$L$3,0,0)))</f>
        <v>0</v>
      </c>
      <c r="Y42" s="1095"/>
      <c r="Z42" s="1095"/>
      <c r="AA42" s="1095"/>
      <c r="AB42" s="1095"/>
      <c r="AC42" s="1095"/>
      <c r="AD42" s="1095"/>
      <c r="AE42" s="1095"/>
      <c r="AF42" s="1095"/>
      <c r="AG42" s="1095"/>
      <c r="AH42" s="1095"/>
      <c r="AI42" s="1095"/>
      <c r="AJ42" s="1095"/>
      <c r="AK42" s="1095"/>
      <c r="AL42" s="1095"/>
      <c r="AM42" s="1095"/>
      <c r="AN42" s="1095"/>
      <c r="AO42" s="1095"/>
      <c r="AP42" s="1095"/>
      <c r="AQ42" s="1095"/>
      <c r="AR42" s="764"/>
      <c r="AS42" s="1095"/>
      <c r="AT42" s="1095"/>
      <c r="AU42" s="1095"/>
      <c r="AV42" s="1093"/>
      <c r="AW42" s="1093"/>
      <c r="AX42" s="1093"/>
      <c r="AY42" s="1093"/>
      <c r="AZ42" s="1093"/>
      <c r="BA42" s="1093"/>
      <c r="BB42" s="1093"/>
      <c r="BC42" s="1093"/>
      <c r="BD42" s="1093"/>
      <c r="BE42" s="1093"/>
      <c r="BF42" s="1093"/>
      <c r="BG42" s="1093"/>
      <c r="BH42" s="1093"/>
      <c r="BI42" s="1093"/>
      <c r="BJ42" s="1093"/>
      <c r="BK42" s="1093"/>
      <c r="BL42" s="1093"/>
      <c r="BM42" s="1093"/>
      <c r="BN42" s="1093"/>
      <c r="BO42" s="1093"/>
      <c r="BP42" s="1093"/>
      <c r="BQ42" s="1093"/>
      <c r="BR42" s="1093"/>
      <c r="BS42" s="1093"/>
      <c r="BT42" s="1093"/>
      <c r="BU42" s="1093"/>
      <c r="BV42" s="1092"/>
      <c r="BW42" s="1092"/>
      <c r="BX42" s="1092"/>
      <c r="BY42" s="1092"/>
      <c r="BZ42" s="1092"/>
      <c r="CA42" s="1092"/>
      <c r="CB42" s="1092"/>
      <c r="CC42" s="1092"/>
      <c r="CD42" s="1092"/>
      <c r="CE42" s="1092"/>
      <c r="CF42" s="1092"/>
      <c r="CG42" s="1092"/>
      <c r="CH42" s="1092"/>
      <c r="CI42" s="1092"/>
    </row>
    <row r="43" spans="1:87" s="227" customFormat="1" ht="20.25" customHeight="1">
      <c r="A43" s="227" t="s">
        <v>499</v>
      </c>
      <c r="B43" s="369">
        <f ca="1">SUM(E43:AR43)</f>
        <v>231836699.42291003</v>
      </c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>
        <f ca="1">X40+X41+X42</f>
        <v>231836699.42291003</v>
      </c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9"/>
      <c r="AS43" s="228"/>
      <c r="AT43" s="228"/>
      <c r="AU43" s="228"/>
      <c r="AV43" s="230"/>
      <c r="AW43" s="230"/>
      <c r="AX43" s="230"/>
      <c r="AY43" s="230"/>
      <c r="AZ43" s="230"/>
      <c r="BA43" s="230"/>
      <c r="BB43" s="230"/>
      <c r="BC43" s="230"/>
      <c r="BD43" s="230"/>
      <c r="BE43" s="230"/>
      <c r="BF43" s="230"/>
      <c r="BG43" s="230"/>
      <c r="BH43" s="230"/>
      <c r="BI43" s="230"/>
      <c r="BJ43" s="230"/>
      <c r="BK43" s="230"/>
      <c r="BL43" s="230"/>
      <c r="BM43" s="230"/>
      <c r="BN43" s="230"/>
      <c r="BO43" s="230"/>
      <c r="BP43" s="230"/>
      <c r="BQ43" s="230"/>
      <c r="BR43" s="230"/>
      <c r="BS43" s="230"/>
      <c r="BT43" s="230"/>
      <c r="BU43" s="230"/>
    </row>
    <row r="44" spans="1:87" s="227" customFormat="1" ht="20.25" customHeight="1">
      <c r="A44" s="227" t="s">
        <v>500</v>
      </c>
      <c r="B44" s="369">
        <f>SUM(E44:AR44)</f>
        <v>0</v>
      </c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>
        <v>0</v>
      </c>
      <c r="Z44" s="228">
        <v>0</v>
      </c>
      <c r="AA44" s="228">
        <v>0</v>
      </c>
      <c r="AB44" s="228">
        <v>0</v>
      </c>
      <c r="AC44" s="228">
        <v>0</v>
      </c>
      <c r="AD44" s="228">
        <v>0</v>
      </c>
      <c r="AE44" s="228">
        <v>0</v>
      </c>
      <c r="AF44" s="228">
        <v>0</v>
      </c>
      <c r="AG44" s="228">
        <v>0</v>
      </c>
      <c r="AH44" s="228">
        <v>0</v>
      </c>
      <c r="AI44" s="228">
        <v>0</v>
      </c>
      <c r="AJ44" s="228">
        <v>0</v>
      </c>
      <c r="AK44" s="228">
        <v>0</v>
      </c>
      <c r="AL44" s="228">
        <v>0</v>
      </c>
      <c r="AM44" s="228">
        <v>0</v>
      </c>
      <c r="AN44" s="228">
        <v>0</v>
      </c>
      <c r="AO44" s="228">
        <v>0</v>
      </c>
      <c r="AP44" s="228">
        <v>0</v>
      </c>
      <c r="AQ44" s="228">
        <v>0</v>
      </c>
      <c r="AR44" s="228">
        <v>0</v>
      </c>
      <c r="AS44" s="228"/>
      <c r="AT44" s="228"/>
      <c r="AU44" s="228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</row>
    <row r="45" spans="1:87" ht="20.25" customHeight="1">
      <c r="A45" s="207" t="s">
        <v>501</v>
      </c>
      <c r="B45" s="224">
        <f>SUM(E45:AR45)</f>
        <v>0</v>
      </c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>
        <v>0</v>
      </c>
      <c r="Z45" s="223">
        <v>0</v>
      </c>
      <c r="AA45" s="223">
        <v>0</v>
      </c>
      <c r="AB45" s="223">
        <v>0</v>
      </c>
      <c r="AC45" s="223">
        <v>0</v>
      </c>
      <c r="AD45" s="223">
        <v>0</v>
      </c>
      <c r="AE45" s="223">
        <v>0</v>
      </c>
      <c r="AF45" s="223">
        <v>0</v>
      </c>
      <c r="AG45" s="223">
        <v>0</v>
      </c>
      <c r="AH45" s="223">
        <v>0</v>
      </c>
      <c r="AI45" s="223">
        <v>0</v>
      </c>
      <c r="AJ45" s="223">
        <v>0</v>
      </c>
      <c r="AK45" s="223">
        <v>0</v>
      </c>
      <c r="AL45" s="223">
        <v>0</v>
      </c>
      <c r="AM45" s="223">
        <v>0</v>
      </c>
      <c r="AN45" s="223">
        <v>0</v>
      </c>
      <c r="AO45" s="223">
        <v>0</v>
      </c>
      <c r="AP45" s="223">
        <v>0</v>
      </c>
      <c r="AQ45" s="223">
        <v>0</v>
      </c>
      <c r="AR45" s="223">
        <v>0</v>
      </c>
      <c r="AS45" s="223"/>
      <c r="AT45" s="223"/>
      <c r="AU45" s="223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09"/>
      <c r="BS45" s="209"/>
      <c r="BT45" s="209"/>
      <c r="BU45" s="209"/>
      <c r="CH45" s="207"/>
      <c r="CI45" s="207"/>
    </row>
    <row r="46" spans="1:87" ht="20.25" customHeight="1">
      <c r="A46" s="207" t="s">
        <v>502</v>
      </c>
      <c r="B46" s="224">
        <f ca="1">-B42</f>
        <v>0</v>
      </c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N46" s="223"/>
      <c r="AO46" s="223"/>
      <c r="AP46" s="223"/>
      <c r="AQ46" s="223"/>
      <c r="AR46" s="224">
        <v>0</v>
      </c>
      <c r="AS46" s="223"/>
      <c r="AT46" s="223"/>
      <c r="AU46" s="223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CH46" s="207"/>
      <c r="CI46" s="207"/>
    </row>
    <row r="47" spans="1:87" ht="20.25" customHeight="1">
      <c r="A47" s="207" t="s">
        <v>503</v>
      </c>
      <c r="B47" s="224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837" t="e">
        <f t="shared" ref="Y47:AR47" si="37">Y44/(-Y45)</f>
        <v>#DIV/0!</v>
      </c>
      <c r="Z47" s="837" t="e">
        <f t="shared" si="37"/>
        <v>#DIV/0!</v>
      </c>
      <c r="AA47" s="837" t="e">
        <f t="shared" si="37"/>
        <v>#DIV/0!</v>
      </c>
      <c r="AB47" s="837" t="e">
        <f t="shared" si="37"/>
        <v>#DIV/0!</v>
      </c>
      <c r="AC47" s="837" t="e">
        <f t="shared" si="37"/>
        <v>#DIV/0!</v>
      </c>
      <c r="AD47" s="837" t="e">
        <f t="shared" si="37"/>
        <v>#DIV/0!</v>
      </c>
      <c r="AE47" s="837" t="e">
        <f t="shared" si="37"/>
        <v>#DIV/0!</v>
      </c>
      <c r="AF47" s="837" t="e">
        <f t="shared" si="37"/>
        <v>#DIV/0!</v>
      </c>
      <c r="AG47" s="837" t="e">
        <f t="shared" si="37"/>
        <v>#DIV/0!</v>
      </c>
      <c r="AH47" s="837" t="e">
        <f t="shared" si="37"/>
        <v>#DIV/0!</v>
      </c>
      <c r="AI47" s="837" t="e">
        <f t="shared" si="37"/>
        <v>#DIV/0!</v>
      </c>
      <c r="AJ47" s="837" t="e">
        <f t="shared" si="37"/>
        <v>#DIV/0!</v>
      </c>
      <c r="AK47" s="837" t="e">
        <f t="shared" si="37"/>
        <v>#DIV/0!</v>
      </c>
      <c r="AL47" s="837" t="e">
        <f t="shared" si="37"/>
        <v>#DIV/0!</v>
      </c>
      <c r="AM47" s="837" t="e">
        <f t="shared" si="37"/>
        <v>#DIV/0!</v>
      </c>
      <c r="AN47" s="837" t="e">
        <f t="shared" si="37"/>
        <v>#DIV/0!</v>
      </c>
      <c r="AO47" s="837" t="e">
        <f t="shared" si="37"/>
        <v>#DIV/0!</v>
      </c>
      <c r="AP47" s="837" t="e">
        <f t="shared" si="37"/>
        <v>#DIV/0!</v>
      </c>
      <c r="AQ47" s="837" t="e">
        <f t="shared" si="37"/>
        <v>#DIV/0!</v>
      </c>
      <c r="AR47" s="839" t="e">
        <f t="shared" si="37"/>
        <v>#DIV/0!</v>
      </c>
      <c r="AS47" s="223"/>
      <c r="AT47" s="223"/>
      <c r="AU47" s="223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CH47" s="207"/>
      <c r="CI47" s="207"/>
    </row>
    <row r="48" spans="1:87" s="371" customFormat="1" ht="20.25" customHeight="1">
      <c r="A48" s="371" t="s">
        <v>504</v>
      </c>
      <c r="B48" s="372">
        <f>'1-A Financial'!$D$10</f>
        <v>0</v>
      </c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  <c r="Q48" s="373"/>
      <c r="R48" s="373"/>
      <c r="S48" s="373"/>
      <c r="T48" s="373"/>
      <c r="U48" s="373"/>
      <c r="V48" s="373"/>
      <c r="W48" s="373"/>
      <c r="X48" s="373"/>
      <c r="Y48" s="373"/>
      <c r="Z48" s="373"/>
      <c r="AA48" s="373"/>
      <c r="AB48" s="373"/>
      <c r="AC48" s="373"/>
      <c r="AD48" s="373"/>
      <c r="AE48" s="373"/>
      <c r="AF48" s="373"/>
      <c r="AG48" s="373"/>
      <c r="AH48" s="373"/>
      <c r="AI48" s="373"/>
      <c r="AJ48" s="373"/>
      <c r="AK48" s="373"/>
      <c r="AL48" s="373"/>
      <c r="AN48" s="373"/>
      <c r="AO48" s="373"/>
      <c r="AP48" s="373"/>
      <c r="AQ48" s="373"/>
      <c r="AR48" s="372">
        <f>B48</f>
        <v>0</v>
      </c>
      <c r="AS48" s="373"/>
      <c r="AT48" s="373"/>
      <c r="AU48" s="373"/>
      <c r="AV48" s="374"/>
      <c r="AW48" s="374"/>
      <c r="AX48" s="374"/>
      <c r="AY48" s="374"/>
      <c r="AZ48" s="374"/>
      <c r="BA48" s="374"/>
      <c r="BB48" s="374"/>
      <c r="BC48" s="374"/>
      <c r="BD48" s="374"/>
      <c r="BE48" s="374"/>
      <c r="BF48" s="374"/>
      <c r="BG48" s="374"/>
      <c r="BH48" s="374"/>
      <c r="BI48" s="374"/>
      <c r="BJ48" s="374"/>
      <c r="BK48" s="374"/>
      <c r="BL48" s="374"/>
      <c r="BM48" s="374"/>
      <c r="BN48" s="374"/>
      <c r="BO48" s="374"/>
      <c r="BP48" s="374"/>
      <c r="BQ48" s="374"/>
      <c r="BR48" s="374"/>
      <c r="BS48" s="374"/>
      <c r="BT48" s="374"/>
      <c r="BU48" s="374"/>
    </row>
    <row r="49" spans="1:87" s="367" customFormat="1" ht="20.25" customHeight="1">
      <c r="A49" s="1092" t="s">
        <v>505</v>
      </c>
      <c r="B49" s="224">
        <f ca="1">SUM(E49:AR49)</f>
        <v>231836699.42291003</v>
      </c>
      <c r="C49" s="1095"/>
      <c r="D49" s="1095"/>
      <c r="E49" s="1095"/>
      <c r="F49" s="1095"/>
      <c r="G49" s="1095"/>
      <c r="H49" s="1095"/>
      <c r="I49" s="1095"/>
      <c r="J49" s="1095"/>
      <c r="K49" s="1095"/>
      <c r="L49" s="1095"/>
      <c r="M49" s="1095"/>
      <c r="N49" s="1095"/>
      <c r="O49" s="1095"/>
      <c r="P49" s="1095"/>
      <c r="Q49" s="1095"/>
      <c r="R49" s="1095"/>
      <c r="S49" s="1095"/>
      <c r="T49" s="1095"/>
      <c r="U49" s="1095"/>
      <c r="V49" s="1095"/>
      <c r="W49" s="1095"/>
      <c r="X49" s="1095">
        <f ca="1">SUM(X44,X43,X45,X46,X48)</f>
        <v>231836699.42291003</v>
      </c>
      <c r="Y49" s="1095">
        <f t="shared" ref="Y49:AR49" si="38">SUM(Y44,Y43,Y45,Y46,Y48)</f>
        <v>0</v>
      </c>
      <c r="Z49" s="1095">
        <f t="shared" si="38"/>
        <v>0</v>
      </c>
      <c r="AA49" s="1095">
        <f t="shared" si="38"/>
        <v>0</v>
      </c>
      <c r="AB49" s="1095">
        <f t="shared" si="38"/>
        <v>0</v>
      </c>
      <c r="AC49" s="1095">
        <f t="shared" si="38"/>
        <v>0</v>
      </c>
      <c r="AD49" s="1095">
        <f t="shared" si="38"/>
        <v>0</v>
      </c>
      <c r="AE49" s="1095">
        <f t="shared" si="38"/>
        <v>0</v>
      </c>
      <c r="AF49" s="1095">
        <f t="shared" si="38"/>
        <v>0</v>
      </c>
      <c r="AG49" s="1095">
        <f t="shared" si="38"/>
        <v>0</v>
      </c>
      <c r="AH49" s="1095">
        <f t="shared" si="38"/>
        <v>0</v>
      </c>
      <c r="AI49" s="1095">
        <f t="shared" si="38"/>
        <v>0</v>
      </c>
      <c r="AJ49" s="1095">
        <f t="shared" si="38"/>
        <v>0</v>
      </c>
      <c r="AK49" s="1095">
        <f t="shared" si="38"/>
        <v>0</v>
      </c>
      <c r="AL49" s="1095">
        <f t="shared" si="38"/>
        <v>0</v>
      </c>
      <c r="AM49" s="1095">
        <f t="shared" si="38"/>
        <v>0</v>
      </c>
      <c r="AN49" s="1095">
        <f t="shared" si="38"/>
        <v>0</v>
      </c>
      <c r="AO49" s="1095">
        <f t="shared" si="38"/>
        <v>0</v>
      </c>
      <c r="AP49" s="1095">
        <f t="shared" si="38"/>
        <v>0</v>
      </c>
      <c r="AQ49" s="1095">
        <f t="shared" si="38"/>
        <v>0</v>
      </c>
      <c r="AR49" s="764">
        <f t="shared" si="38"/>
        <v>0</v>
      </c>
      <c r="AS49" s="1095"/>
      <c r="AT49" s="1095"/>
      <c r="AU49" s="1095"/>
      <c r="AV49" s="1093"/>
      <c r="AW49" s="1093"/>
      <c r="AX49" s="1093"/>
      <c r="AY49" s="1093"/>
      <c r="AZ49" s="1093"/>
      <c r="BA49" s="1093"/>
      <c r="BB49" s="1093"/>
      <c r="BC49" s="1093"/>
      <c r="BD49" s="1093"/>
      <c r="BE49" s="1093"/>
      <c r="BF49" s="1093"/>
      <c r="BG49" s="1093"/>
      <c r="BH49" s="1093"/>
      <c r="BI49" s="1093"/>
      <c r="BJ49" s="1093"/>
      <c r="BK49" s="1093"/>
      <c r="BL49" s="1093"/>
      <c r="BM49" s="1093"/>
      <c r="BN49" s="1093"/>
      <c r="BO49" s="1093"/>
      <c r="BP49" s="1093"/>
      <c r="BQ49" s="1093"/>
      <c r="BR49" s="1093"/>
      <c r="BS49" s="1093"/>
      <c r="BT49" s="1093"/>
      <c r="BU49" s="1093"/>
      <c r="BV49" s="1092"/>
      <c r="BW49" s="1092"/>
      <c r="BX49" s="1092"/>
      <c r="BY49" s="1092"/>
      <c r="BZ49" s="1092"/>
      <c r="CA49" s="1092"/>
      <c r="CB49" s="1092"/>
      <c r="CC49" s="1092"/>
      <c r="CD49" s="1092"/>
      <c r="CE49" s="1092"/>
      <c r="CF49" s="1092"/>
      <c r="CG49" s="1092"/>
      <c r="CH49" s="1092"/>
      <c r="CI49" s="1092"/>
    </row>
    <row r="50" spans="1:87" ht="20.25" customHeight="1">
      <c r="B50" s="224"/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4"/>
      <c r="AS50" s="223"/>
      <c r="AT50" s="223"/>
      <c r="AU50" s="223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CH50" s="207"/>
      <c r="CI50" s="207"/>
    </row>
    <row r="51" spans="1:87" s="238" customFormat="1" ht="20.25" customHeight="1">
      <c r="A51" s="241" t="s">
        <v>506</v>
      </c>
      <c r="B51" s="253"/>
      <c r="C51" s="242"/>
      <c r="D51" s="242"/>
      <c r="E51" s="242"/>
      <c r="F51" s="242"/>
      <c r="G51" s="242"/>
      <c r="H51" s="242"/>
      <c r="I51" s="242"/>
      <c r="J51" s="242"/>
      <c r="K51" s="243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4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2"/>
      <c r="BR51" s="242"/>
      <c r="BT51" s="239"/>
      <c r="BU51" s="239"/>
    </row>
    <row r="52" spans="1:87" ht="20.25" customHeight="1">
      <c r="A52" s="207" t="s">
        <v>507</v>
      </c>
      <c r="B52" s="224">
        <f ca="1">SUM(F52:AR52)</f>
        <v>103412166.46130002</v>
      </c>
      <c r="C52" s="223"/>
      <c r="D52" s="223"/>
      <c r="E52" s="223">
        <f t="shared" ref="E52:W52" si="39">SUM(-E36,E44,E48)</f>
        <v>0</v>
      </c>
      <c r="F52" s="223">
        <f t="shared" ca="1" si="39"/>
        <v>-1525442.4096000001</v>
      </c>
      <c r="G52" s="223">
        <f t="shared" ca="1" si="39"/>
        <v>-1525442.4096000001</v>
      </c>
      <c r="H52" s="223">
        <f t="shared" ca="1" si="39"/>
        <v>-1525442.4096000001</v>
      </c>
      <c r="I52" s="223">
        <f t="shared" ca="1" si="39"/>
        <v>-1525442.4096000001</v>
      </c>
      <c r="J52" s="223">
        <f t="shared" ca="1" si="39"/>
        <v>-2354574.3396000001</v>
      </c>
      <c r="K52" s="223">
        <f t="shared" ca="1" si="39"/>
        <v>-9117933.9711334407</v>
      </c>
      <c r="L52" s="223">
        <f t="shared" ca="1" si="39"/>
        <v>-8117169.7283147611</v>
      </c>
      <c r="M52" s="223">
        <f t="shared" ca="1" si="39"/>
        <v>-17024139.507974748</v>
      </c>
      <c r="N52" s="223">
        <f t="shared" ca="1" si="39"/>
        <v>-37181232.537921913</v>
      </c>
      <c r="O52" s="223">
        <f t="shared" ca="1" si="39"/>
        <v>-61576457.414598182</v>
      </c>
      <c r="P52" s="223">
        <f t="shared" ca="1" si="39"/>
        <v>-81677189.646406949</v>
      </c>
      <c r="Q52" s="223">
        <f t="shared" ca="1" si="39"/>
        <v>-80935655.141740307</v>
      </c>
      <c r="R52" s="223">
        <f t="shared" ca="1" si="39"/>
        <v>-60834922.909931481</v>
      </c>
      <c r="S52" s="223">
        <f t="shared" ca="1" si="39"/>
        <v>-34939698.033255264</v>
      </c>
      <c r="T52" s="223">
        <f t="shared" ca="1" si="39"/>
        <v>-16282605.003308076</v>
      </c>
      <c r="U52" s="223">
        <f t="shared" ca="1" si="39"/>
        <v>-7375635.2236480974</v>
      </c>
      <c r="V52" s="223">
        <f t="shared" ca="1" si="39"/>
        <v>-4562793.4424667675</v>
      </c>
      <c r="W52" s="223">
        <f t="shared" ca="1" si="39"/>
        <v>0</v>
      </c>
      <c r="X52" s="855">
        <f>X41</f>
        <v>531493943</v>
      </c>
      <c r="Y52" s="223">
        <f t="shared" ref="Y52:AR52" si="40">SUM(-Y36,Y44,Y48)</f>
        <v>0</v>
      </c>
      <c r="Z52" s="223">
        <f t="shared" si="40"/>
        <v>0</v>
      </c>
      <c r="AA52" s="223">
        <f t="shared" si="40"/>
        <v>0</v>
      </c>
      <c r="AB52" s="223">
        <f t="shared" si="40"/>
        <v>0</v>
      </c>
      <c r="AC52" s="223">
        <f t="shared" si="40"/>
        <v>0</v>
      </c>
      <c r="AD52" s="223">
        <f t="shared" si="40"/>
        <v>0</v>
      </c>
      <c r="AE52" s="223">
        <f t="shared" si="40"/>
        <v>0</v>
      </c>
      <c r="AF52" s="223">
        <f t="shared" si="40"/>
        <v>0</v>
      </c>
      <c r="AG52" s="223">
        <f t="shared" si="40"/>
        <v>0</v>
      </c>
      <c r="AH52" s="223">
        <f t="shared" si="40"/>
        <v>0</v>
      </c>
      <c r="AI52" s="223">
        <f t="shared" si="40"/>
        <v>0</v>
      </c>
      <c r="AJ52" s="223">
        <f t="shared" si="40"/>
        <v>0</v>
      </c>
      <c r="AK52" s="223">
        <f t="shared" si="40"/>
        <v>0</v>
      </c>
      <c r="AL52" s="223">
        <f t="shared" si="40"/>
        <v>0</v>
      </c>
      <c r="AM52" s="223">
        <f t="shared" si="40"/>
        <v>0</v>
      </c>
      <c r="AN52" s="223">
        <f t="shared" si="40"/>
        <v>0</v>
      </c>
      <c r="AO52" s="223">
        <f t="shared" si="40"/>
        <v>0</v>
      </c>
      <c r="AP52" s="223">
        <f t="shared" si="40"/>
        <v>0</v>
      </c>
      <c r="AQ52" s="223">
        <f t="shared" si="40"/>
        <v>0</v>
      </c>
      <c r="AR52" s="224">
        <f t="shared" si="40"/>
        <v>0</v>
      </c>
      <c r="AS52" s="231"/>
      <c r="BT52" s="209"/>
      <c r="BU52" s="209"/>
      <c r="CH52" s="207"/>
      <c r="CI52" s="207"/>
    </row>
    <row r="53" spans="1:87" ht="20.25" customHeight="1">
      <c r="A53" s="207" t="s">
        <v>508</v>
      </c>
      <c r="B53" s="777">
        <f ca="1">IF(B52&lt;0,0,IRR(F52:AR52))</f>
        <v>2.8004580553423253E-2</v>
      </c>
      <c r="G53" s="223"/>
      <c r="BT53" s="209"/>
      <c r="BU53" s="209"/>
      <c r="CH53" s="207"/>
      <c r="CI53" s="207"/>
    </row>
    <row r="54" spans="1:87" ht="20.25" customHeight="1">
      <c r="A54" s="207" t="s">
        <v>509</v>
      </c>
      <c r="B54" s="368">
        <f ca="1">POWER((1+B53),4)-1</f>
        <v>0.11681232756473658</v>
      </c>
      <c r="G54" s="223"/>
      <c r="BT54" s="209"/>
      <c r="BU54" s="209"/>
      <c r="CH54" s="207"/>
      <c r="CI54" s="207"/>
    </row>
    <row r="55" spans="1:87" s="238" customFormat="1" ht="20.25" customHeight="1">
      <c r="A55" s="241" t="s">
        <v>510</v>
      </c>
      <c r="B55" s="253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25"/>
      <c r="Y55" s="225"/>
      <c r="Z55" s="225"/>
      <c r="AA55" s="225"/>
      <c r="AB55" s="225"/>
      <c r="AC55" s="225"/>
      <c r="AD55" s="225"/>
      <c r="AE55" s="225"/>
      <c r="AF55" s="225"/>
      <c r="AG55" s="225"/>
      <c r="AH55" s="225"/>
      <c r="AI55" s="225"/>
      <c r="AJ55" s="225"/>
      <c r="AK55" s="225"/>
      <c r="AL55" s="225"/>
      <c r="AM55" s="225"/>
      <c r="AN55" s="225"/>
      <c r="AO55" s="225"/>
      <c r="AP55" s="225"/>
      <c r="AQ55" s="225"/>
      <c r="AR55" s="226"/>
      <c r="AS55" s="240"/>
      <c r="AT55" s="225"/>
      <c r="AU55" s="225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</row>
    <row r="56" spans="1:87" ht="20.25" customHeight="1">
      <c r="A56" s="207" t="s">
        <v>511</v>
      </c>
      <c r="B56" s="224">
        <f ca="1">SUM(F56:AR56)</f>
        <v>103412166.4613</v>
      </c>
      <c r="C56" s="223"/>
      <c r="D56" s="223"/>
      <c r="E56" s="223">
        <f t="shared" ref="E56:W56" si="41">SUM(-E37,E49)</f>
        <v>0</v>
      </c>
      <c r="F56" s="223">
        <f t="shared" ca="1" si="41"/>
        <v>-1525442.4096000001</v>
      </c>
      <c r="G56" s="223">
        <f t="shared" ca="1" si="41"/>
        <v>-1525442.4096000001</v>
      </c>
      <c r="H56" s="223">
        <f t="shared" ca="1" si="41"/>
        <v>-1525442.4096000001</v>
      </c>
      <c r="I56" s="223">
        <f t="shared" ca="1" si="41"/>
        <v>-1525442.4096000001</v>
      </c>
      <c r="J56" s="223">
        <f t="shared" ca="1" si="41"/>
        <v>-2354574.3396000001</v>
      </c>
      <c r="K56" s="223">
        <f t="shared" ca="1" si="41"/>
        <v>-9117933.9711334407</v>
      </c>
      <c r="L56" s="223">
        <f t="shared" ca="1" si="41"/>
        <v>-8117169.7283147611</v>
      </c>
      <c r="M56" s="223">
        <f t="shared" ca="1" si="41"/>
        <v>-17024139.507974748</v>
      </c>
      <c r="N56" s="223">
        <f t="shared" ca="1" si="41"/>
        <v>-37181232.537921913</v>
      </c>
      <c r="O56" s="223">
        <f t="shared" ca="1" si="41"/>
        <v>-48527713.238265172</v>
      </c>
      <c r="P56" s="223">
        <f t="shared" ca="1" si="41"/>
        <v>0</v>
      </c>
      <c r="Q56" s="223">
        <f t="shared" ca="1" si="41"/>
        <v>0</v>
      </c>
      <c r="R56" s="223">
        <f t="shared" ca="1" si="41"/>
        <v>0</v>
      </c>
      <c r="S56" s="223">
        <f t="shared" ca="1" si="41"/>
        <v>0</v>
      </c>
      <c r="T56" s="223">
        <f t="shared" ca="1" si="41"/>
        <v>0</v>
      </c>
      <c r="U56" s="223">
        <f t="shared" ca="1" si="41"/>
        <v>0</v>
      </c>
      <c r="V56" s="223">
        <f t="shared" ca="1" si="41"/>
        <v>0</v>
      </c>
      <c r="W56" s="223">
        <f t="shared" ca="1" si="41"/>
        <v>0</v>
      </c>
      <c r="X56" s="855">
        <f ca="1">SUM(-X37,X43)</f>
        <v>231836699.42291003</v>
      </c>
      <c r="Y56" s="223">
        <f t="shared" ref="Y56:AR56" si="42">SUM(-Y37,Y49)</f>
        <v>0</v>
      </c>
      <c r="Z56" s="223">
        <f t="shared" si="42"/>
        <v>0</v>
      </c>
      <c r="AA56" s="223">
        <f t="shared" si="42"/>
        <v>0</v>
      </c>
      <c r="AB56" s="223">
        <f t="shared" si="42"/>
        <v>0</v>
      </c>
      <c r="AC56" s="223">
        <f t="shared" si="42"/>
        <v>0</v>
      </c>
      <c r="AD56" s="223">
        <f t="shared" si="42"/>
        <v>0</v>
      </c>
      <c r="AE56" s="223">
        <f t="shared" si="42"/>
        <v>0</v>
      </c>
      <c r="AF56" s="223">
        <f t="shared" si="42"/>
        <v>0</v>
      </c>
      <c r="AG56" s="223">
        <f t="shared" si="42"/>
        <v>0</v>
      </c>
      <c r="AH56" s="223">
        <f t="shared" si="42"/>
        <v>0</v>
      </c>
      <c r="AI56" s="223">
        <f t="shared" si="42"/>
        <v>0</v>
      </c>
      <c r="AJ56" s="223">
        <f t="shared" si="42"/>
        <v>0</v>
      </c>
      <c r="AK56" s="223">
        <f t="shared" si="42"/>
        <v>0</v>
      </c>
      <c r="AL56" s="223">
        <f t="shared" si="42"/>
        <v>0</v>
      </c>
      <c r="AM56" s="223">
        <f t="shared" si="42"/>
        <v>0</v>
      </c>
      <c r="AN56" s="223">
        <f t="shared" si="42"/>
        <v>0</v>
      </c>
      <c r="AO56" s="223">
        <f t="shared" si="42"/>
        <v>0</v>
      </c>
      <c r="AP56" s="223">
        <f t="shared" si="42"/>
        <v>0</v>
      </c>
      <c r="AQ56" s="223">
        <f t="shared" si="42"/>
        <v>0</v>
      </c>
      <c r="AR56" s="224">
        <f t="shared" si="42"/>
        <v>0</v>
      </c>
      <c r="AS56" s="233"/>
      <c r="AT56" s="223"/>
      <c r="AU56" s="223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CH56" s="207"/>
      <c r="CI56" s="207"/>
    </row>
    <row r="57" spans="1:87" ht="20.25" customHeight="1">
      <c r="A57" s="207" t="s">
        <v>512</v>
      </c>
      <c r="B57" s="777">
        <f ca="1">IF(B56&lt;0,0,IRR(F56:AR56))</f>
        <v>5.7409320873391456E-2</v>
      </c>
      <c r="C57" s="231"/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2"/>
      <c r="AT57" s="231"/>
      <c r="AU57" s="231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CH57" s="207"/>
      <c r="CI57" s="207"/>
    </row>
    <row r="58" spans="1:87" ht="20.25" customHeight="1">
      <c r="A58" s="207" t="s">
        <v>377</v>
      </c>
      <c r="B58" s="368">
        <f ca="1">POWER((1+B57),4)-1</f>
        <v>0.25017997220496579</v>
      </c>
      <c r="C58" s="234"/>
      <c r="D58" s="234"/>
      <c r="E58" s="234"/>
      <c r="F58" s="234"/>
      <c r="G58" s="234"/>
      <c r="H58" s="234"/>
      <c r="I58" s="234"/>
      <c r="J58" s="234"/>
      <c r="K58" s="235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  <c r="AO58" s="234"/>
      <c r="AP58" s="234"/>
      <c r="AQ58" s="234"/>
      <c r="AR58" s="236"/>
      <c r="AS58" s="234"/>
      <c r="AT58" s="234"/>
      <c r="AU58" s="234"/>
      <c r="AV58" s="234"/>
      <c r="AW58" s="234"/>
      <c r="AX58" s="234"/>
      <c r="AY58" s="234"/>
      <c r="AZ58" s="234"/>
      <c r="BA58" s="234"/>
      <c r="BB58" s="234"/>
      <c r="BC58" s="234"/>
      <c r="BD58" s="234"/>
      <c r="BE58" s="234"/>
      <c r="BF58" s="234"/>
      <c r="BG58" s="234"/>
      <c r="BH58" s="234"/>
      <c r="BI58" s="234"/>
      <c r="BJ58" s="234"/>
      <c r="BK58" s="234"/>
      <c r="BL58" s="234"/>
      <c r="BM58" s="234"/>
      <c r="BN58" s="234"/>
      <c r="BO58" s="234"/>
      <c r="BP58" s="234"/>
      <c r="BQ58" s="234"/>
      <c r="BR58" s="234"/>
      <c r="BT58" s="209"/>
      <c r="BU58" s="209"/>
      <c r="CH58" s="207"/>
      <c r="CI58" s="207"/>
    </row>
    <row r="159" spans="2:2">
      <c r="B159" s="370">
        <v>0.06</v>
      </c>
    </row>
    <row r="180" spans="1:7">
      <c r="E180" s="207">
        <f>A97</f>
        <v>0</v>
      </c>
    </row>
    <row r="181" spans="1:7">
      <c r="E181" s="207" t="s">
        <v>513</v>
      </c>
      <c r="F181" s="207" t="s">
        <v>514</v>
      </c>
    </row>
    <row r="182" spans="1:7">
      <c r="A182" s="207" t="s">
        <v>515</v>
      </c>
      <c r="B182" s="208">
        <f>IFERROR(G182/$B$99,0)</f>
        <v>0</v>
      </c>
      <c r="E182" s="207">
        <f>IFERROR(G182/$B$98,0)</f>
        <v>0</v>
      </c>
      <c r="G182" s="207">
        <f>G105</f>
        <v>0</v>
      </c>
    </row>
    <row r="183" spans="1:7">
      <c r="A183" s="207" t="s">
        <v>516</v>
      </c>
      <c r="F183" s="237">
        <f>IFERROR(G183/$B$165,0)</f>
        <v>0</v>
      </c>
      <c r="G183" s="207">
        <f>G165</f>
        <v>0</v>
      </c>
    </row>
    <row r="184" spans="1:7">
      <c r="G184" s="207">
        <f>SUM(G182:G183)</f>
        <v>0</v>
      </c>
    </row>
  </sheetData>
  <mergeCells count="6">
    <mergeCell ref="BG4:BI4"/>
    <mergeCell ref="A2:A4"/>
    <mergeCell ref="E2:G2"/>
    <mergeCell ref="H2:J2"/>
    <mergeCell ref="K2:M2"/>
    <mergeCell ref="BA4:BE4"/>
  </mergeCells>
  <conditionalFormatting sqref="C9:D10">
    <cfRule type="cellIs" dxfId="128" priority="1" operator="equal">
      <formula>#REF!</formula>
    </cfRule>
    <cfRule type="cellIs" dxfId="127" priority="2" operator="equal">
      <formula>#REF!</formula>
    </cfRule>
    <cfRule type="cellIs" dxfId="126" priority="3" operator="equal">
      <formula>#REF!</formula>
    </cfRule>
    <cfRule type="cellIs" dxfId="125" priority="4" operator="equal">
      <formula>#REF!</formula>
    </cfRule>
  </conditionalFormatting>
  <pageMargins left="0.7" right="0.7" top="0.75" bottom="0.75" header="0.3" footer="0.3"/>
  <pageSetup paperSize="3" orientation="landscape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B1A4F-4028-4750-BF45-23A0FEDF9BBD}">
  <sheetPr>
    <tabColor rgb="FF92D050"/>
    <pageSetUpPr fitToPage="1"/>
  </sheetPr>
  <dimension ref="A1:AC183"/>
  <sheetViews>
    <sheetView showGridLines="0" topLeftCell="B1" zoomScale="70" zoomScaleNormal="70" zoomScaleSheetLayoutView="90" workbookViewId="0">
      <selection activeCell="D8" sqref="D8"/>
    </sheetView>
  </sheetViews>
  <sheetFormatPr defaultColWidth="8.85546875" defaultRowHeight="23.25" customHeight="1"/>
  <cols>
    <col min="1" max="1" width="46.140625" style="5" bestFit="1" customWidth="1"/>
    <col min="2" max="2" width="28.85546875" style="5" bestFit="1" customWidth="1"/>
    <col min="3" max="3" width="35.5703125" style="5" customWidth="1"/>
    <col min="4" max="4" width="19.42578125" style="5" bestFit="1" customWidth="1"/>
    <col min="5" max="5" width="16.42578125" style="5" bestFit="1" customWidth="1"/>
    <col min="6" max="6" width="12.42578125" style="5" bestFit="1" customWidth="1"/>
    <col min="7" max="7" width="32.85546875" style="5" bestFit="1" customWidth="1"/>
    <col min="8" max="8" width="28.85546875" style="5" bestFit="1" customWidth="1"/>
    <col min="9" max="9" width="35.5703125" style="5" customWidth="1"/>
    <col min="10" max="11" width="26.85546875" style="5" customWidth="1"/>
    <col min="12" max="12" width="1.5703125" style="5" customWidth="1"/>
    <col min="13" max="13" width="32.85546875" style="5" bestFit="1" customWidth="1"/>
    <col min="14" max="14" width="28.85546875" style="5" bestFit="1" customWidth="1"/>
    <col min="15" max="15" width="35.5703125" style="5" customWidth="1"/>
    <col min="16" max="17" width="26.85546875" style="5" customWidth="1"/>
    <col min="18" max="18" width="1.5703125" style="5" customWidth="1"/>
    <col min="19" max="19" width="32.85546875" style="5" bestFit="1" customWidth="1"/>
    <col min="20" max="20" width="28.85546875" style="5" bestFit="1" customWidth="1"/>
    <col min="21" max="21" width="35.5703125" style="5" customWidth="1"/>
    <col min="22" max="23" width="26.85546875" style="5" customWidth="1"/>
    <col min="24" max="24" width="21.42578125" style="5" bestFit="1" customWidth="1"/>
    <col min="25" max="26" width="24.42578125" style="5" customWidth="1"/>
    <col min="27" max="27" width="32.42578125" style="5" customWidth="1"/>
    <col min="28" max="28" width="20.140625" style="5" customWidth="1"/>
    <col min="29" max="29" width="13.42578125" style="5" bestFit="1" customWidth="1"/>
    <col min="30" max="16384" width="8.85546875" style="5"/>
  </cols>
  <sheetData>
    <row r="1" spans="1:29" ht="23.25" customHeight="1" thickBot="1">
      <c r="A1" s="2"/>
      <c r="B1" s="75"/>
      <c r="C1" s="3"/>
      <c r="D1" s="4"/>
      <c r="Y1" s="124"/>
    </row>
    <row r="2" spans="1:29" ht="30" customHeight="1" thickBot="1">
      <c r="A2" s="1000" t="s">
        <v>381</v>
      </c>
      <c r="B2" s="142"/>
      <c r="C2" s="142" t="s">
        <v>89</v>
      </c>
      <c r="D2" s="1075" t="s">
        <v>98</v>
      </c>
      <c r="E2" s="1076"/>
      <c r="Y2" s="99"/>
    </row>
    <row r="3" spans="1:29" ht="20.25" customHeight="1">
      <c r="B3" s="55"/>
      <c r="C3" s="55"/>
      <c r="D3" s="55"/>
      <c r="E3" s="55"/>
      <c r="Y3" s="137"/>
    </row>
    <row r="4" spans="1:29" ht="24.95" customHeight="1" thickBot="1">
      <c r="A4" s="181" t="s">
        <v>382</v>
      </c>
      <c r="B4" s="117"/>
      <c r="Y4" s="123"/>
      <c r="Z4" s="135"/>
      <c r="AA4" s="55"/>
      <c r="AB4" s="55"/>
      <c r="AC4" s="55"/>
    </row>
    <row r="5" spans="1:29" ht="15" customHeight="1" thickBot="1">
      <c r="A5" s="750" t="s">
        <v>383</v>
      </c>
      <c r="B5" s="751"/>
      <c r="C5" s="180" t="s">
        <v>384</v>
      </c>
      <c r="D5" s="170">
        <f>SUM(E129,K129,Q129)</f>
        <v>5724632.0520000001</v>
      </c>
      <c r="E5" s="568">
        <f>B28-B10-B11+B25</f>
        <v>73695788.370691642</v>
      </c>
      <c r="J5" s="168"/>
      <c r="Y5" s="123"/>
      <c r="Z5" s="135"/>
      <c r="AA5" s="55"/>
      <c r="AB5" s="135"/>
      <c r="AC5" s="55"/>
    </row>
    <row r="6" spans="1:29" ht="15" customHeight="1" thickBot="1">
      <c r="A6" s="752" t="s">
        <v>33</v>
      </c>
      <c r="B6" s="753" t="s">
        <v>385</v>
      </c>
      <c r="C6" s="180" t="s">
        <v>386</v>
      </c>
      <c r="D6" s="170">
        <f>SUM(B171,H171,N171)</f>
        <v>6618288.6703444235</v>
      </c>
      <c r="E6" s="274"/>
      <c r="J6" s="168"/>
      <c r="Y6" s="123"/>
      <c r="Z6" s="135"/>
      <c r="AA6" s="55"/>
      <c r="AB6" s="135"/>
      <c r="AC6" s="55"/>
    </row>
    <row r="7" spans="1:29" ht="15" customHeight="1">
      <c r="A7" s="754" t="s">
        <v>387</v>
      </c>
      <c r="B7" s="755">
        <f>SUM(C133,I133,O133)</f>
        <v>67040319</v>
      </c>
      <c r="C7" s="180" t="s">
        <v>388</v>
      </c>
      <c r="D7" s="364">
        <f>IFERROR((D6/D5)^(1/(D8+1))-1,0)</f>
        <v>2.4471044343402859E-2</v>
      </c>
      <c r="G7" s="278"/>
      <c r="J7" s="168"/>
      <c r="Y7" s="123"/>
      <c r="Z7" s="135"/>
      <c r="AA7" s="55"/>
      <c r="AB7" s="135"/>
      <c r="AC7" s="55"/>
    </row>
    <row r="8" spans="1:29" ht="15" customHeight="1">
      <c r="A8" s="17" t="s">
        <v>77</v>
      </c>
      <c r="B8" s="143">
        <f>SUM(C134,I134,O134)</f>
        <v>3352015.95</v>
      </c>
      <c r="C8" s="180" t="s">
        <v>125</v>
      </c>
      <c r="D8" s="362">
        <f>Assumptions!$L$41</f>
        <v>5</v>
      </c>
      <c r="E8" s="274"/>
      <c r="J8" s="168"/>
      <c r="Y8" s="123"/>
      <c r="Z8" s="135"/>
      <c r="AA8" s="55"/>
      <c r="AB8" s="135"/>
      <c r="AC8" s="55"/>
    </row>
    <row r="9" spans="1:29" ht="15" customHeight="1">
      <c r="A9" s="17" t="s">
        <v>389</v>
      </c>
      <c r="B9" s="143">
        <f>SUM(C135,I135,O135)</f>
        <v>0</v>
      </c>
      <c r="C9" s="272" t="s">
        <v>390</v>
      </c>
      <c r="D9" s="170">
        <f>SUM(B$164,H$164,N$164)</f>
        <v>0</v>
      </c>
      <c r="J9" s="168"/>
      <c r="Y9" s="123"/>
      <c r="Z9" s="135"/>
      <c r="AA9" s="55"/>
      <c r="AB9" s="135"/>
      <c r="AC9" s="55"/>
    </row>
    <row r="10" spans="1:29" ht="15" customHeight="1">
      <c r="A10" s="17" t="s">
        <v>391</v>
      </c>
      <c r="B10" s="143">
        <f t="shared" ref="B10:B23" si="0">SUM(C136,I136,O136)</f>
        <v>808909.2</v>
      </c>
      <c r="C10" s="180" t="s">
        <v>392</v>
      </c>
      <c r="D10" s="170">
        <f>SUM(B$175,H$175,N$175)</f>
        <v>187045994.32690936</v>
      </c>
      <c r="J10" s="168"/>
      <c r="Y10" s="123"/>
      <c r="Z10" s="135"/>
      <c r="AA10" s="55"/>
      <c r="AB10" s="135"/>
      <c r="AC10" s="55"/>
    </row>
    <row r="11" spans="1:29" ht="15" customHeight="1" thickBot="1">
      <c r="A11" s="17" t="s">
        <v>393</v>
      </c>
      <c r="B11" s="143">
        <f t="shared" si="0"/>
        <v>14730000</v>
      </c>
      <c r="C11" s="180" t="s">
        <v>394</v>
      </c>
      <c r="D11" s="543" t="str">
        <f>IF(OR(B35="YES",H35="YES",N35="YES"),"YES","NO")</f>
        <v>NO</v>
      </c>
      <c r="J11" s="168"/>
      <c r="Y11" s="123"/>
      <c r="Z11" s="135"/>
      <c r="AA11" s="55"/>
      <c r="AB11" s="135"/>
      <c r="AC11" s="55"/>
    </row>
    <row r="12" spans="1:29" ht="15" customHeight="1">
      <c r="A12" s="17" t="s">
        <v>79</v>
      </c>
      <c r="B12" s="143">
        <f t="shared" si="0"/>
        <v>1340806.3800000001</v>
      </c>
      <c r="C12" s="749" t="s">
        <v>395</v>
      </c>
      <c r="D12" s="757"/>
      <c r="E12" s="758"/>
      <c r="F12" s="124"/>
      <c r="G12" s="124"/>
      <c r="J12" s="117"/>
      <c r="Y12" s="123"/>
      <c r="Z12" s="135"/>
      <c r="AA12" s="55"/>
      <c r="AB12" s="135"/>
      <c r="AC12" s="55"/>
    </row>
    <row r="13" spans="1:29" ht="15" customHeight="1">
      <c r="A13" s="377" t="s">
        <v>83</v>
      </c>
      <c r="B13" s="143">
        <f t="shared" si="0"/>
        <v>1005604.785</v>
      </c>
      <c r="C13" s="844"/>
      <c r="D13" s="541" t="s">
        <v>12</v>
      </c>
      <c r="E13" s="542" t="s">
        <v>396</v>
      </c>
      <c r="F13" s="289"/>
      <c r="G13" s="554"/>
      <c r="Y13" s="123"/>
      <c r="Z13" s="135"/>
      <c r="AA13" s="55"/>
      <c r="AB13" s="135"/>
      <c r="AC13" s="55"/>
    </row>
    <row r="14" spans="1:29" ht="15" customHeight="1">
      <c r="A14" s="377" t="s">
        <v>84</v>
      </c>
      <c r="B14" s="143">
        <f t="shared" si="0"/>
        <v>60668.19</v>
      </c>
      <c r="C14" s="845" t="s">
        <v>9</v>
      </c>
      <c r="D14" s="546">
        <f>SUM(B157,H157,N157)</f>
        <v>63310886.754282914</v>
      </c>
      <c r="E14" s="759">
        <f>D14/$D$17</f>
        <v>0.59971646920117982</v>
      </c>
      <c r="F14" s="283"/>
      <c r="G14" s="130"/>
      <c r="Y14" s="123"/>
      <c r="Z14" s="135"/>
      <c r="AA14" s="55"/>
      <c r="AB14" s="135"/>
      <c r="AC14" s="55"/>
    </row>
    <row r="15" spans="1:29" ht="15" customHeight="1">
      <c r="A15" s="377" t="s">
        <v>85</v>
      </c>
      <c r="B15" s="143">
        <f t="shared" si="0"/>
        <v>1340806.3800000001</v>
      </c>
      <c r="C15" s="846" t="s">
        <v>11</v>
      </c>
      <c r="D15" s="546">
        <f>SUM(B158,H158,N158)</f>
        <v>34090477.48307541</v>
      </c>
      <c r="E15" s="759">
        <f>D15/$D$17</f>
        <v>0.32292425264678909</v>
      </c>
      <c r="F15" s="283"/>
      <c r="G15" s="130"/>
      <c r="Y15" s="123"/>
      <c r="Z15" s="135"/>
      <c r="AA15" s="55"/>
      <c r="AB15" s="135"/>
      <c r="AC15" s="55"/>
    </row>
    <row r="16" spans="1:29" ht="15" customHeight="1">
      <c r="A16" s="377" t="s">
        <v>86</v>
      </c>
      <c r="B16" s="143">
        <f t="shared" si="0"/>
        <v>2346411.1650000005</v>
      </c>
      <c r="C16" s="847" t="s">
        <v>10</v>
      </c>
      <c r="D16" s="547">
        <f>-B25</f>
        <v>8166666.6666666679</v>
      </c>
      <c r="E16" s="759">
        <f>D16/$D$17</f>
        <v>7.7359278152030933E-2</v>
      </c>
      <c r="Y16" s="123"/>
      <c r="Z16" s="135"/>
      <c r="AA16" s="55"/>
      <c r="AB16" s="135"/>
      <c r="AC16" s="55"/>
    </row>
    <row r="17" spans="1:29" ht="15" customHeight="1" thickBot="1">
      <c r="A17" s="377" t="s">
        <v>88</v>
      </c>
      <c r="B17" s="143">
        <f t="shared" si="0"/>
        <v>1340806.3800000001</v>
      </c>
      <c r="C17" s="848" t="s">
        <v>397</v>
      </c>
      <c r="D17" s="552">
        <f>SUM(D14:D16)</f>
        <v>105568030.904025</v>
      </c>
      <c r="E17" s="561">
        <f>SUM(E14:E16)</f>
        <v>0.99999999999999978</v>
      </c>
      <c r="Y17" s="123"/>
      <c r="Z17" s="135"/>
      <c r="AA17" s="55"/>
      <c r="AB17" s="135"/>
      <c r="AC17" s="55"/>
    </row>
    <row r="18" spans="1:29" ht="15" customHeight="1" thickTop="1" thickBot="1">
      <c r="A18" s="377" t="s">
        <v>93</v>
      </c>
      <c r="B18" s="143">
        <f t="shared" si="0"/>
        <v>3352015.95</v>
      </c>
      <c r="C18" s="849" t="s">
        <v>398</v>
      </c>
      <c r="D18" s="550" t="str">
        <f>IF(B29=D17,"YES","NO")</f>
        <v>YES</v>
      </c>
      <c r="E18" s="551"/>
      <c r="F18" s="356"/>
      <c r="G18" s="555"/>
      <c r="Y18" s="123"/>
      <c r="Z18" s="135"/>
      <c r="AA18" s="55"/>
      <c r="AB18" s="135"/>
      <c r="AC18" s="55"/>
    </row>
    <row r="19" spans="1:29" ht="15" customHeight="1">
      <c r="A19" s="377" t="s">
        <v>97</v>
      </c>
      <c r="B19" s="143">
        <f t="shared" si="0"/>
        <v>1005604.785</v>
      </c>
      <c r="C19" s="854" t="s">
        <v>399</v>
      </c>
      <c r="D19" s="853"/>
      <c r="F19" s="124"/>
      <c r="G19" s="124"/>
      <c r="Y19" s="123"/>
      <c r="Z19" s="135"/>
      <c r="AA19" s="55"/>
      <c r="AB19" s="135"/>
      <c r="AC19" s="55"/>
    </row>
    <row r="20" spans="1:29" ht="15" customHeight="1">
      <c r="A20" s="377" t="s">
        <v>100</v>
      </c>
      <c r="B20" s="143">
        <f t="shared" si="0"/>
        <v>300000</v>
      </c>
      <c r="C20" s="377" t="s">
        <v>400</v>
      </c>
      <c r="D20" s="413">
        <f ca="1">'1-B DRAW'!B50</f>
        <v>135043119.44995666</v>
      </c>
      <c r="F20" s="12"/>
      <c r="G20" s="556"/>
      <c r="Y20" s="123"/>
      <c r="Z20" s="135"/>
      <c r="AA20" s="55"/>
      <c r="AB20" s="135"/>
      <c r="AC20" s="55"/>
    </row>
    <row r="21" spans="1:29" ht="15" customHeight="1">
      <c r="A21" s="377" t="s">
        <v>103</v>
      </c>
      <c r="B21" s="143">
        <f t="shared" si="0"/>
        <v>1871863.92</v>
      </c>
      <c r="C21" s="377" t="s">
        <v>401</v>
      </c>
      <c r="D21" s="549">
        <f ca="1">(D20+D15)/D15</f>
        <v>4.9613149894131077</v>
      </c>
      <c r="F21" s="12"/>
      <c r="G21" s="559"/>
      <c r="Y21" s="123"/>
      <c r="Z21" s="135"/>
      <c r="AA21" s="55"/>
      <c r="AB21" s="135"/>
      <c r="AC21" s="55"/>
    </row>
    <row r="22" spans="1:29" ht="15" customHeight="1">
      <c r="A22" s="377" t="s">
        <v>106</v>
      </c>
      <c r="B22" s="143">
        <f t="shared" si="0"/>
        <v>0</v>
      </c>
      <c r="C22" s="860" t="s">
        <v>402</v>
      </c>
      <c r="D22" s="861">
        <f ca="1">'1-B DRAW'!B59</f>
        <v>0.20829107610573527</v>
      </c>
      <c r="F22" s="12"/>
      <c r="G22" s="556"/>
      <c r="Y22" s="123"/>
      <c r="Z22" s="135"/>
      <c r="AA22" s="55"/>
      <c r="AB22" s="135"/>
      <c r="AC22" s="55"/>
    </row>
    <row r="23" spans="1:29" ht="15" customHeight="1">
      <c r="A23" s="377" t="s">
        <v>403</v>
      </c>
      <c r="B23" s="143">
        <f t="shared" si="0"/>
        <v>0</v>
      </c>
      <c r="C23" s="860" t="s">
        <v>404</v>
      </c>
      <c r="D23" s="861">
        <f ca="1">'1-B DRAW'!B55</f>
        <v>0.13025599092935924</v>
      </c>
      <c r="F23" s="12"/>
      <c r="G23" s="556"/>
      <c r="Y23" s="123"/>
      <c r="Z23" s="135"/>
      <c r="AA23" s="55"/>
      <c r="AB23" s="135"/>
      <c r="AC23" s="55"/>
    </row>
    <row r="24" spans="1:29" ht="15" customHeight="1">
      <c r="A24" s="377" t="s">
        <v>112</v>
      </c>
      <c r="B24" s="143">
        <f>SUM(C150,I150,O150)</f>
        <v>290198.81902500003</v>
      </c>
      <c r="C24" s="860" t="s">
        <v>405</v>
      </c>
      <c r="D24" s="865">
        <f>IF(OR(B$35="YES",H35="YES",N35="YES"),"-",D5/B28)</f>
        <v>5.877363317057438E-2</v>
      </c>
      <c r="E24" s="18"/>
      <c r="F24" s="328"/>
      <c r="G24" s="130"/>
      <c r="Y24" s="123"/>
      <c r="Z24" s="135"/>
      <c r="AA24" s="55"/>
      <c r="AB24" s="135"/>
      <c r="AC24" s="55"/>
    </row>
    <row r="25" spans="1:29" ht="15" customHeight="1">
      <c r="A25" s="17" t="s">
        <v>165</v>
      </c>
      <c r="B25" s="143">
        <f>SUM(C151,I151,O151)</f>
        <v>-8166666.6666666679</v>
      </c>
      <c r="C25" s="860" t="s">
        <v>158</v>
      </c>
      <c r="D25" s="865">
        <f>SUM(D9,D10)/B28</f>
        <v>1.920363187840934</v>
      </c>
      <c r="F25" s="124"/>
      <c r="G25" s="124"/>
      <c r="Y25" s="123"/>
      <c r="Z25" s="135"/>
      <c r="AA25" s="55"/>
      <c r="AB25" s="135"/>
      <c r="AC25" s="55"/>
    </row>
    <row r="26" spans="1:29" ht="15" customHeight="1" thickBot="1">
      <c r="A26" s="408" t="s">
        <v>38</v>
      </c>
      <c r="B26" s="756">
        <f>SUM(C152,I152,O152)</f>
        <v>317000</v>
      </c>
      <c r="C26" s="863" t="s">
        <v>406</v>
      </c>
      <c r="D26" s="864">
        <f>IF((D5/D14)=0,"-",D5/D14)</f>
        <v>9.0420974108575955E-2</v>
      </c>
      <c r="F26" s="12"/>
      <c r="G26" s="557"/>
      <c r="Y26" s="123"/>
      <c r="Z26" s="135"/>
      <c r="AA26" s="55"/>
      <c r="AB26" s="135"/>
      <c r="AC26" s="55"/>
    </row>
    <row r="27" spans="1:29" ht="15" customHeight="1" thickBot="1">
      <c r="A27" s="762" t="s">
        <v>407</v>
      </c>
      <c r="B27" s="763">
        <f>SUM(C153,I153,O153)</f>
        <v>5065000</v>
      </c>
      <c r="F27" s="328"/>
      <c r="G27" s="558"/>
      <c r="Y27" s="123"/>
      <c r="Z27" s="135"/>
      <c r="AA27" s="55"/>
      <c r="AB27" s="135"/>
      <c r="AC27" s="55"/>
    </row>
    <row r="28" spans="1:29" ht="15" customHeight="1" thickTop="1">
      <c r="A28" s="760" t="s">
        <v>408</v>
      </c>
      <c r="B28" s="761">
        <f>SUM(B7:B27)</f>
        <v>97401364.237358317</v>
      </c>
      <c r="C28" s="328"/>
      <c r="D28" s="851"/>
      <c r="F28" s="328"/>
      <c r="G28" s="558"/>
      <c r="Y28" s="123"/>
      <c r="Z28" s="135"/>
      <c r="AA28" s="55"/>
      <c r="AB28" s="135"/>
      <c r="AC28" s="55"/>
    </row>
    <row r="29" spans="1:29" ht="15" customHeight="1" thickBot="1">
      <c r="A29" s="850" t="s">
        <v>409</v>
      </c>
      <c r="B29" s="862">
        <f>B28-B25</f>
        <v>105568030.90402499</v>
      </c>
      <c r="C29" s="12"/>
      <c r="D29" s="852"/>
      <c r="E29" s="12"/>
      <c r="F29" s="12"/>
      <c r="G29" s="132"/>
      <c r="Y29" s="123"/>
      <c r="Z29" s="135"/>
      <c r="AA29" s="55"/>
      <c r="AB29" s="135"/>
      <c r="AC29" s="55"/>
    </row>
    <row r="30" spans="1:29" ht="15" customHeight="1">
      <c r="A30" s="328"/>
      <c r="B30" s="843"/>
      <c r="F30" s="12"/>
      <c r="G30" s="548"/>
      <c r="Y30" s="123"/>
      <c r="Z30" s="135"/>
      <c r="AA30" s="55"/>
      <c r="AB30" s="135"/>
      <c r="AC30" s="55"/>
    </row>
    <row r="31" spans="1:29" ht="15" customHeight="1">
      <c r="A31" s="328"/>
      <c r="B31" s="843"/>
      <c r="E31" s="131"/>
      <c r="Y31" s="123"/>
      <c r="Z31" s="135"/>
      <c r="AA31" s="55"/>
      <c r="AB31" s="135"/>
      <c r="AC31" s="55"/>
    </row>
    <row r="32" spans="1:29" ht="15" customHeight="1">
      <c r="E32" s="132"/>
      <c r="Y32" s="123"/>
      <c r="Z32" s="135"/>
      <c r="AA32" s="55"/>
      <c r="AB32" s="135"/>
      <c r="AC32" s="55"/>
    </row>
    <row r="33" spans="1:29" ht="24.95" customHeight="1" thickBot="1">
      <c r="A33" s="169" t="s">
        <v>410</v>
      </c>
      <c r="M33" s="293"/>
      <c r="AB33" s="55"/>
      <c r="AC33" s="136"/>
    </row>
    <row r="34" spans="1:29" ht="20.25" customHeight="1">
      <c r="A34" s="1001" t="s">
        <v>219</v>
      </c>
      <c r="B34" s="1002" t="s">
        <v>59</v>
      </c>
      <c r="C34" s="1003" t="s">
        <v>411</v>
      </c>
      <c r="D34" s="1004">
        <f>IFERROR(INDEX('Building Configuration'!$B$2:$AA$34,MATCH(B$34,'Building Configuration'!$D$2:$D$34,0),MATCH("Total",'Building Configuration'!$B$2:$AA$2,0)),0)</f>
        <v>126477.70000000001</v>
      </c>
      <c r="E34" s="1005"/>
      <c r="G34" s="1001" t="s">
        <v>219</v>
      </c>
      <c r="H34" s="1002" t="s">
        <v>30</v>
      </c>
      <c r="I34" s="1003" t="s">
        <v>411</v>
      </c>
      <c r="J34" s="1004">
        <f>IFERROR(INDEX('Building Configuration'!$B$2:$AA$34,MATCH(H$34,'Building Configuration'!$D$2:$D$34,0),MATCH("Total",'Building Configuration'!$B$2:$AA$2,0)),0)</f>
        <v>183024</v>
      </c>
      <c r="K34" s="1005"/>
      <c r="L34" s="123"/>
      <c r="M34" s="1001" t="s">
        <v>219</v>
      </c>
      <c r="N34" s="1002" t="s">
        <v>73</v>
      </c>
      <c r="O34" s="1003" t="s">
        <v>411</v>
      </c>
      <c r="P34" s="1004">
        <f>IFERROR(INDEX('Building Configuration'!$B$2:$AA$34,MATCH(N$34,'Building Configuration'!$D$2:$D$34,0),MATCH("Total",'Building Configuration'!$B$2:$AA$2,0)),0)</f>
        <v>107645.5</v>
      </c>
      <c r="Q34" s="1005"/>
      <c r="R34" s="123"/>
      <c r="S34" s="304"/>
      <c r="T34" s="285"/>
      <c r="V34" s="168"/>
      <c r="W34" s="123"/>
      <c r="X34" s="124"/>
    </row>
    <row r="35" spans="1:29" ht="15" customHeight="1">
      <c r="A35" s="6" t="s">
        <v>412</v>
      </c>
      <c r="B35" s="137" t="str">
        <f>IF(OR(D$37&gt;0,D$39&gt;0,D$43&gt;0),"YES","NO")</f>
        <v>NO</v>
      </c>
      <c r="D35" s="119"/>
      <c r="E35" s="103"/>
      <c r="G35" s="6" t="s">
        <v>412</v>
      </c>
      <c r="H35" s="137" t="str">
        <f>IF(OR(J$37&gt;0,J$39&gt;0,J$43&gt;0),"YES","NO")</f>
        <v>NO</v>
      </c>
      <c r="J35" s="119"/>
      <c r="K35" s="103"/>
      <c r="L35" s="123"/>
      <c r="M35" s="6" t="s">
        <v>412</v>
      </c>
      <c r="N35" s="137" t="str">
        <f>IF(OR(P$37&gt;0,P$39&gt;0,P$43&gt;0),"YES","NO")</f>
        <v>NO</v>
      </c>
      <c r="P35" s="119"/>
      <c r="Q35" s="103"/>
      <c r="R35" s="123"/>
      <c r="S35" s="123"/>
      <c r="T35" s="137"/>
      <c r="V35" s="168"/>
      <c r="W35" s="123"/>
      <c r="X35" s="124"/>
    </row>
    <row r="36" spans="1:29" ht="15" customHeight="1">
      <c r="A36" s="6" t="s">
        <v>222</v>
      </c>
      <c r="B36" s="118" t="str">
        <f>IFERROR(INDEX('Building Configuration'!$B$2:$AA$34,MATCH(B$34,'Building Configuration'!$D$2:$D$34,0),MATCH(A36,'Building Configuration'!$B$2:$AA$2,0)),"-")</f>
        <v>-</v>
      </c>
      <c r="C36" s="5" t="s">
        <v>231</v>
      </c>
      <c r="D36" s="119">
        <f>IFERROR(INDEX('Building Configuration'!$B$2:$AA$34,MATCH(B$34,'Building Configuration'!$D$2:$D$34,0),MATCH(B36,'Building Configuration'!$B$2:$AA$2,0)),0)</f>
        <v>0</v>
      </c>
      <c r="E36" s="103"/>
      <c r="G36" s="6" t="s">
        <v>222</v>
      </c>
      <c r="H36" s="118" t="str">
        <f>IFERROR(INDEX('Building Configuration'!$B$2:$AA$34,MATCH(H$34,'Building Configuration'!$D$2:$D$34,0),MATCH(G36,'Building Configuration'!$B$2:$AA$2,0)),"-")</f>
        <v>Multifamily-Market</v>
      </c>
      <c r="I36" s="5" t="s">
        <v>231</v>
      </c>
      <c r="J36" s="119">
        <f>IFERROR(INDEX('Building Configuration'!$B$2:$AA$34,MATCH(H$34,'Building Configuration'!$D$2:$D$34,0),MATCH(H36,'Building Configuration'!$B$2:$AA$2,0)),0)</f>
        <v>104523.20000000001</v>
      </c>
      <c r="K36" s="103"/>
      <c r="L36" s="123"/>
      <c r="M36" s="6" t="s">
        <v>222</v>
      </c>
      <c r="N36" s="118" t="str">
        <f>IFERROR(INDEX('Building Configuration'!$B$2:$AA$34,MATCH(N$34,'Building Configuration'!$D$2:$D$34,0),MATCH(M36,'Building Configuration'!$B$2:$AA$2,0)),"-")</f>
        <v>-</v>
      </c>
      <c r="O36" s="5" t="s">
        <v>231</v>
      </c>
      <c r="P36" s="119">
        <f>IFERROR(INDEX('Building Configuration'!$B$2:$AA$34,MATCH(N$34,'Building Configuration'!$D$2:$D$34,0),MATCH(N36,'Building Configuration'!$B$2:$AA$2,0)),0)</f>
        <v>0</v>
      </c>
      <c r="Q36" s="103"/>
      <c r="R36" s="123"/>
      <c r="S36" s="123"/>
      <c r="T36" s="118"/>
      <c r="V36" s="168"/>
      <c r="W36" s="123"/>
      <c r="X36" s="124"/>
    </row>
    <row r="37" spans="1:29" ht="15" customHeight="1">
      <c r="A37" s="6" t="s">
        <v>223</v>
      </c>
      <c r="B37" s="118" t="str">
        <f>IFERROR(INDEX('Building Configuration'!$B$2:$AA$34,MATCH(B$34,'Building Configuration'!$D$2:$D$34,0),MATCH(A37,'Building Configuration'!$B$2:$AA$2,0)),"-")</f>
        <v>-</v>
      </c>
      <c r="C37" s="5" t="s">
        <v>413</v>
      </c>
      <c r="D37" s="119">
        <f>IFERROR(INDEX('Building Configuration'!$B$2:$AA$34,MATCH(B$34,'Building Configuration'!$D$2:$D$34,0),MATCH(B37,'Building Configuration'!$B$2:$AA$2,0)),0)</f>
        <v>0</v>
      </c>
      <c r="E37" s="103"/>
      <c r="G37" s="6" t="s">
        <v>223</v>
      </c>
      <c r="H37" s="118" t="str">
        <f>IFERROR(INDEX('Building Configuration'!$B$2:$AA$34,MATCH(H$34,'Building Configuration'!$D$2:$D$34,0),MATCH(G37,'Building Configuration'!$B$2:$AA$2,0)),"-")</f>
        <v>-</v>
      </c>
      <c r="I37" s="5" t="s">
        <v>413</v>
      </c>
      <c r="J37" s="119">
        <f>IFERROR(INDEX('Building Configuration'!$B$2:$AA$34,MATCH(H$34,'Building Configuration'!$D$2:$D$34,0),MATCH(H37,'Building Configuration'!$B$2:$AA$2,0)),0)</f>
        <v>0</v>
      </c>
      <c r="K37" s="103"/>
      <c r="L37" s="123"/>
      <c r="M37" s="6" t="s">
        <v>223</v>
      </c>
      <c r="N37" s="118" t="str">
        <f>IFERROR(INDEX('Building Configuration'!$B$2:$AA$34,MATCH(N$34,'Building Configuration'!$D$2:$D$34,0),MATCH(M37,'Building Configuration'!$B$2:$AA$2,0)),"-")</f>
        <v>-</v>
      </c>
      <c r="O37" s="5" t="s">
        <v>413</v>
      </c>
      <c r="P37" s="119">
        <f>IFERROR(INDEX('Building Configuration'!$B$2:$AA$34,MATCH(N$34,'Building Configuration'!$D$2:$D$34,0),MATCH(N37,'Building Configuration'!$B$2:$AA$2,0)),0)</f>
        <v>0</v>
      </c>
      <c r="Q37" s="103"/>
      <c r="R37" s="123"/>
      <c r="S37" s="123"/>
      <c r="T37" s="118"/>
      <c r="V37" s="168"/>
      <c r="W37" s="123"/>
      <c r="X37" s="124"/>
    </row>
    <row r="38" spans="1:29" ht="15" customHeight="1">
      <c r="A38" s="6" t="s">
        <v>224</v>
      </c>
      <c r="B38" s="118" t="str">
        <f>IFERROR(INDEX('Building Configuration'!$B$2:$AA$34,MATCH(B$34,'Building Configuration'!$D$2:$D$34,0),MATCH(A38,'Building Configuration'!$B$2:$AA$2,0)),"-")</f>
        <v>-</v>
      </c>
      <c r="C38" s="5" t="s">
        <v>233</v>
      </c>
      <c r="D38" s="119">
        <f>IFERROR(INDEX('Building Configuration'!$B$2:$AA$34,MATCH(B$34,'Building Configuration'!$D$2:$D$34,0),MATCH(B38,'Building Configuration'!$B$2:$AA$2,0)),0)</f>
        <v>0</v>
      </c>
      <c r="E38" s="103"/>
      <c r="G38" s="6" t="s">
        <v>224</v>
      </c>
      <c r="H38" s="118" t="str">
        <f>IFERROR(INDEX('Building Configuration'!$B$2:$AA$34,MATCH(H$34,'Building Configuration'!$D$2:$D$34,0),MATCH(G38,'Building Configuration'!$B$2:$AA$2,0)),"-")</f>
        <v>Multifamily-Affordable</v>
      </c>
      <c r="I38" s="5" t="s">
        <v>233</v>
      </c>
      <c r="J38" s="119">
        <f>IFERROR(INDEX('Building Configuration'!$B$2:$AA$34,MATCH(H$34,'Building Configuration'!$D$2:$D$34,0),MATCH(H38,'Building Configuration'!$B$2:$AA$2,0)),0)</f>
        <v>26130.800000000003</v>
      </c>
      <c r="K38" s="103"/>
      <c r="L38" s="123"/>
      <c r="M38" s="6" t="s">
        <v>224</v>
      </c>
      <c r="N38" s="118" t="str">
        <f>IFERROR(INDEX('Building Configuration'!$B$2:$AA$34,MATCH(N$34,'Building Configuration'!$D$2:$D$34,0),MATCH(M38,'Building Configuration'!$B$2:$AA$2,0)),"-")</f>
        <v>-</v>
      </c>
      <c r="O38" s="5" t="s">
        <v>233</v>
      </c>
      <c r="P38" s="119">
        <f>IFERROR(INDEX('Building Configuration'!$B$2:$AA$34,MATCH(N$34,'Building Configuration'!$D$2:$D$34,0),MATCH(N38,'Building Configuration'!$B$2:$AA$2,0)),0)</f>
        <v>0</v>
      </c>
      <c r="Q38" s="103"/>
      <c r="R38" s="123"/>
      <c r="S38" s="123"/>
      <c r="T38" s="118"/>
      <c r="V38" s="168"/>
      <c r="W38" s="123"/>
      <c r="X38" s="124"/>
      <c r="Z38" s="168"/>
    </row>
    <row r="39" spans="1:29" ht="15" customHeight="1">
      <c r="A39" s="6" t="s">
        <v>225</v>
      </c>
      <c r="B39" s="118" t="str">
        <f>IFERROR(INDEX('Building Configuration'!$B$2:$AA$34,MATCH(B$34,'Building Configuration'!$D$2:$D$34,0),MATCH(A39,'Building Configuration'!$B$2:$AA$2,0)),"-")</f>
        <v>-</v>
      </c>
      <c r="C39" s="5" t="s">
        <v>414</v>
      </c>
      <c r="D39" s="119">
        <f>IFERROR(INDEX('Building Configuration'!$B$2:$AA$34,MATCH(B$34,'Building Configuration'!$D$2:$D$34,0),MATCH(B39,'Building Configuration'!$B$2:$AA$2,0)),0)</f>
        <v>0</v>
      </c>
      <c r="E39" s="103"/>
      <c r="G39" s="6" t="s">
        <v>225</v>
      </c>
      <c r="H39" s="118" t="str">
        <f>IFERROR(INDEX('Building Configuration'!$B$2:$AA$34,MATCH(H$34,'Building Configuration'!$D$2:$D$34,0),MATCH(G39,'Building Configuration'!$B$2:$AA$2,0)),"-")</f>
        <v>-</v>
      </c>
      <c r="I39" s="5" t="s">
        <v>414</v>
      </c>
      <c r="J39" s="119">
        <f>IFERROR(INDEX('Building Configuration'!$B$2:$AA$34,MATCH(H$34,'Building Configuration'!$D$2:$D$34,0),MATCH(H39,'Building Configuration'!$B$2:$AA$2,0)),0)</f>
        <v>0</v>
      </c>
      <c r="K39" s="103"/>
      <c r="L39" s="123"/>
      <c r="M39" s="6" t="s">
        <v>225</v>
      </c>
      <c r="N39" s="118" t="str">
        <f>IFERROR(INDEX('Building Configuration'!$B$2:$AA$34,MATCH(N$34,'Building Configuration'!$D$2:$D$34,0),MATCH(M39,'Building Configuration'!$B$2:$AA$2,0)),"-")</f>
        <v>-</v>
      </c>
      <c r="O39" s="5" t="s">
        <v>414</v>
      </c>
      <c r="P39" s="119">
        <f>IFERROR(INDEX('Building Configuration'!$B$2:$AA$34,MATCH(N$34,'Building Configuration'!$D$2:$D$34,0),MATCH(N39,'Building Configuration'!$B$2:$AA$2,0)),0)</f>
        <v>0</v>
      </c>
      <c r="Q39" s="103"/>
      <c r="R39" s="123"/>
      <c r="S39" s="123"/>
      <c r="T39" s="118"/>
      <c r="V39" s="168"/>
      <c r="W39" s="123"/>
      <c r="X39" s="124"/>
      <c r="Z39" s="168"/>
    </row>
    <row r="40" spans="1:29" ht="15" customHeight="1">
      <c r="A40" s="6" t="s">
        <v>226</v>
      </c>
      <c r="B40" s="118" t="str">
        <f>IFERROR(INDEX('Building Configuration'!$B$2:$AA$34,MATCH(B$34,'Building Configuration'!$D$2:$D$34,0),MATCH(A40,'Building Configuration'!$B$2:$AA$2,0)),"-")</f>
        <v>Student Housing</v>
      </c>
      <c r="C40" s="5" t="s">
        <v>59</v>
      </c>
      <c r="D40" s="119">
        <f>IFERROR(INDEX('Building Configuration'!$B$2:$AA$34,MATCH(B$34,'Building Configuration'!$D$2:$D$34,0),MATCH(B40,'Building Configuration'!$B$2:$AA$2,0)),0)</f>
        <v>106195.1</v>
      </c>
      <c r="E40" s="103"/>
      <c r="G40" s="6" t="s">
        <v>226</v>
      </c>
      <c r="H40" s="118" t="str">
        <f>IFERROR(INDEX('Building Configuration'!$B$2:$AA$34,MATCH(H$34,'Building Configuration'!$D$2:$D$34,0),MATCH(G40,'Building Configuration'!$B$2:$AA$2,0)),"-")</f>
        <v>-</v>
      </c>
      <c r="I40" s="5" t="s">
        <v>59</v>
      </c>
      <c r="J40" s="119">
        <f>IFERROR(INDEX('Building Configuration'!$B$2:$AA$34,MATCH(H$34,'Building Configuration'!$D$2:$D$34,0),MATCH(H40,'Building Configuration'!$B$2:$AA$2,0)),0)</f>
        <v>0</v>
      </c>
      <c r="K40" s="103"/>
      <c r="L40" s="123"/>
      <c r="M40" s="6" t="s">
        <v>226</v>
      </c>
      <c r="N40" s="118" t="str">
        <f>IFERROR(INDEX('Building Configuration'!$B$2:$AA$34,MATCH(N$34,'Building Configuration'!$D$2:$D$34,0),MATCH(M40,'Building Configuration'!$B$2:$AA$2,0)),"-")</f>
        <v>-</v>
      </c>
      <c r="O40" s="5" t="s">
        <v>59</v>
      </c>
      <c r="P40" s="119">
        <f>IFERROR(INDEX('Building Configuration'!$B$2:$AA$34,MATCH(N$34,'Building Configuration'!$D$2:$D$34,0),MATCH(N40,'Building Configuration'!$B$2:$AA$2,0)),0)</f>
        <v>0</v>
      </c>
      <c r="Q40" s="103"/>
      <c r="R40" s="123"/>
      <c r="S40" s="123"/>
      <c r="T40" s="118"/>
      <c r="V40" s="168"/>
      <c r="W40" s="123"/>
      <c r="X40" s="124"/>
      <c r="Z40" s="168"/>
    </row>
    <row r="41" spans="1:29" ht="15" customHeight="1">
      <c r="A41" s="6" t="s">
        <v>227</v>
      </c>
      <c r="B41" s="118" t="str">
        <f>IFERROR(INDEX('Building Configuration'!$B$2:$AA$34,MATCH(B$34,'Building Configuration'!$D$2:$D$34,0),MATCH(A41,'Building Configuration'!$B$2:$AA$2,0)),"-")</f>
        <v>-</v>
      </c>
      <c r="C41" s="5" t="s">
        <v>415</v>
      </c>
      <c r="D41" s="119">
        <f>IFERROR(INDEX('Building Configuration'!$B$2:$AA$34,MATCH(B$34,'Building Configuration'!$D$2:$D$34,0),MATCH(B41,'Building Configuration'!$B$2:$AA$2,0)),0)</f>
        <v>0</v>
      </c>
      <c r="E41" s="103"/>
      <c r="G41" s="6" t="s">
        <v>227</v>
      </c>
      <c r="H41" s="118" t="str">
        <f>IFERROR(INDEX('Building Configuration'!$B$2:$AA$34,MATCH(H$34,'Building Configuration'!$D$2:$D$34,0),MATCH(G41,'Building Configuration'!$B$2:$AA$2,0)),"-")</f>
        <v>-</v>
      </c>
      <c r="I41" s="5" t="s">
        <v>415</v>
      </c>
      <c r="J41" s="119">
        <f>IFERROR(INDEX('Building Configuration'!$B$2:$AA$34,MATCH(H$34,'Building Configuration'!$D$2:$D$34,0),MATCH(H41,'Building Configuration'!$B$2:$AA$2,0)),0)</f>
        <v>0</v>
      </c>
      <c r="K41" s="103"/>
      <c r="L41" s="123"/>
      <c r="M41" s="6" t="s">
        <v>227</v>
      </c>
      <c r="N41" s="118" t="str">
        <f>IFERROR(INDEX('Building Configuration'!$B$2:$AA$34,MATCH(N$34,'Building Configuration'!$D$2:$D$34,0),MATCH(M41,'Building Configuration'!$B$2:$AA$2,0)),"-")</f>
        <v>-</v>
      </c>
      <c r="O41" s="5" t="s">
        <v>415</v>
      </c>
      <c r="P41" s="119">
        <f>IFERROR(INDEX('Building Configuration'!$B$2:$AA$34,MATCH(N$34,'Building Configuration'!$D$2:$D$34,0),MATCH(N41,'Building Configuration'!$B$2:$AA$2,0)),0)</f>
        <v>0</v>
      </c>
      <c r="Q41" s="103"/>
      <c r="R41" s="123"/>
      <c r="S41" s="123"/>
      <c r="T41" s="118"/>
      <c r="V41" s="168"/>
      <c r="W41" s="123"/>
      <c r="X41" s="124"/>
      <c r="Z41" s="168"/>
    </row>
    <row r="42" spans="1:29" ht="15" customHeight="1">
      <c r="A42" s="6" t="s">
        <v>228</v>
      </c>
      <c r="B42" s="118" t="str">
        <f>IFERROR(INDEX('Building Configuration'!$B$2:$AA$34,MATCH(B$34,'Building Configuration'!$D$2:$D$34,0),MATCH(A42,'Building Configuration'!$B$2:$AA$2,0)),"-")</f>
        <v>-</v>
      </c>
      <c r="C42" s="5" t="s">
        <v>416</v>
      </c>
      <c r="D42" s="119">
        <f>IFERROR(INDEX('Building Configuration'!$B$2:$AA$34,MATCH(B$34,'Building Configuration'!$D$2:$D$34,0),MATCH(B42,'Building Configuration'!$B$2:$AA$2,0)),0)</f>
        <v>0</v>
      </c>
      <c r="E42" s="103"/>
      <c r="G42" s="6" t="s">
        <v>228</v>
      </c>
      <c r="H42" s="118" t="str">
        <f>IFERROR(INDEX('Building Configuration'!$B$2:$AA$34,MATCH(H$34,'Building Configuration'!$D$2:$D$34,0),MATCH(G42,'Building Configuration'!$B$2:$AA$2,0)),"-")</f>
        <v>-</v>
      </c>
      <c r="I42" s="5" t="s">
        <v>416</v>
      </c>
      <c r="J42" s="119">
        <f>IFERROR(INDEX('Building Configuration'!$B$2:$AA$34,MATCH(H$34,'Building Configuration'!$D$2:$D$34,0),MATCH(H42,'Building Configuration'!$B$2:$AA$2,0)),0)</f>
        <v>0</v>
      </c>
      <c r="K42" s="103"/>
      <c r="L42" s="123"/>
      <c r="M42" s="6" t="s">
        <v>228</v>
      </c>
      <c r="N42" s="118" t="str">
        <f>IFERROR(INDEX('Building Configuration'!$B$2:$AA$34,MATCH(N$34,'Building Configuration'!$D$2:$D$34,0),MATCH(M42,'Building Configuration'!$B$2:$AA$2,0)),"-")</f>
        <v>-</v>
      </c>
      <c r="O42" s="5" t="s">
        <v>416</v>
      </c>
      <c r="P42" s="119">
        <f>IFERROR(INDEX('Building Configuration'!$B$2:$AA$34,MATCH(N$34,'Building Configuration'!$D$2:$D$34,0),MATCH(N42,'Building Configuration'!$B$2:$AA$2,0)),0)</f>
        <v>0</v>
      </c>
      <c r="Q42" s="103"/>
      <c r="R42" s="123"/>
      <c r="S42" s="123"/>
      <c r="T42" s="118"/>
      <c r="V42" s="168"/>
      <c r="W42" s="123"/>
      <c r="X42" s="124"/>
      <c r="Z42" s="168"/>
    </row>
    <row r="43" spans="1:29" ht="15" customHeight="1">
      <c r="A43" s="6" t="s">
        <v>229</v>
      </c>
      <c r="B43" s="118" t="str">
        <f>IFERROR(INDEX('Building Configuration'!$B$2:$AA$34,MATCH(B$34,'Building Configuration'!$D$2:$D$34,0),MATCH(A43,'Building Configuration'!$B$2:$AA$2,0)),"-")</f>
        <v>-</v>
      </c>
      <c r="C43" s="5" t="s">
        <v>229</v>
      </c>
      <c r="D43" s="119">
        <f>IFERROR(INDEX('Building Configuration'!$B$2:$AA$34,MATCH(B$34,'Building Configuration'!$D$2:$D$34,0),MATCH(B43,'Building Configuration'!$B$2:$AA$2,0)),0)</f>
        <v>0</v>
      </c>
      <c r="E43" s="103"/>
      <c r="G43" s="6" t="s">
        <v>229</v>
      </c>
      <c r="H43" s="118" t="str">
        <f>IFERROR(INDEX('Building Configuration'!$B$2:$AA$34,MATCH(H$34,'Building Configuration'!$D$2:$D$34,0),MATCH(G43,'Building Configuration'!$B$2:$AA$2,0)),"-")</f>
        <v>-</v>
      </c>
      <c r="I43" s="5" t="s">
        <v>229</v>
      </c>
      <c r="J43" s="119">
        <f>IFERROR(INDEX('Building Configuration'!$B$2:$AA$34,MATCH(H$34,'Building Configuration'!$D$2:$D$34,0),MATCH(H43,'Building Configuration'!$B$2:$AA$2,0)),0)</f>
        <v>0</v>
      </c>
      <c r="K43" s="103"/>
      <c r="L43" s="123"/>
      <c r="M43" s="6" t="s">
        <v>229</v>
      </c>
      <c r="N43" s="118" t="str">
        <f>IFERROR(INDEX('Building Configuration'!$B$2:$AA$34,MATCH(N$34,'Building Configuration'!$D$2:$D$34,0),MATCH(M43,'Building Configuration'!$B$2:$AA$2,0)),"-")</f>
        <v>-</v>
      </c>
      <c r="O43" s="5" t="s">
        <v>229</v>
      </c>
      <c r="P43" s="119">
        <f>IFERROR(INDEX('Building Configuration'!$B$2:$AA$34,MATCH(N$34,'Building Configuration'!$D$2:$D$34,0),MATCH(N43,'Building Configuration'!$B$2:$AA$2,0)),0)</f>
        <v>0</v>
      </c>
      <c r="Q43" s="103"/>
      <c r="R43" s="123"/>
      <c r="S43" s="123"/>
      <c r="T43" s="118"/>
      <c r="V43" s="168"/>
      <c r="W43" s="123"/>
      <c r="X43" s="124"/>
      <c r="Z43" s="168"/>
    </row>
    <row r="44" spans="1:29" ht="15" customHeight="1">
      <c r="A44" s="6" t="s">
        <v>230</v>
      </c>
      <c r="B44" s="118" t="str">
        <f>IFERROR(INDEX('Building Configuration'!$B$2:$AA$34,MATCH(B$34,'Building Configuration'!$D$2:$D$34,0),MATCH(A44,'Building Configuration'!$B$2:$AA$2,0)),"-")</f>
        <v>-</v>
      </c>
      <c r="C44" s="5" t="s">
        <v>230</v>
      </c>
      <c r="D44" s="119">
        <f>IFERROR(INDEX('Building Configuration'!$B$2:$AA$34,MATCH(B$34,'Building Configuration'!$D$2:$D$34,0),MATCH(B44,'Building Configuration'!$B$2:$AA$2,0)),0)</f>
        <v>0</v>
      </c>
      <c r="E44" s="103"/>
      <c r="G44" s="6" t="s">
        <v>230</v>
      </c>
      <c r="H44" s="118" t="str">
        <f>IFERROR(INDEX('Building Configuration'!$B$2:$AA$34,MATCH(H$34,'Building Configuration'!$D$2:$D$34,0),MATCH(G44,'Building Configuration'!$B$2:$AA$2,0)),"-")</f>
        <v>-</v>
      </c>
      <c r="I44" s="5" t="s">
        <v>230</v>
      </c>
      <c r="J44" s="119">
        <f>IFERROR(INDEX('Building Configuration'!$B$2:$AA$34,MATCH(H$34,'Building Configuration'!$D$2:$D$34,0),MATCH(H44,'Building Configuration'!$B$2:$AA$2,0)),0)</f>
        <v>0</v>
      </c>
      <c r="K44" s="103"/>
      <c r="L44" s="123"/>
      <c r="M44" s="6" t="s">
        <v>230</v>
      </c>
      <c r="N44" s="118" t="str">
        <f>IFERROR(INDEX('Building Configuration'!$B$2:$AA$34,MATCH(N$34,'Building Configuration'!$D$2:$D$34,0),MATCH(M44,'Building Configuration'!$B$2:$AA$2,0)),"-")</f>
        <v>-</v>
      </c>
      <c r="O44" s="5" t="s">
        <v>230</v>
      </c>
      <c r="P44" s="119">
        <f>IFERROR(INDEX('Building Configuration'!$B$2:$AA$34,MATCH(N$34,'Building Configuration'!$D$2:$D$34,0),MATCH(N44,'Building Configuration'!$B$2:$AA$2,0)),0)</f>
        <v>0</v>
      </c>
      <c r="Q44" s="103"/>
      <c r="R44" s="123"/>
      <c r="S44" s="123"/>
      <c r="T44" s="118"/>
      <c r="V44" s="168"/>
      <c r="W44" s="123"/>
      <c r="X44" s="124"/>
      <c r="Z44" s="168"/>
    </row>
    <row r="45" spans="1:29" ht="15" customHeight="1">
      <c r="A45" s="6" t="s">
        <v>417</v>
      </c>
      <c r="B45" s="118" t="str">
        <f>IFERROR(IF(INDEX('Building Configuration'!$B$2:$AA$34,MATCH(B$34,'Building Configuration'!$D$2:$D$34,0),MATCH(C45,'Building Configuration'!$B$2:$AA$2,0))&gt;0,"YES","NO"),"-")</f>
        <v>YES</v>
      </c>
      <c r="C45" s="5" t="s">
        <v>116</v>
      </c>
      <c r="D45" s="119">
        <f>IFERROR(INDEX('Building Configuration'!$B$2:$AA$34,MATCH(B$34,'Building Configuration'!$D$2:$D$34,0),MATCH(C45,'Building Configuration'!$B$2:$AA$2,0)),0)</f>
        <v>20282.599999999999</v>
      </c>
      <c r="E45" s="65"/>
      <c r="G45" s="6" t="s">
        <v>417</v>
      </c>
      <c r="H45" s="118" t="str">
        <f>IFERROR(IF(INDEX('Building Configuration'!$B$2:$AA$34,MATCH(H$34,'Building Configuration'!$D$2:$D$34,0),MATCH(I45,'Building Configuration'!$B$2:$AA$2,0))&gt;0,"YES","NO"),"-")</f>
        <v>YES</v>
      </c>
      <c r="I45" s="5" t="s">
        <v>116</v>
      </c>
      <c r="J45" s="119">
        <f>IFERROR(INDEX('Building Configuration'!$B$2:$AA$34,MATCH(H$34,'Building Configuration'!$D$2:$D$34,0),MATCH(I45,'Building Configuration'!$B$2:$AA$2,0)),0)</f>
        <v>52370</v>
      </c>
      <c r="K45" s="65"/>
      <c r="L45" s="55"/>
      <c r="M45" s="6" t="s">
        <v>417</v>
      </c>
      <c r="N45" s="118" t="str">
        <f>IFERROR(IF(INDEX('Building Configuration'!$B$2:$AA$34,MATCH(N$34,'Building Configuration'!$D$2:$D$34,0),MATCH(O45,'Building Configuration'!$B$2:$AA$2,0))&gt;0,"YES","NO"),"-")</f>
        <v>YES</v>
      </c>
      <c r="O45" s="5" t="s">
        <v>116</v>
      </c>
      <c r="P45" s="119">
        <f>IFERROR(INDEX('Building Configuration'!$B$2:$AA$34,MATCH(N$34,'Building Configuration'!$D$2:$D$34,0),MATCH(O45,'Building Configuration'!$B$2:$AA$2,0)),0)</f>
        <v>107645.5</v>
      </c>
      <c r="Q45" s="65"/>
      <c r="R45" s="55"/>
      <c r="S45" s="123"/>
      <c r="T45" s="118"/>
      <c r="V45" s="168"/>
      <c r="W45" s="55"/>
      <c r="X45" s="99"/>
      <c r="Z45" s="117"/>
    </row>
    <row r="46" spans="1:29" ht="15" customHeight="1">
      <c r="A46" s="6" t="s">
        <v>418</v>
      </c>
      <c r="B46" s="161">
        <v>1</v>
      </c>
      <c r="C46" s="162">
        <f>100%-B46</f>
        <v>0</v>
      </c>
      <c r="D46" s="119"/>
      <c r="E46" s="65"/>
      <c r="G46" s="6" t="s">
        <v>418</v>
      </c>
      <c r="H46" s="161">
        <v>1</v>
      </c>
      <c r="I46" s="162">
        <f>100%-H46</f>
        <v>0</v>
      </c>
      <c r="J46" s="119"/>
      <c r="K46" s="65"/>
      <c r="L46" s="55"/>
      <c r="M46" s="6" t="s">
        <v>418</v>
      </c>
      <c r="N46" s="161">
        <v>1</v>
      </c>
      <c r="O46" s="162">
        <f>100%-N46</f>
        <v>0</v>
      </c>
      <c r="P46" s="119"/>
      <c r="Q46" s="65"/>
      <c r="R46" s="55"/>
      <c r="S46" s="123"/>
      <c r="T46" s="294"/>
      <c r="U46" s="305"/>
      <c r="V46" s="168"/>
      <c r="W46" s="55"/>
      <c r="X46" s="99"/>
    </row>
    <row r="47" spans="1:29" ht="15" customHeight="1">
      <c r="A47" s="6"/>
      <c r="B47" s="118"/>
      <c r="D47" s="119"/>
      <c r="E47" s="65"/>
      <c r="G47" s="6"/>
      <c r="H47" s="118"/>
      <c r="J47" s="119"/>
      <c r="K47" s="65"/>
      <c r="L47" s="55"/>
      <c r="M47" s="6"/>
      <c r="N47" s="118"/>
      <c r="P47" s="119"/>
      <c r="Q47" s="65"/>
      <c r="R47" s="55"/>
      <c r="S47" s="123"/>
      <c r="T47" s="118"/>
      <c r="V47" s="168"/>
      <c r="W47" s="55"/>
      <c r="X47" s="99"/>
    </row>
    <row r="48" spans="1:29" ht="15" customHeight="1">
      <c r="A48" s="104" t="s">
        <v>222</v>
      </c>
      <c r="B48" s="105" t="str">
        <f>B$36</f>
        <v>-</v>
      </c>
      <c r="C48" s="166" t="s">
        <v>419</v>
      </c>
      <c r="D48" s="111">
        <f>D$36*E$48</f>
        <v>0</v>
      </c>
      <c r="E48" s="106">
        <f>Assumptions!$Y$28</f>
        <v>0.77</v>
      </c>
      <c r="F48" s="99"/>
      <c r="G48" s="104" t="s">
        <v>222</v>
      </c>
      <c r="H48" s="105" t="str">
        <f>H$36</f>
        <v>Multifamily-Market</v>
      </c>
      <c r="I48" s="166" t="s">
        <v>419</v>
      </c>
      <c r="J48" s="111">
        <f>J$36*K$48</f>
        <v>80482.864000000016</v>
      </c>
      <c r="K48" s="106">
        <f>Assumptions!$Y$28</f>
        <v>0.77</v>
      </c>
      <c r="L48" s="55"/>
      <c r="M48" s="104" t="s">
        <v>222</v>
      </c>
      <c r="N48" s="105" t="str">
        <f>N$36</f>
        <v>-</v>
      </c>
      <c r="O48" s="166" t="s">
        <v>419</v>
      </c>
      <c r="P48" s="111">
        <f>P$36*Q$48</f>
        <v>0</v>
      </c>
      <c r="Q48" s="106">
        <f>Assumptions!$Y$28</f>
        <v>0.77</v>
      </c>
      <c r="R48" s="55"/>
      <c r="S48" s="123"/>
      <c r="T48" s="99"/>
      <c r="U48" s="135"/>
      <c r="V48" s="295"/>
      <c r="W48" s="55"/>
      <c r="X48" s="99"/>
    </row>
    <row r="49" spans="1:24" ht="15" customHeight="1">
      <c r="A49" s="104" t="s">
        <v>420</v>
      </c>
      <c r="B49" s="160">
        <v>0</v>
      </c>
      <c r="C49" s="113" t="str">
        <f>IF(C55&gt;D48,"# of Units Over Available Area","# of Units Within Available Area")</f>
        <v># of Units Within Available Area</v>
      </c>
      <c r="D49" s="112" t="s">
        <v>421</v>
      </c>
      <c r="E49" s="120">
        <v>0</v>
      </c>
      <c r="F49" s="101"/>
      <c r="G49" s="104" t="s">
        <v>420</v>
      </c>
      <c r="H49" s="160">
        <v>81</v>
      </c>
      <c r="I49" s="113" t="str">
        <f>IF(I55&gt;J48,"# of Units Over Available Area","# of Units Within Available Area")</f>
        <v># of Units Within Available Area</v>
      </c>
      <c r="J49" s="112" t="s">
        <v>421</v>
      </c>
      <c r="K49" s="120">
        <v>0</v>
      </c>
      <c r="L49" s="102"/>
      <c r="M49" s="104" t="s">
        <v>420</v>
      </c>
      <c r="N49" s="160">
        <v>0</v>
      </c>
      <c r="O49" s="113" t="str">
        <f>IF(O55&gt;P48,"# of Units Over Available Area","# of Units Within Available Area")</f>
        <v># of Units Within Available Area</v>
      </c>
      <c r="P49" s="112" t="s">
        <v>421</v>
      </c>
      <c r="Q49" s="120">
        <v>0</v>
      </c>
      <c r="R49" s="102"/>
      <c r="S49" s="123"/>
      <c r="T49" s="296"/>
      <c r="U49" s="297"/>
      <c r="V49" s="112"/>
      <c r="W49" s="102"/>
      <c r="X49" s="99"/>
    </row>
    <row r="50" spans="1:24" ht="15" customHeight="1">
      <c r="A50" s="107" t="s">
        <v>308</v>
      </c>
      <c r="B50" s="200" t="s">
        <v>422</v>
      </c>
      <c r="C50" s="109" t="s">
        <v>419</v>
      </c>
      <c r="D50" s="108" t="s">
        <v>423</v>
      </c>
      <c r="E50" s="110" t="s">
        <v>424</v>
      </c>
      <c r="F50" s="99"/>
      <c r="G50" s="107" t="s">
        <v>308</v>
      </c>
      <c r="H50" s="200" t="s">
        <v>422</v>
      </c>
      <c r="I50" s="109" t="s">
        <v>419</v>
      </c>
      <c r="J50" s="108" t="s">
        <v>423</v>
      </c>
      <c r="K50" s="110" t="s">
        <v>424</v>
      </c>
      <c r="L50" s="124"/>
      <c r="M50" s="107" t="s">
        <v>308</v>
      </c>
      <c r="N50" s="200" t="s">
        <v>422</v>
      </c>
      <c r="O50" s="109" t="s">
        <v>419</v>
      </c>
      <c r="P50" s="108" t="s">
        <v>423</v>
      </c>
      <c r="Q50" s="110" t="s">
        <v>424</v>
      </c>
      <c r="R50" s="124"/>
      <c r="S50" s="123"/>
      <c r="T50" s="306"/>
      <c r="U50" s="276"/>
      <c r="V50" s="124"/>
      <c r="W50" s="124"/>
      <c r="X50" s="99"/>
    </row>
    <row r="51" spans="1:24" ht="15" customHeight="1">
      <c r="A51" s="31" t="str">
        <f>Assumptions!$W$5</f>
        <v>Studio</v>
      </c>
      <c r="B51" s="76">
        <f>B$49*INDEX(Assumptions!$Y$5:$Y$8,MATCH(A51,Assumptions!$W$5:$W$8,0))</f>
        <v>0</v>
      </c>
      <c r="C51" s="32">
        <f>Assumptions!$R$15</f>
        <v>550</v>
      </c>
      <c r="D51" s="42">
        <f>Assumptions!$R$16*(1+E$49)</f>
        <v>3</v>
      </c>
      <c r="E51" s="43">
        <f>12*B51*C51*D51</f>
        <v>0</v>
      </c>
      <c r="F51" s="99"/>
      <c r="G51" s="31" t="str">
        <f>Assumptions!$W$5</f>
        <v>Studio</v>
      </c>
      <c r="H51" s="76">
        <f>H$49*INDEX(Assumptions!$Y$5:$Y$8,MATCH(G51,Assumptions!$W$5:$W$8,0))</f>
        <v>16.2</v>
      </c>
      <c r="I51" s="32">
        <f>Assumptions!$R$15</f>
        <v>550</v>
      </c>
      <c r="J51" s="42">
        <f>Assumptions!$R$16*(1+K$49)</f>
        <v>3</v>
      </c>
      <c r="K51" s="43">
        <f>12*H51*I51*J51</f>
        <v>320759.99999999994</v>
      </c>
      <c r="L51" s="125"/>
      <c r="M51" s="31" t="str">
        <f>Assumptions!$W$5</f>
        <v>Studio</v>
      </c>
      <c r="N51" s="76">
        <f>N$49*INDEX(Assumptions!$Y$5:$Y$8,MATCH(M51,Assumptions!$W$5:$W$8,0))</f>
        <v>0</v>
      </c>
      <c r="O51" s="32">
        <f>Assumptions!$R$15</f>
        <v>550</v>
      </c>
      <c r="P51" s="42">
        <f>Assumptions!$R$16*(1+Q$49)</f>
        <v>3</v>
      </c>
      <c r="Q51" s="43">
        <f>12*N51*O51*P51</f>
        <v>0</v>
      </c>
      <c r="R51" s="125"/>
      <c r="S51" s="307"/>
      <c r="T51" s="100"/>
      <c r="U51" s="308"/>
      <c r="V51" s="309"/>
      <c r="W51" s="125"/>
      <c r="X51" s="99"/>
    </row>
    <row r="52" spans="1:24" ht="15" customHeight="1">
      <c r="A52" s="31" t="str">
        <f>Assumptions!$W$6</f>
        <v>1BR</v>
      </c>
      <c r="B52" s="76">
        <f>B$49*INDEX(Assumptions!$Y$5:$Y$8,MATCH(A52,Assumptions!$W$5:$W$8,0))</f>
        <v>0</v>
      </c>
      <c r="C52" s="378">
        <f>Assumptions!$R$18</f>
        <v>800</v>
      </c>
      <c r="D52" s="379">
        <f>Assumptions!$R$19*(1+E$49)</f>
        <v>2.4</v>
      </c>
      <c r="E52" s="380">
        <f>12*B52*C52*D52</f>
        <v>0</v>
      </c>
      <c r="F52" s="99"/>
      <c r="G52" s="31" t="str">
        <f>Assumptions!$W$6</f>
        <v>1BR</v>
      </c>
      <c r="H52" s="76">
        <f>H$49*INDEX(Assumptions!$Y$5:$Y$8,MATCH(G52,Assumptions!$W$5:$W$8,0))</f>
        <v>40.5</v>
      </c>
      <c r="I52" s="378">
        <f>Assumptions!$R$18</f>
        <v>800</v>
      </c>
      <c r="J52" s="379">
        <f>Assumptions!$R$19*(1+K$49)</f>
        <v>2.4</v>
      </c>
      <c r="K52" s="380">
        <f>12*H52*I52*J52</f>
        <v>933120</v>
      </c>
      <c r="L52" s="125"/>
      <c r="M52" s="31" t="str">
        <f>Assumptions!$W$6</f>
        <v>1BR</v>
      </c>
      <c r="N52" s="76">
        <f>N$49*INDEX(Assumptions!$Y$5:$Y$8,MATCH(M52,Assumptions!$W$5:$W$8,0))</f>
        <v>0</v>
      </c>
      <c r="O52" s="378">
        <f>Assumptions!$R$18</f>
        <v>800</v>
      </c>
      <c r="P52" s="379">
        <f>Assumptions!$R$19*(1+Q$49)</f>
        <v>2.4</v>
      </c>
      <c r="Q52" s="380">
        <f>12*N52*O52*P52</f>
        <v>0</v>
      </c>
      <c r="R52" s="125"/>
      <c r="S52" s="307"/>
      <c r="T52" s="100"/>
      <c r="U52" s="308"/>
      <c r="V52" s="309"/>
      <c r="W52" s="125"/>
      <c r="X52" s="99"/>
    </row>
    <row r="53" spans="1:24" ht="15" customHeight="1">
      <c r="A53" s="31" t="str">
        <f>Assumptions!$W$7</f>
        <v>2BR</v>
      </c>
      <c r="B53" s="76">
        <f>B$49*INDEX(Assumptions!$Y$5:$Y$8,MATCH(A53,Assumptions!$W$5:$W$8,0))</f>
        <v>0</v>
      </c>
      <c r="C53" s="32">
        <f>Assumptions!$R$21</f>
        <v>1200</v>
      </c>
      <c r="D53" s="379">
        <f>Assumptions!$R$22*(1+E$49)</f>
        <v>2.2000000000000002</v>
      </c>
      <c r="E53" s="380">
        <f>12*B53*C53*D53</f>
        <v>0</v>
      </c>
      <c r="F53" s="100"/>
      <c r="G53" s="31" t="str">
        <f>Assumptions!$W$7</f>
        <v>2BR</v>
      </c>
      <c r="H53" s="76">
        <f>H$49*INDEX(Assumptions!$Y$5:$Y$8,MATCH(G53,Assumptions!$W$5:$W$8,0))</f>
        <v>12.15</v>
      </c>
      <c r="I53" s="32">
        <f>Assumptions!$R$21</f>
        <v>1200</v>
      </c>
      <c r="J53" s="379">
        <f>Assumptions!$R$22*(1+K$49)</f>
        <v>2.2000000000000002</v>
      </c>
      <c r="K53" s="380">
        <f>12*H53*I53*J53</f>
        <v>384912.00000000006</v>
      </c>
      <c r="L53" s="125"/>
      <c r="M53" s="31" t="str">
        <f>Assumptions!$W$7</f>
        <v>2BR</v>
      </c>
      <c r="N53" s="76">
        <f>N$49*INDEX(Assumptions!$Y$5:$Y$8,MATCH(M53,Assumptions!$W$5:$W$8,0))</f>
        <v>0</v>
      </c>
      <c r="O53" s="32">
        <f>Assumptions!$R$21</f>
        <v>1200</v>
      </c>
      <c r="P53" s="379">
        <f>Assumptions!$R$22*(1+Q$49)</f>
        <v>2.2000000000000002</v>
      </c>
      <c r="Q53" s="380">
        <f>12*N53*O53*P53</f>
        <v>0</v>
      </c>
      <c r="R53" s="125"/>
      <c r="S53" s="307"/>
      <c r="T53" s="100"/>
      <c r="U53" s="308"/>
      <c r="V53" s="309"/>
      <c r="W53" s="125"/>
    </row>
    <row r="54" spans="1:24" ht="15" customHeight="1" thickBot="1">
      <c r="A54" s="31" t="str">
        <f>Assumptions!$W$8</f>
        <v>3BR</v>
      </c>
      <c r="B54" s="76">
        <f>B$49*INDEX(Assumptions!$Y$5:$Y$8,MATCH(A54,Assumptions!$W$5:$W$8,0))</f>
        <v>0</v>
      </c>
      <c r="C54" s="378">
        <f>Assumptions!$R$24</f>
        <v>2000</v>
      </c>
      <c r="D54" s="379">
        <f>Assumptions!$R$25*(1+E$49)</f>
        <v>2.5</v>
      </c>
      <c r="E54" s="380">
        <f>12*B54*C54*D54</f>
        <v>0</v>
      </c>
      <c r="G54" s="31" t="str">
        <f>Assumptions!$W$8</f>
        <v>3BR</v>
      </c>
      <c r="H54" s="76">
        <f>H$49*INDEX(Assumptions!$Y$5:$Y$8,MATCH(G54,Assumptions!$W$5:$W$8,0))</f>
        <v>12.15</v>
      </c>
      <c r="I54" s="378">
        <f>Assumptions!$R$24</f>
        <v>2000</v>
      </c>
      <c r="J54" s="379">
        <f>Assumptions!$R$25*(1+K$49)</f>
        <v>2.5</v>
      </c>
      <c r="K54" s="380">
        <f>12*H54*I54*J54</f>
        <v>729000</v>
      </c>
      <c r="L54" s="125"/>
      <c r="M54" s="31" t="str">
        <f>Assumptions!$W$8</f>
        <v>3BR</v>
      </c>
      <c r="N54" s="76">
        <f>N$49*INDEX(Assumptions!$Y$5:$Y$8,MATCH(M54,Assumptions!$W$5:$W$8,0))</f>
        <v>0</v>
      </c>
      <c r="O54" s="378">
        <f>Assumptions!$R$24</f>
        <v>2000</v>
      </c>
      <c r="P54" s="379">
        <f>Assumptions!$R$25*(1+Q$49)</f>
        <v>2.5</v>
      </c>
      <c r="Q54" s="380">
        <f>12*N54*O54*P54</f>
        <v>0</v>
      </c>
      <c r="R54" s="125"/>
      <c r="S54" s="307"/>
      <c r="T54" s="100"/>
      <c r="U54" s="308"/>
      <c r="V54" s="309"/>
      <c r="W54" s="125"/>
    </row>
    <row r="55" spans="1:24" ht="15" customHeight="1" thickTop="1" thickBot="1">
      <c r="A55" s="7" t="s">
        <v>425</v>
      </c>
      <c r="B55" s="8">
        <f>SUM(B51:B54)</f>
        <v>0</v>
      </c>
      <c r="C55" s="9">
        <f>SUMPRODUCT(B51:B54,C51:C54)</f>
        <v>0</v>
      </c>
      <c r="D55" s="61"/>
      <c r="E55" s="62">
        <f>SUM(E51:E54)</f>
        <v>0</v>
      </c>
      <c r="F55" s="100"/>
      <c r="G55" s="7" t="s">
        <v>425</v>
      </c>
      <c r="H55" s="8">
        <f>SUM(H51:H54)</f>
        <v>81.000000000000014</v>
      </c>
      <c r="I55" s="9">
        <f>SUMPRODUCT(H51:H54,I51:I54)</f>
        <v>80190</v>
      </c>
      <c r="J55" s="61"/>
      <c r="K55" s="62">
        <f>SUM(K51:K54)</f>
        <v>2367792</v>
      </c>
      <c r="L55" s="122"/>
      <c r="M55" s="7" t="s">
        <v>425</v>
      </c>
      <c r="N55" s="8">
        <f>SUM(N51:N54)</f>
        <v>0</v>
      </c>
      <c r="O55" s="9">
        <f>SUMPRODUCT(N51:N54,O51:O54)</f>
        <v>0</v>
      </c>
      <c r="P55" s="61"/>
      <c r="Q55" s="62">
        <f>SUM(Q51:Q54)</f>
        <v>0</v>
      </c>
      <c r="R55" s="122"/>
      <c r="S55" s="12"/>
      <c r="T55" s="310"/>
      <c r="U55" s="311"/>
      <c r="V55" s="312"/>
      <c r="W55" s="122"/>
    </row>
    <row r="56" spans="1:24" ht="15" customHeight="1" thickTop="1" thickBot="1">
      <c r="A56" s="10" t="s">
        <v>426</v>
      </c>
      <c r="B56" s="60"/>
      <c r="C56" s="11">
        <f>IFERROR(C55/B55,0)</f>
        <v>0</v>
      </c>
      <c r="D56" s="63">
        <f>IFERROR((E55/12)/C55,0)</f>
        <v>0</v>
      </c>
      <c r="E56" s="64"/>
      <c r="G56" s="10" t="s">
        <v>426</v>
      </c>
      <c r="H56" s="60"/>
      <c r="I56" s="11">
        <f>IFERROR(I55/H55,0)</f>
        <v>989.99999999999977</v>
      </c>
      <c r="J56" s="63">
        <f>IFERROR((K55/12)/I55,0)</f>
        <v>2.4606060606060605</v>
      </c>
      <c r="K56" s="64"/>
      <c r="L56" s="12"/>
      <c r="M56" s="10" t="s">
        <v>426</v>
      </c>
      <c r="N56" s="60"/>
      <c r="O56" s="11">
        <f>IFERROR(O55/N55,0)</f>
        <v>0</v>
      </c>
      <c r="P56" s="63">
        <f>IFERROR((Q55/12)/O55,0)</f>
        <v>0</v>
      </c>
      <c r="Q56" s="64"/>
      <c r="R56" s="12"/>
      <c r="S56" s="12"/>
      <c r="T56" s="313"/>
      <c r="U56" s="314"/>
      <c r="V56" s="315"/>
      <c r="W56" s="12"/>
      <c r="X56" s="100"/>
    </row>
    <row r="57" spans="1:24" ht="15" customHeight="1">
      <c r="A57" s="104" t="s">
        <v>223</v>
      </c>
      <c r="B57" s="105" t="str">
        <f>B$37</f>
        <v>-</v>
      </c>
      <c r="C57" s="166" t="s">
        <v>419</v>
      </c>
      <c r="D57" s="165">
        <f>D$37*E$57</f>
        <v>0</v>
      </c>
      <c r="E57" s="106">
        <f>Assumptions!$Y$28</f>
        <v>0.77</v>
      </c>
      <c r="G57" s="104" t="s">
        <v>223</v>
      </c>
      <c r="H57" s="105" t="str">
        <f>H$37</f>
        <v>-</v>
      </c>
      <c r="I57" s="166" t="s">
        <v>419</v>
      </c>
      <c r="J57" s="165">
        <f>J$37*K$57</f>
        <v>0</v>
      </c>
      <c r="K57" s="106">
        <f>Assumptions!$Y$28</f>
        <v>0.77</v>
      </c>
      <c r="L57" s="55"/>
      <c r="M57" s="104" t="s">
        <v>223</v>
      </c>
      <c r="N57" s="105" t="str">
        <f>N$37</f>
        <v>-</v>
      </c>
      <c r="O57" s="166" t="s">
        <v>419</v>
      </c>
      <c r="P57" s="165">
        <f>P$37*Q$57</f>
        <v>0</v>
      </c>
      <c r="Q57" s="106">
        <f>Assumptions!$Y$28</f>
        <v>0.77</v>
      </c>
      <c r="R57" s="55"/>
      <c r="S57" s="123"/>
      <c r="T57" s="99"/>
      <c r="U57" s="135"/>
      <c r="V57" s="298"/>
      <c r="W57" s="55"/>
      <c r="X57" s="100"/>
    </row>
    <row r="58" spans="1:24" ht="15" customHeight="1">
      <c r="A58" s="104" t="s">
        <v>420</v>
      </c>
      <c r="B58" s="160">
        <v>0</v>
      </c>
      <c r="C58" s="113" t="str">
        <f>IF(C63&gt;D57,"# of Units Over Available Area","# of Units Within Available Area")</f>
        <v># of Units Within Available Area</v>
      </c>
      <c r="D58" s="158"/>
      <c r="E58" s="159"/>
      <c r="G58" s="104" t="s">
        <v>420</v>
      </c>
      <c r="H58" s="160">
        <v>0</v>
      </c>
      <c r="I58" s="113" t="str">
        <f>IF(I63&gt;J57,"# of Units Over Available Area","# of Units Within Available Area")</f>
        <v># of Units Within Available Area</v>
      </c>
      <c r="J58" s="158"/>
      <c r="K58" s="159"/>
      <c r="L58" s="102"/>
      <c r="M58" s="104" t="s">
        <v>420</v>
      </c>
      <c r="N58" s="160">
        <v>0</v>
      </c>
      <c r="O58" s="113" t="str">
        <f>IF(O63&gt;P57,"# of Units Over Available Area","# of Units Within Available Area")</f>
        <v># of Units Within Available Area</v>
      </c>
      <c r="P58" s="158"/>
      <c r="Q58" s="159"/>
      <c r="R58" s="102"/>
      <c r="S58" s="123"/>
      <c r="T58" s="296"/>
      <c r="U58" s="297"/>
      <c r="V58" s="112"/>
      <c r="W58" s="102"/>
      <c r="X58" s="100"/>
    </row>
    <row r="59" spans="1:24" ht="15" customHeight="1">
      <c r="A59" s="107" t="s">
        <v>308</v>
      </c>
      <c r="B59" s="108" t="s">
        <v>427</v>
      </c>
      <c r="C59" s="109" t="s">
        <v>428</v>
      </c>
      <c r="D59" s="108" t="s">
        <v>74</v>
      </c>
      <c r="E59" s="110" t="s">
        <v>429</v>
      </c>
      <c r="G59" s="107" t="s">
        <v>308</v>
      </c>
      <c r="H59" s="108" t="s">
        <v>427</v>
      </c>
      <c r="I59" s="109" t="s">
        <v>428</v>
      </c>
      <c r="J59" s="108" t="s">
        <v>74</v>
      </c>
      <c r="K59" s="110" t="s">
        <v>429</v>
      </c>
      <c r="L59" s="124"/>
      <c r="M59" s="107" t="s">
        <v>308</v>
      </c>
      <c r="N59" s="108" t="s">
        <v>427</v>
      </c>
      <c r="O59" s="109" t="s">
        <v>428</v>
      </c>
      <c r="P59" s="108" t="s">
        <v>74</v>
      </c>
      <c r="Q59" s="110" t="s">
        <v>429</v>
      </c>
      <c r="R59" s="124"/>
      <c r="S59" s="123"/>
      <c r="T59" s="124"/>
      <c r="U59" s="276"/>
      <c r="V59" s="124"/>
      <c r="W59" s="124"/>
      <c r="X59" s="100"/>
    </row>
    <row r="60" spans="1:24" ht="15" customHeight="1">
      <c r="A60" s="31" t="str">
        <f>Assumptions!$W$15</f>
        <v>1BR</v>
      </c>
      <c r="B60" s="76">
        <f>B$58*INDEX(Assumptions!$Y$10:$Y$12,MATCH(A60,Assumptions!$W$10:$W$12,0))</f>
        <v>0</v>
      </c>
      <c r="C60" s="32">
        <f>Assumptions!$S$18</f>
        <v>1000</v>
      </c>
      <c r="D60" s="379">
        <f>Assumptions!$S$19</f>
        <v>400</v>
      </c>
      <c r="E60" s="380">
        <f>B60*C60*D60</f>
        <v>0</v>
      </c>
      <c r="G60" s="31" t="str">
        <f>Assumptions!$W$15</f>
        <v>1BR</v>
      </c>
      <c r="H60" s="76">
        <f>H$58*INDEX(Assumptions!$Y$10:$Y$12,MATCH(G60,Assumptions!$W$10:$W$12,0))</f>
        <v>0</v>
      </c>
      <c r="I60" s="32">
        <f>Assumptions!$S$18</f>
        <v>1000</v>
      </c>
      <c r="J60" s="379">
        <f>Assumptions!$S$19</f>
        <v>400</v>
      </c>
      <c r="K60" s="380">
        <f>H60*I60*J60</f>
        <v>0</v>
      </c>
      <c r="L60" s="124"/>
      <c r="M60" s="31" t="str">
        <f>Assumptions!$W$15</f>
        <v>1BR</v>
      </c>
      <c r="N60" s="76">
        <f>N$58*INDEX(Assumptions!$Y$10:$Y$12,MATCH(M60,Assumptions!$W$10:$W$12,0))</f>
        <v>0</v>
      </c>
      <c r="O60" s="32">
        <f>Assumptions!$S$18</f>
        <v>1000</v>
      </c>
      <c r="P60" s="379">
        <f>Assumptions!$S$19</f>
        <v>400</v>
      </c>
      <c r="Q60" s="380">
        <f>N60*O60*P60</f>
        <v>0</v>
      </c>
      <c r="R60" s="124"/>
      <c r="S60" s="307"/>
      <c r="T60" s="100"/>
      <c r="U60" s="308"/>
      <c r="V60" s="309"/>
      <c r="W60" s="125"/>
      <c r="X60" s="100"/>
    </row>
    <row r="61" spans="1:24" ht="15" customHeight="1">
      <c r="A61" s="31" t="str">
        <f>Assumptions!$W$16</f>
        <v>2BR</v>
      </c>
      <c r="B61" s="76">
        <f>B$58*INDEX(Assumptions!$Y$10:$Y$12,MATCH(A61,Assumptions!$W$10:$W$12,0))</f>
        <v>0</v>
      </c>
      <c r="C61" s="32">
        <f>Assumptions!$S$21</f>
        <v>1500</v>
      </c>
      <c r="D61" s="379">
        <f>Assumptions!$S$22</f>
        <v>370</v>
      </c>
      <c r="E61" s="380">
        <f>B61*C61*D61</f>
        <v>0</v>
      </c>
      <c r="G61" s="31" t="str">
        <f>Assumptions!$W$16</f>
        <v>2BR</v>
      </c>
      <c r="H61" s="76">
        <f>H$58*INDEX(Assumptions!$Y$10:$Y$12,MATCH(G61,Assumptions!$W$10:$W$12,0))</f>
        <v>0</v>
      </c>
      <c r="I61" s="32">
        <f>Assumptions!$S$21</f>
        <v>1500</v>
      </c>
      <c r="J61" s="379">
        <f>Assumptions!$S$22</f>
        <v>370</v>
      </c>
      <c r="K61" s="380">
        <f>H61*I61*J61</f>
        <v>0</v>
      </c>
      <c r="L61" s="125"/>
      <c r="M61" s="31" t="str">
        <f>Assumptions!$W$16</f>
        <v>2BR</v>
      </c>
      <c r="N61" s="76">
        <f>N$58*INDEX(Assumptions!$Y$10:$Y$12,MATCH(M61,Assumptions!$W$10:$W$12,0))</f>
        <v>0</v>
      </c>
      <c r="O61" s="32">
        <f>Assumptions!$S$21</f>
        <v>1500</v>
      </c>
      <c r="P61" s="379">
        <f>Assumptions!$S$22</f>
        <v>370</v>
      </c>
      <c r="Q61" s="380">
        <f>N61*O61*P61</f>
        <v>0</v>
      </c>
      <c r="R61" s="125"/>
      <c r="S61" s="307"/>
      <c r="T61" s="100"/>
      <c r="U61" s="308"/>
      <c r="V61" s="309"/>
      <c r="W61" s="125"/>
      <c r="X61" s="100"/>
    </row>
    <row r="62" spans="1:24" ht="15" customHeight="1" thickBot="1">
      <c r="A62" s="31" t="str">
        <f>Assumptions!$W$17</f>
        <v>3BR</v>
      </c>
      <c r="B62" s="76">
        <f>B$58*INDEX(Assumptions!$Y$10:$Y$12,MATCH(A62,Assumptions!$W$10:$W$12,0))</f>
        <v>0</v>
      </c>
      <c r="C62" s="378">
        <f>Assumptions!$S$24</f>
        <v>2300</v>
      </c>
      <c r="D62" s="379">
        <f>Assumptions!$S$25</f>
        <v>340</v>
      </c>
      <c r="E62" s="380">
        <f>B62*C62*D62</f>
        <v>0</v>
      </c>
      <c r="G62" s="31" t="str">
        <f>Assumptions!$W$17</f>
        <v>3BR</v>
      </c>
      <c r="H62" s="76">
        <f>H$58*INDEX(Assumptions!$Y$10:$Y$12,MATCH(G62,Assumptions!$W$10:$W$12,0))</f>
        <v>0</v>
      </c>
      <c r="I62" s="378">
        <f>Assumptions!$S$24</f>
        <v>2300</v>
      </c>
      <c r="J62" s="379">
        <f>Assumptions!$S$25</f>
        <v>340</v>
      </c>
      <c r="K62" s="380">
        <f>H62*I62*J62</f>
        <v>0</v>
      </c>
      <c r="L62" s="125"/>
      <c r="M62" s="31" t="str">
        <f>Assumptions!$W$17</f>
        <v>3BR</v>
      </c>
      <c r="N62" s="76">
        <f>N$58*INDEX(Assumptions!$Y$10:$Y$12,MATCH(M62,Assumptions!$W$10:$W$12,0))</f>
        <v>0</v>
      </c>
      <c r="O62" s="378">
        <f>Assumptions!$S$24</f>
        <v>2300</v>
      </c>
      <c r="P62" s="379">
        <f>Assumptions!$S$25</f>
        <v>340</v>
      </c>
      <c r="Q62" s="380">
        <f>N62*O62*P62</f>
        <v>0</v>
      </c>
      <c r="R62" s="125"/>
      <c r="S62" s="307"/>
      <c r="T62" s="100"/>
      <c r="U62" s="308"/>
      <c r="V62" s="309"/>
      <c r="W62" s="125"/>
      <c r="X62" s="100"/>
    </row>
    <row r="63" spans="1:24" ht="15" customHeight="1" thickTop="1" thickBot="1">
      <c r="A63" s="7" t="s">
        <v>425</v>
      </c>
      <c r="B63" s="8">
        <f>SUM(B61:B62)</f>
        <v>0</v>
      </c>
      <c r="C63" s="9">
        <f>SUMPRODUCT(B60:B62,C60:C62)</f>
        <v>0</v>
      </c>
      <c r="D63" s="61"/>
      <c r="E63" s="62">
        <f>SUM(E60:E62)</f>
        <v>0</v>
      </c>
      <c r="G63" s="7" t="s">
        <v>425</v>
      </c>
      <c r="H63" s="8">
        <f>SUM(H61:H62)</f>
        <v>0</v>
      </c>
      <c r="I63" s="9">
        <f>SUMPRODUCT(H60:H62,I60:I62)</f>
        <v>0</v>
      </c>
      <c r="J63" s="61"/>
      <c r="K63" s="62">
        <f>SUM(K60:K62)</f>
        <v>0</v>
      </c>
      <c r="L63" s="122"/>
      <c r="M63" s="7" t="s">
        <v>425</v>
      </c>
      <c r="N63" s="8">
        <f>SUM(N61:N62)</f>
        <v>0</v>
      </c>
      <c r="O63" s="9">
        <f>SUMPRODUCT(N60:N62,O60:O62)</f>
        <v>0</v>
      </c>
      <c r="P63" s="61"/>
      <c r="Q63" s="62">
        <f>SUM(Q60:Q62)</f>
        <v>0</v>
      </c>
      <c r="R63" s="122"/>
      <c r="S63" s="12"/>
      <c r="T63" s="310"/>
      <c r="U63" s="311"/>
      <c r="V63" s="312"/>
      <c r="W63" s="122"/>
      <c r="X63" s="100"/>
    </row>
    <row r="64" spans="1:24" ht="15" customHeight="1" thickTop="1" thickBot="1">
      <c r="A64" s="10" t="s">
        <v>426</v>
      </c>
      <c r="B64" s="60"/>
      <c r="C64" s="11">
        <f>IFERROR(C63/B63,0)</f>
        <v>0</v>
      </c>
      <c r="D64" s="63">
        <f>IFERROR((E63/12)/C63,0)</f>
        <v>0</v>
      </c>
      <c r="E64" s="64"/>
      <c r="G64" s="10" t="s">
        <v>426</v>
      </c>
      <c r="H64" s="60"/>
      <c r="I64" s="11">
        <f>IFERROR(I63/H63,0)</f>
        <v>0</v>
      </c>
      <c r="J64" s="63">
        <f>IFERROR((K63/12)/I63,0)</f>
        <v>0</v>
      </c>
      <c r="K64" s="64"/>
      <c r="L64" s="12"/>
      <c r="M64" s="10" t="s">
        <v>426</v>
      </c>
      <c r="N64" s="60"/>
      <c r="O64" s="11">
        <f>IFERROR(O63/N63,0)</f>
        <v>0</v>
      </c>
      <c r="P64" s="63">
        <f>IFERROR((Q63/12)/O63,0)</f>
        <v>0</v>
      </c>
      <c r="Q64" s="64"/>
      <c r="R64" s="12"/>
      <c r="S64" s="12"/>
      <c r="T64" s="313"/>
      <c r="U64" s="314"/>
      <c r="V64" s="315"/>
      <c r="W64" s="12"/>
      <c r="X64" s="100"/>
    </row>
    <row r="65" spans="1:24" ht="15" customHeight="1">
      <c r="A65" s="104" t="s">
        <v>224</v>
      </c>
      <c r="B65" s="105" t="str">
        <f>B$38</f>
        <v>-</v>
      </c>
      <c r="C65" s="166" t="s">
        <v>419</v>
      </c>
      <c r="D65" s="111">
        <f>D$38*E$65</f>
        <v>0</v>
      </c>
      <c r="E65" s="106">
        <f>Assumptions!$Y$28</f>
        <v>0.77</v>
      </c>
      <c r="G65" s="104" t="s">
        <v>224</v>
      </c>
      <c r="H65" s="105" t="str">
        <f>H$38</f>
        <v>Multifamily-Affordable</v>
      </c>
      <c r="I65" s="166" t="s">
        <v>419</v>
      </c>
      <c r="J65" s="111">
        <f>J$38*K$65</f>
        <v>20120.716000000004</v>
      </c>
      <c r="K65" s="106">
        <f>Assumptions!$Y$28</f>
        <v>0.77</v>
      </c>
      <c r="L65" s="12"/>
      <c r="M65" s="104" t="s">
        <v>224</v>
      </c>
      <c r="N65" s="105" t="str">
        <f>N$38</f>
        <v>-</v>
      </c>
      <c r="O65" s="166" t="s">
        <v>419</v>
      </c>
      <c r="P65" s="111">
        <f>P$38*Q$65</f>
        <v>0</v>
      </c>
      <c r="Q65" s="106">
        <f>Assumptions!$Y$28</f>
        <v>0.77</v>
      </c>
      <c r="R65" s="12"/>
      <c r="S65" s="123"/>
      <c r="T65" s="99"/>
      <c r="U65" s="135"/>
      <c r="V65" s="295"/>
      <c r="W65" s="55"/>
      <c r="X65" s="100"/>
    </row>
    <row r="66" spans="1:24" ht="15" customHeight="1">
      <c r="A66" s="104" t="s">
        <v>420</v>
      </c>
      <c r="B66" s="160">
        <v>0</v>
      </c>
      <c r="C66" s="113" t="str">
        <f>IF(C72&gt;D65,"# of Units Over Available Area","# of Units Within Available Area")</f>
        <v># of Units Within Available Area</v>
      </c>
      <c r="D66" s="112" t="s">
        <v>421</v>
      </c>
      <c r="E66" s="120">
        <v>0</v>
      </c>
      <c r="G66" s="104" t="s">
        <v>420</v>
      </c>
      <c r="H66" s="160">
        <v>20</v>
      </c>
      <c r="I66" s="113" t="str">
        <f>IF(I72&gt;J65,"# of Units Over Available Area","# of Units Within Available Area")</f>
        <v># of Units Within Available Area</v>
      </c>
      <c r="J66" s="112" t="s">
        <v>421</v>
      </c>
      <c r="K66" s="120">
        <v>0</v>
      </c>
      <c r="L66" s="12"/>
      <c r="M66" s="104" t="s">
        <v>420</v>
      </c>
      <c r="N66" s="160">
        <v>0</v>
      </c>
      <c r="O66" s="113" t="str">
        <f>IF(O72&gt;P65,"# of Units Over Available Area","# of Units Within Available Area")</f>
        <v># of Units Within Available Area</v>
      </c>
      <c r="P66" s="112" t="s">
        <v>421</v>
      </c>
      <c r="Q66" s="120">
        <v>0</v>
      </c>
      <c r="R66" s="12"/>
      <c r="S66" s="123"/>
      <c r="T66" s="296"/>
      <c r="U66" s="297"/>
      <c r="V66" s="112"/>
      <c r="W66" s="102"/>
      <c r="X66" s="100"/>
    </row>
    <row r="67" spans="1:24" ht="15" customHeight="1">
      <c r="A67" s="107" t="s">
        <v>308</v>
      </c>
      <c r="B67" s="108" t="s">
        <v>427</v>
      </c>
      <c r="C67" s="109" t="s">
        <v>428</v>
      </c>
      <c r="D67" s="108" t="s">
        <v>423</v>
      </c>
      <c r="E67" s="110" t="s">
        <v>424</v>
      </c>
      <c r="G67" s="107" t="s">
        <v>308</v>
      </c>
      <c r="H67" s="108" t="s">
        <v>427</v>
      </c>
      <c r="I67" s="109" t="s">
        <v>428</v>
      </c>
      <c r="J67" s="108" t="s">
        <v>423</v>
      </c>
      <c r="K67" s="110" t="s">
        <v>424</v>
      </c>
      <c r="L67" s="12"/>
      <c r="M67" s="107" t="s">
        <v>308</v>
      </c>
      <c r="N67" s="108" t="s">
        <v>427</v>
      </c>
      <c r="O67" s="109" t="s">
        <v>428</v>
      </c>
      <c r="P67" s="108" t="s">
        <v>423</v>
      </c>
      <c r="Q67" s="110" t="s">
        <v>424</v>
      </c>
      <c r="R67" s="12"/>
      <c r="S67" s="123"/>
      <c r="T67" s="124"/>
      <c r="U67" s="276"/>
      <c r="V67" s="124"/>
      <c r="W67" s="124"/>
      <c r="X67" s="100"/>
    </row>
    <row r="68" spans="1:24" ht="15" customHeight="1">
      <c r="A68" s="31" t="str">
        <f>Assumptions!$W$14</f>
        <v>Studio</v>
      </c>
      <c r="B68" s="76">
        <f>B$66*INDEX(Assumptions!$Y$14:$Y$17,MATCH(A68,Assumptions!$W$14:$W$17,0))</f>
        <v>0</v>
      </c>
      <c r="C68" s="32">
        <f>Assumptions!$R$28</f>
        <v>550</v>
      </c>
      <c r="D68" s="42">
        <f>Assumptions!$R29*(1+E$66)</f>
        <v>2.4</v>
      </c>
      <c r="E68" s="43">
        <f>12*B68*C68*D68</f>
        <v>0</v>
      </c>
      <c r="G68" s="31" t="str">
        <f>Assumptions!$W$14</f>
        <v>Studio</v>
      </c>
      <c r="H68" s="76">
        <f>H$66*INDEX(Assumptions!$Y$14:$Y$17,MATCH(G68,Assumptions!$W$14:$W$17,0))</f>
        <v>6</v>
      </c>
      <c r="I68" s="32">
        <f>Assumptions!$R$28</f>
        <v>550</v>
      </c>
      <c r="J68" s="42">
        <f>Assumptions!$R29*(1+K$66)</f>
        <v>2.4</v>
      </c>
      <c r="K68" s="43">
        <f>12*H68*I68*J68</f>
        <v>95040</v>
      </c>
      <c r="L68" s="12"/>
      <c r="M68" s="31" t="str">
        <f>Assumptions!$W$14</f>
        <v>Studio</v>
      </c>
      <c r="N68" s="76">
        <f>N$66*INDEX(Assumptions!$Y$14:$Y$17,MATCH(M68,Assumptions!$W$14:$W$17,0))</f>
        <v>0</v>
      </c>
      <c r="O68" s="32">
        <f>Assumptions!$R$28</f>
        <v>550</v>
      </c>
      <c r="P68" s="42">
        <f>Assumptions!$R29*(1+Q$66)</f>
        <v>2.4</v>
      </c>
      <c r="Q68" s="43">
        <f>12*N68*O68*P68</f>
        <v>0</v>
      </c>
      <c r="R68" s="12"/>
      <c r="S68" s="307"/>
      <c r="T68" s="100"/>
      <c r="U68" s="308"/>
      <c r="V68" s="309"/>
      <c r="W68" s="125"/>
      <c r="X68" s="100"/>
    </row>
    <row r="69" spans="1:24" ht="15" customHeight="1">
      <c r="A69" s="31" t="str">
        <f>Assumptions!$W$15</f>
        <v>1BR</v>
      </c>
      <c r="B69" s="76">
        <f>B$66*INDEX(Assumptions!$Y$14:$Y$17,MATCH(A69,Assumptions!$W$14:$W$17,0))</f>
        <v>0</v>
      </c>
      <c r="C69" s="32">
        <f>Assumptions!$R$31</f>
        <v>800</v>
      </c>
      <c r="D69" s="42">
        <f>Assumptions!$R32*(1+E$66)</f>
        <v>2.0487500000000001</v>
      </c>
      <c r="E69" s="43">
        <f>12*B69*C69*D69</f>
        <v>0</v>
      </c>
      <c r="G69" s="31" t="str">
        <f>Assumptions!$W$15</f>
        <v>1BR</v>
      </c>
      <c r="H69" s="76">
        <f>H$66*INDEX(Assumptions!$Y$14:$Y$17,MATCH(G69,Assumptions!$W$14:$W$17,0))</f>
        <v>8</v>
      </c>
      <c r="I69" s="32">
        <f>Assumptions!$R$31</f>
        <v>800</v>
      </c>
      <c r="J69" s="42">
        <f>Assumptions!$R32*(1+K$66)</f>
        <v>2.0487500000000001</v>
      </c>
      <c r="K69" s="43">
        <f>12*H69*I69*J69</f>
        <v>157344</v>
      </c>
      <c r="L69" s="12"/>
      <c r="M69" s="31" t="str">
        <f>Assumptions!$W$15</f>
        <v>1BR</v>
      </c>
      <c r="N69" s="76">
        <f>N$66*INDEX(Assumptions!$Y$14:$Y$17,MATCH(M69,Assumptions!$W$14:$W$17,0))</f>
        <v>0</v>
      </c>
      <c r="O69" s="32">
        <f>Assumptions!$R$31</f>
        <v>800</v>
      </c>
      <c r="P69" s="42">
        <f>Assumptions!$R32*(1+Q$66)</f>
        <v>2.0487500000000001</v>
      </c>
      <c r="Q69" s="43">
        <f>12*N69*O69*P69</f>
        <v>0</v>
      </c>
      <c r="R69" s="12"/>
      <c r="S69" s="307"/>
      <c r="T69" s="100"/>
      <c r="U69" s="308"/>
      <c r="V69" s="309"/>
      <c r="W69" s="125"/>
      <c r="X69" s="100"/>
    </row>
    <row r="70" spans="1:24" ht="15" customHeight="1">
      <c r="A70" s="31" t="str">
        <f>Assumptions!$W$16</f>
        <v>2BR</v>
      </c>
      <c r="B70" s="76">
        <f>B$66*INDEX(Assumptions!$Y$14:$Y$17,MATCH(A70,Assumptions!$W$14:$W$17,0))</f>
        <v>0</v>
      </c>
      <c r="C70" s="378">
        <f>Assumptions!$R$34</f>
        <v>1200</v>
      </c>
      <c r="D70" s="379">
        <f>Assumptions!$R$36*(1+E$66)</f>
        <v>1.5083333333333333</v>
      </c>
      <c r="E70" s="380">
        <f>12*B70*C70*D70</f>
        <v>0</v>
      </c>
      <c r="G70" s="31" t="str">
        <f>Assumptions!$W$16</f>
        <v>2BR</v>
      </c>
      <c r="H70" s="76">
        <f>H$66*INDEX(Assumptions!$Y$14:$Y$17,MATCH(G70,Assumptions!$W$14:$W$17,0))</f>
        <v>3</v>
      </c>
      <c r="I70" s="378">
        <f>Assumptions!$R$34</f>
        <v>1200</v>
      </c>
      <c r="J70" s="379">
        <f>Assumptions!$R$36*(1+K$66)</f>
        <v>1.5083333333333333</v>
      </c>
      <c r="K70" s="380">
        <f>12*H70*I70*J70</f>
        <v>65160</v>
      </c>
      <c r="L70" s="12"/>
      <c r="M70" s="31" t="str">
        <f>Assumptions!$W$16</f>
        <v>2BR</v>
      </c>
      <c r="N70" s="76">
        <f>N$66*INDEX(Assumptions!$Y$14:$Y$17,MATCH(M70,Assumptions!$W$14:$W$17,0))</f>
        <v>0</v>
      </c>
      <c r="O70" s="378">
        <f>Assumptions!$R$34</f>
        <v>1200</v>
      </c>
      <c r="P70" s="379">
        <f>Assumptions!$R$36*(1+Q$66)</f>
        <v>1.5083333333333333</v>
      </c>
      <c r="Q70" s="380">
        <f>12*N70*O70*P70</f>
        <v>0</v>
      </c>
      <c r="R70" s="12"/>
      <c r="S70" s="307"/>
      <c r="T70" s="100"/>
      <c r="U70" s="308"/>
      <c r="V70" s="309"/>
      <c r="W70" s="125"/>
      <c r="X70" s="100"/>
    </row>
    <row r="71" spans="1:24" ht="15" customHeight="1" thickBot="1">
      <c r="A71" s="31" t="str">
        <f>Assumptions!$W$17</f>
        <v>3BR</v>
      </c>
      <c r="B71" s="76">
        <f>B$66*INDEX(Assumptions!$Y$14:$Y$17,MATCH(A71,Assumptions!$W$14:$W$17,0))</f>
        <v>0</v>
      </c>
      <c r="C71" s="32">
        <f>Assumptions!$R$38</f>
        <v>2000</v>
      </c>
      <c r="D71" s="379">
        <f>Assumptions!$R$39*(1+E$66)</f>
        <v>1.5145</v>
      </c>
      <c r="E71" s="380">
        <f>12*B71*C71*D71</f>
        <v>0</v>
      </c>
      <c r="G71" s="31" t="str">
        <f>Assumptions!$W$17</f>
        <v>3BR</v>
      </c>
      <c r="H71" s="76">
        <f>H$66*INDEX(Assumptions!$Y$14:$Y$17,MATCH(G71,Assumptions!$W$14:$W$17,0))</f>
        <v>3</v>
      </c>
      <c r="I71" s="32">
        <f>Assumptions!$R$38</f>
        <v>2000</v>
      </c>
      <c r="J71" s="379">
        <f>Assumptions!$R$39*(1+K$66)</f>
        <v>1.5145</v>
      </c>
      <c r="K71" s="380">
        <f>12*H71*I71*J71</f>
        <v>109044</v>
      </c>
      <c r="L71" s="12"/>
      <c r="M71" s="31" t="str">
        <f>Assumptions!$W$17</f>
        <v>3BR</v>
      </c>
      <c r="N71" s="76">
        <f>N$66*INDEX(Assumptions!$Y$14:$Y$17,MATCH(M71,Assumptions!$W$14:$W$17,0))</f>
        <v>0</v>
      </c>
      <c r="O71" s="32">
        <f>Assumptions!$R$38</f>
        <v>2000</v>
      </c>
      <c r="P71" s="379">
        <f>Assumptions!$R$39*(1+Q$66)</f>
        <v>1.5145</v>
      </c>
      <c r="Q71" s="380">
        <f>12*N71*O71*P71</f>
        <v>0</v>
      </c>
      <c r="R71" s="12"/>
      <c r="S71" s="307"/>
      <c r="T71" s="100"/>
      <c r="U71" s="308"/>
      <c r="V71" s="309"/>
      <c r="W71" s="125"/>
      <c r="X71" s="100"/>
    </row>
    <row r="72" spans="1:24" ht="15" customHeight="1" thickTop="1" thickBot="1">
      <c r="A72" s="7" t="s">
        <v>425</v>
      </c>
      <c r="B72" s="8">
        <f>SUM(B68:B71)</f>
        <v>0</v>
      </c>
      <c r="C72" s="9">
        <f>SUMPRODUCT(B68:B71,C68:C71)</f>
        <v>0</v>
      </c>
      <c r="D72" s="61"/>
      <c r="E72" s="62">
        <f>SUM(E68:E71)</f>
        <v>0</v>
      </c>
      <c r="G72" s="7" t="s">
        <v>425</v>
      </c>
      <c r="H72" s="8">
        <f>SUM(H68:H71)</f>
        <v>20</v>
      </c>
      <c r="I72" s="9">
        <f>SUMPRODUCT(H68:H71,I68:I71)</f>
        <v>19300</v>
      </c>
      <c r="J72" s="61"/>
      <c r="K72" s="62">
        <f>SUM(K68:K71)</f>
        <v>426588</v>
      </c>
      <c r="L72" s="12"/>
      <c r="M72" s="7" t="s">
        <v>425</v>
      </c>
      <c r="N72" s="8">
        <f>SUM(N68:N71)</f>
        <v>0</v>
      </c>
      <c r="O72" s="9">
        <f>SUMPRODUCT(N68:N71,O68:O71)</f>
        <v>0</v>
      </c>
      <c r="P72" s="61"/>
      <c r="Q72" s="62">
        <f>SUM(Q68:Q71)</f>
        <v>0</v>
      </c>
      <c r="R72" s="12"/>
      <c r="S72" s="12"/>
      <c r="T72" s="310"/>
      <c r="U72" s="311"/>
      <c r="V72" s="312"/>
      <c r="W72" s="122"/>
      <c r="X72" s="100"/>
    </row>
    <row r="73" spans="1:24" ht="15" customHeight="1" thickTop="1" thickBot="1">
      <c r="A73" s="10" t="s">
        <v>426</v>
      </c>
      <c r="B73" s="60"/>
      <c r="C73" s="11">
        <f>IFERROR(C72/B72,0)</f>
        <v>0</v>
      </c>
      <c r="D73" s="63">
        <f>IFERROR((E72/12)/C72,0)</f>
        <v>0</v>
      </c>
      <c r="E73" s="64"/>
      <c r="G73" s="10" t="s">
        <v>426</v>
      </c>
      <c r="H73" s="60"/>
      <c r="I73" s="11">
        <f>IFERROR(I72/H72,0)</f>
        <v>965</v>
      </c>
      <c r="J73" s="63">
        <f>IFERROR((K72/12)/I72,0)</f>
        <v>1.8419170984455959</v>
      </c>
      <c r="K73" s="64"/>
      <c r="L73" s="12"/>
      <c r="M73" s="10" t="s">
        <v>426</v>
      </c>
      <c r="N73" s="60"/>
      <c r="O73" s="11">
        <f>IFERROR(O72/N72,0)</f>
        <v>0</v>
      </c>
      <c r="P73" s="63">
        <f>IFERROR((Q72/12)/O72,0)</f>
        <v>0</v>
      </c>
      <c r="Q73" s="64"/>
      <c r="R73" s="12"/>
      <c r="S73" s="12"/>
      <c r="T73" s="313"/>
      <c r="U73" s="314"/>
      <c r="V73" s="315"/>
      <c r="W73" s="12"/>
      <c r="X73" s="100"/>
    </row>
    <row r="74" spans="1:24" ht="15" customHeight="1">
      <c r="A74" s="104" t="s">
        <v>225</v>
      </c>
      <c r="B74" s="105" t="str">
        <f>B$39</f>
        <v>-</v>
      </c>
      <c r="C74" s="166" t="s">
        <v>419</v>
      </c>
      <c r="D74" s="111">
        <f>D$39*E$74</f>
        <v>0</v>
      </c>
      <c r="E74" s="106">
        <f>Assumptions!$Y$28</f>
        <v>0.77</v>
      </c>
      <c r="G74" s="104" t="s">
        <v>225</v>
      </c>
      <c r="H74" s="105" t="str">
        <f>H$39</f>
        <v>-</v>
      </c>
      <c r="I74" s="166" t="s">
        <v>419</v>
      </c>
      <c r="J74" s="111">
        <f>J$39*K$74</f>
        <v>0</v>
      </c>
      <c r="K74" s="106">
        <f>Assumptions!$Y$28</f>
        <v>0.77</v>
      </c>
      <c r="L74" s="12"/>
      <c r="M74" s="104" t="s">
        <v>225</v>
      </c>
      <c r="N74" s="105" t="str">
        <f>N$39</f>
        <v>-</v>
      </c>
      <c r="O74" s="166" t="s">
        <v>419</v>
      </c>
      <c r="P74" s="111">
        <f>P$39*Q$74</f>
        <v>0</v>
      </c>
      <c r="Q74" s="106">
        <f>Assumptions!$Y$28</f>
        <v>0.77</v>
      </c>
      <c r="R74" s="12"/>
      <c r="S74" s="123"/>
      <c r="T74" s="99"/>
      <c r="U74" s="135"/>
      <c r="V74" s="295"/>
      <c r="W74" s="55"/>
      <c r="X74" s="100"/>
    </row>
    <row r="75" spans="1:24" ht="15" customHeight="1">
      <c r="A75" s="104" t="s">
        <v>420</v>
      </c>
      <c r="B75" s="160">
        <v>0</v>
      </c>
      <c r="C75" s="113" t="str">
        <f>IF(C80&gt;D74,"# of Units Over Available Area","# of Units Within Available Area")</f>
        <v># of Units Within Available Area</v>
      </c>
      <c r="D75" s="158"/>
      <c r="E75" s="159"/>
      <c r="G75" s="104" t="s">
        <v>420</v>
      </c>
      <c r="H75" s="160">
        <v>0</v>
      </c>
      <c r="I75" s="113" t="str">
        <f>IF(I80&gt;J74,"# of Units Over Available Area","# of Units Within Available Area")</f>
        <v># of Units Within Available Area</v>
      </c>
      <c r="J75" s="158"/>
      <c r="K75" s="159"/>
      <c r="L75" s="12"/>
      <c r="M75" s="104" t="s">
        <v>420</v>
      </c>
      <c r="N75" s="160">
        <v>0</v>
      </c>
      <c r="O75" s="113" t="str">
        <f>IF(O80&gt;P74,"# of Units Over Available Area","# of Units Within Available Area")</f>
        <v># of Units Within Available Area</v>
      </c>
      <c r="P75" s="158"/>
      <c r="Q75" s="159"/>
      <c r="R75" s="12"/>
      <c r="S75" s="123"/>
      <c r="T75" s="296"/>
      <c r="U75" s="297"/>
      <c r="V75" s="112"/>
      <c r="W75" s="102"/>
      <c r="X75" s="100"/>
    </row>
    <row r="76" spans="1:24" ht="15" customHeight="1">
      <c r="A76" s="107" t="s">
        <v>308</v>
      </c>
      <c r="B76" s="108" t="s">
        <v>427</v>
      </c>
      <c r="C76" s="109" t="s">
        <v>428</v>
      </c>
      <c r="D76" s="108" t="s">
        <v>74</v>
      </c>
      <c r="E76" s="110" t="s">
        <v>429</v>
      </c>
      <c r="G76" s="107" t="s">
        <v>308</v>
      </c>
      <c r="H76" s="108" t="s">
        <v>427</v>
      </c>
      <c r="I76" s="109" t="s">
        <v>428</v>
      </c>
      <c r="J76" s="108" t="s">
        <v>74</v>
      </c>
      <c r="K76" s="110" t="s">
        <v>429</v>
      </c>
      <c r="L76" s="12"/>
      <c r="M76" s="107" t="s">
        <v>308</v>
      </c>
      <c r="N76" s="108" t="s">
        <v>427</v>
      </c>
      <c r="O76" s="109" t="s">
        <v>428</v>
      </c>
      <c r="P76" s="108" t="s">
        <v>74</v>
      </c>
      <c r="Q76" s="110" t="s">
        <v>429</v>
      </c>
      <c r="R76" s="12"/>
      <c r="S76" s="123"/>
      <c r="T76" s="124"/>
      <c r="U76" s="276"/>
      <c r="V76" s="124"/>
      <c r="W76" s="124"/>
      <c r="X76" s="100"/>
    </row>
    <row r="77" spans="1:24" ht="15" customHeight="1">
      <c r="A77" s="31" t="str">
        <f>Assumptions!$W$19</f>
        <v>1BR</v>
      </c>
      <c r="B77" s="76">
        <f>B$75*INDEX(Assumptions!$Y$19:$Y$21,MATCH(A77,Assumptions!$W$19:$W$21,0))</f>
        <v>0</v>
      </c>
      <c r="C77" s="32">
        <f>Assumptions!$S$18</f>
        <v>1000</v>
      </c>
      <c r="D77" s="379">
        <f>Assumptions!$S$32</f>
        <v>268</v>
      </c>
      <c r="E77" s="380">
        <f>B77*C77*D77</f>
        <v>0</v>
      </c>
      <c r="G77" s="31" t="str">
        <f>Assumptions!$W$19</f>
        <v>1BR</v>
      </c>
      <c r="H77" s="76">
        <f>H$75*INDEX(Assumptions!$Y$19:$Y$21,MATCH(G77,Assumptions!$W$19:$W$21,0))</f>
        <v>0</v>
      </c>
      <c r="I77" s="32">
        <f>Assumptions!$S$18</f>
        <v>1000</v>
      </c>
      <c r="J77" s="379">
        <f>Assumptions!$S$32</f>
        <v>268</v>
      </c>
      <c r="K77" s="380">
        <f>H77*I77*J77</f>
        <v>0</v>
      </c>
      <c r="L77" s="12"/>
      <c r="M77" s="31" t="str">
        <f>Assumptions!$W$19</f>
        <v>1BR</v>
      </c>
      <c r="N77" s="76">
        <f>N$75*INDEX(Assumptions!$Y$19:$Y$21,MATCH(M77,Assumptions!$W$19:$W$21,0))</f>
        <v>0</v>
      </c>
      <c r="O77" s="32">
        <f>Assumptions!$S$18</f>
        <v>1000</v>
      </c>
      <c r="P77" s="379">
        <f>Assumptions!$S$32</f>
        <v>268</v>
      </c>
      <c r="Q77" s="380">
        <f>N77*O77*P77</f>
        <v>0</v>
      </c>
      <c r="R77" s="12"/>
      <c r="S77" s="307"/>
      <c r="T77" s="100"/>
      <c r="U77" s="308"/>
      <c r="V77" s="309"/>
      <c r="W77" s="125"/>
      <c r="X77" s="100"/>
    </row>
    <row r="78" spans="1:24" ht="15" customHeight="1">
      <c r="A78" s="31" t="str">
        <f>Assumptions!$W$20</f>
        <v>2BR</v>
      </c>
      <c r="B78" s="76">
        <f>B$75*INDEX(Assumptions!$Y$19:$Y$21,MATCH(A78,Assumptions!$W$19:$W$21,0))</f>
        <v>0</v>
      </c>
      <c r="C78" s="32">
        <f>Assumptions!$S$21</f>
        <v>1500</v>
      </c>
      <c r="D78" s="379">
        <f>Assumptions!$S$36</f>
        <v>216</v>
      </c>
      <c r="E78" s="380">
        <f>B78*C78*D78</f>
        <v>0</v>
      </c>
      <c r="G78" s="31" t="str">
        <f>Assumptions!$W$20</f>
        <v>2BR</v>
      </c>
      <c r="H78" s="76">
        <f>H$75*INDEX(Assumptions!$Y$19:$Y$21,MATCH(G78,Assumptions!$W$19:$W$21,0))</f>
        <v>0</v>
      </c>
      <c r="I78" s="32">
        <f>Assumptions!$S$21</f>
        <v>1500</v>
      </c>
      <c r="J78" s="379">
        <f>Assumptions!$S$36</f>
        <v>216</v>
      </c>
      <c r="K78" s="380">
        <f>H78*I78*J78</f>
        <v>0</v>
      </c>
      <c r="L78" s="12"/>
      <c r="M78" s="31" t="str">
        <f>Assumptions!$W$20</f>
        <v>2BR</v>
      </c>
      <c r="N78" s="76">
        <f>N$75*INDEX(Assumptions!$Y$19:$Y$21,MATCH(M78,Assumptions!$W$19:$W$21,0))</f>
        <v>0</v>
      </c>
      <c r="O78" s="32">
        <f>Assumptions!$S$21</f>
        <v>1500</v>
      </c>
      <c r="P78" s="379">
        <f>Assumptions!$S$36</f>
        <v>216</v>
      </c>
      <c r="Q78" s="380">
        <f>N78*O78*P78</f>
        <v>0</v>
      </c>
      <c r="R78" s="12"/>
      <c r="S78" s="307"/>
      <c r="T78" s="100"/>
      <c r="U78" s="308"/>
      <c r="V78" s="309"/>
      <c r="W78" s="125"/>
      <c r="X78" s="100"/>
    </row>
    <row r="79" spans="1:24" ht="15" customHeight="1" thickBot="1">
      <c r="A79" s="31" t="str">
        <f>Assumptions!$W$21</f>
        <v>3BR</v>
      </c>
      <c r="B79" s="76">
        <f>B$75*INDEX(Assumptions!$Y$19:$Y$21,MATCH(A79,Assumptions!$W$19:$W$21,0))</f>
        <v>0</v>
      </c>
      <c r="C79" s="378">
        <f>Assumptions!$S$24</f>
        <v>2300</v>
      </c>
      <c r="D79" s="379">
        <f>Assumptions!$S$39</f>
        <v>174.34782608695653</v>
      </c>
      <c r="E79" s="380">
        <f>B79*C79*D79</f>
        <v>0</v>
      </c>
      <c r="G79" s="31" t="str">
        <f>Assumptions!$W$21</f>
        <v>3BR</v>
      </c>
      <c r="H79" s="76">
        <f>H$75*INDEX(Assumptions!$Y$19:$Y$21,MATCH(G79,Assumptions!$W$19:$W$21,0))</f>
        <v>0</v>
      </c>
      <c r="I79" s="378">
        <f>Assumptions!$S$24</f>
        <v>2300</v>
      </c>
      <c r="J79" s="379">
        <f>Assumptions!$S$39</f>
        <v>174.34782608695653</v>
      </c>
      <c r="K79" s="380">
        <f>H79*I79*J79</f>
        <v>0</v>
      </c>
      <c r="L79" s="12"/>
      <c r="M79" s="31" t="str">
        <f>Assumptions!$W$21</f>
        <v>3BR</v>
      </c>
      <c r="N79" s="76">
        <f>N$75*INDEX(Assumptions!$Y$19:$Y$21,MATCH(M79,Assumptions!$W$19:$W$21,0))</f>
        <v>0</v>
      </c>
      <c r="O79" s="378">
        <f>Assumptions!$S$24</f>
        <v>2300</v>
      </c>
      <c r="P79" s="379">
        <f>Assumptions!$S$39</f>
        <v>174.34782608695653</v>
      </c>
      <c r="Q79" s="380">
        <f>N79*O79*P79</f>
        <v>0</v>
      </c>
      <c r="R79" s="12"/>
      <c r="S79" s="307"/>
      <c r="T79" s="100"/>
      <c r="U79" s="308"/>
      <c r="V79" s="309"/>
      <c r="W79" s="125"/>
      <c r="X79" s="100"/>
    </row>
    <row r="80" spans="1:24" ht="15" customHeight="1" thickTop="1" thickBot="1">
      <c r="A80" s="7" t="s">
        <v>425</v>
      </c>
      <c r="B80" s="8">
        <f>SUM(B77:B79)</f>
        <v>0</v>
      </c>
      <c r="C80" s="9">
        <f>SUMPRODUCT(B77:B79,C77:C79)</f>
        <v>0</v>
      </c>
      <c r="D80" s="61"/>
      <c r="E80" s="62">
        <f>SUM(E77:E79)</f>
        <v>0</v>
      </c>
      <c r="G80" s="7" t="s">
        <v>425</v>
      </c>
      <c r="H80" s="8">
        <f>SUM(H77:H79)</f>
        <v>0</v>
      </c>
      <c r="I80" s="9">
        <f>SUMPRODUCT(H77:H79,I77:I79)</f>
        <v>0</v>
      </c>
      <c r="J80" s="61"/>
      <c r="K80" s="62">
        <f>SUM(K77:K79)</f>
        <v>0</v>
      </c>
      <c r="L80" s="12"/>
      <c r="M80" s="7" t="s">
        <v>425</v>
      </c>
      <c r="N80" s="8">
        <f>SUM(N77:N79)</f>
        <v>0</v>
      </c>
      <c r="O80" s="9">
        <f>SUMPRODUCT(N77:N79,O77:O79)</f>
        <v>0</v>
      </c>
      <c r="P80" s="61"/>
      <c r="Q80" s="62">
        <f>SUM(Q77:Q79)</f>
        <v>0</v>
      </c>
      <c r="R80" s="12"/>
      <c r="S80" s="12"/>
      <c r="T80" s="310"/>
      <c r="U80" s="311"/>
      <c r="V80" s="312"/>
      <c r="W80" s="122"/>
      <c r="X80" s="100"/>
    </row>
    <row r="81" spans="1:24" ht="15" customHeight="1" thickTop="1" thickBot="1">
      <c r="A81" s="10" t="s">
        <v>426</v>
      </c>
      <c r="B81" s="60"/>
      <c r="C81" s="11">
        <f>IFERROR(C80/B80,0)</f>
        <v>0</v>
      </c>
      <c r="D81" s="63">
        <f>IFERROR((E80/12)/C80,0)</f>
        <v>0</v>
      </c>
      <c r="E81" s="64"/>
      <c r="G81" s="10" t="s">
        <v>426</v>
      </c>
      <c r="H81" s="60"/>
      <c r="I81" s="11">
        <f>IFERROR(I80/H80,0)</f>
        <v>0</v>
      </c>
      <c r="J81" s="63">
        <f>IFERROR((K80/12)/I80,0)</f>
        <v>0</v>
      </c>
      <c r="K81" s="64"/>
      <c r="L81" s="12"/>
      <c r="M81" s="10" t="s">
        <v>426</v>
      </c>
      <c r="N81" s="60"/>
      <c r="O81" s="11">
        <f>IFERROR(O80/N80,0)</f>
        <v>0</v>
      </c>
      <c r="P81" s="63">
        <f>IFERROR((Q80/12)/O80,0)</f>
        <v>0</v>
      </c>
      <c r="Q81" s="64"/>
      <c r="R81" s="12"/>
      <c r="S81" s="12"/>
      <c r="T81" s="313"/>
      <c r="U81" s="314"/>
      <c r="V81" s="315"/>
      <c r="W81" s="12"/>
      <c r="X81" s="100"/>
    </row>
    <row r="82" spans="1:24" ht="15" customHeight="1">
      <c r="A82" s="104" t="s">
        <v>226</v>
      </c>
      <c r="B82" s="105" t="str">
        <f>B$38</f>
        <v>-</v>
      </c>
      <c r="C82" s="166" t="s">
        <v>419</v>
      </c>
      <c r="D82" s="111">
        <f>D$40*E$82</f>
        <v>84956.080000000016</v>
      </c>
      <c r="E82" s="106">
        <f>Assumptions!$Y$29</f>
        <v>0.8</v>
      </c>
      <c r="G82" s="104" t="s">
        <v>226</v>
      </c>
      <c r="H82" s="105" t="str">
        <f>H$38</f>
        <v>Multifamily-Affordable</v>
      </c>
      <c r="I82" s="166" t="s">
        <v>419</v>
      </c>
      <c r="J82" s="111">
        <f>J$40*K$82</f>
        <v>0</v>
      </c>
      <c r="K82" s="106">
        <f>Assumptions!$Y$29</f>
        <v>0.8</v>
      </c>
      <c r="M82" s="104" t="s">
        <v>226</v>
      </c>
      <c r="N82" s="105" t="str">
        <f>N$38</f>
        <v>-</v>
      </c>
      <c r="O82" s="166" t="s">
        <v>419</v>
      </c>
      <c r="P82" s="111">
        <f>P$40*Q$82</f>
        <v>0</v>
      </c>
      <c r="Q82" s="106">
        <f>Assumptions!$Y$29</f>
        <v>0.8</v>
      </c>
      <c r="S82" s="123"/>
      <c r="T82" s="99"/>
      <c r="U82" s="135"/>
      <c r="V82" s="295"/>
      <c r="W82" s="55"/>
    </row>
    <row r="83" spans="1:24" ht="15" customHeight="1">
      <c r="A83" s="104" t="s">
        <v>430</v>
      </c>
      <c r="B83" s="160">
        <v>124</v>
      </c>
      <c r="C83" s="113" t="str">
        <f>IF(C88&gt;D82,"# of Units Over Available Area","# of Units Within Available Area")</f>
        <v># of Units Within Available Area</v>
      </c>
      <c r="D83" s="112" t="s">
        <v>421</v>
      </c>
      <c r="E83" s="120">
        <v>0.3</v>
      </c>
      <c r="G83" s="104" t="s">
        <v>430</v>
      </c>
      <c r="H83" s="160">
        <v>0</v>
      </c>
      <c r="I83" s="113" t="str">
        <f>IF(I88&gt;J82,"# of Units Over Available Area","# of Units Within Available Area")</f>
        <v># of Units Within Available Area</v>
      </c>
      <c r="J83" s="112" t="s">
        <v>421</v>
      </c>
      <c r="K83" s="120">
        <v>0.3</v>
      </c>
      <c r="M83" s="104" t="s">
        <v>430</v>
      </c>
      <c r="N83" s="160">
        <v>0</v>
      </c>
      <c r="O83" s="113" t="str">
        <f>IF(O88&gt;P82,"# of Units Over Available Area","# of Units Within Available Area")</f>
        <v># of Units Within Available Area</v>
      </c>
      <c r="P83" s="112" t="s">
        <v>421</v>
      </c>
      <c r="Q83" s="120">
        <v>0.3</v>
      </c>
      <c r="S83" s="123"/>
      <c r="T83" s="296"/>
      <c r="U83" s="297"/>
      <c r="V83" s="112"/>
      <c r="W83" s="102"/>
    </row>
    <row r="84" spans="1:24" ht="15" customHeight="1">
      <c r="A84" s="107" t="s">
        <v>431</v>
      </c>
      <c r="B84" s="108" t="s">
        <v>427</v>
      </c>
      <c r="C84" s="109" t="s">
        <v>428</v>
      </c>
      <c r="D84" s="108" t="s">
        <v>432</v>
      </c>
      <c r="E84" s="110" t="s">
        <v>433</v>
      </c>
      <c r="G84" s="107" t="s">
        <v>431</v>
      </c>
      <c r="H84" s="108" t="s">
        <v>427</v>
      </c>
      <c r="I84" s="109" t="s">
        <v>428</v>
      </c>
      <c r="J84" s="108" t="s">
        <v>432</v>
      </c>
      <c r="K84" s="110" t="s">
        <v>433</v>
      </c>
      <c r="M84" s="107" t="s">
        <v>431</v>
      </c>
      <c r="N84" s="108" t="s">
        <v>427</v>
      </c>
      <c r="O84" s="109" t="s">
        <v>428</v>
      </c>
      <c r="P84" s="108" t="s">
        <v>432</v>
      </c>
      <c r="Q84" s="110" t="s">
        <v>433</v>
      </c>
      <c r="S84" s="123"/>
      <c r="T84" s="124"/>
      <c r="U84" s="276"/>
      <c r="V84" s="124"/>
      <c r="W84" s="124"/>
    </row>
    <row r="85" spans="1:24" ht="15" customHeight="1">
      <c r="A85" s="31" t="str">
        <f>Assumptions!$W$23</f>
        <v>Studio</v>
      </c>
      <c r="B85" s="76">
        <f>B$83*INDEX(Assumptions!$Y$23:$Y$25,MATCH(A85,Assumptions!$W$23:$W$25,0))</f>
        <v>62</v>
      </c>
      <c r="C85" s="32">
        <f>Assumptions!$R$42</f>
        <v>500</v>
      </c>
      <c r="D85" s="42">
        <f>Assumptions!$R$43*(1+$E83)</f>
        <v>3.9000000000000004</v>
      </c>
      <c r="E85" s="43">
        <f>12*B85*C85*D85</f>
        <v>1450800.0000000002</v>
      </c>
      <c r="G85" s="31" t="str">
        <f>Assumptions!$W$23</f>
        <v>Studio</v>
      </c>
      <c r="H85" s="76">
        <f>H$83*INDEX(Assumptions!$Y$23:$Y$25,MATCH(G85,Assumptions!$W$23:$W$25,0))</f>
        <v>0</v>
      </c>
      <c r="I85" s="32">
        <f>Assumptions!$R$42</f>
        <v>500</v>
      </c>
      <c r="J85" s="42">
        <f>Assumptions!$R$43*(1+$E$83)</f>
        <v>3.9000000000000004</v>
      </c>
      <c r="K85" s="43">
        <f>12*H85*I85*J85</f>
        <v>0</v>
      </c>
      <c r="M85" s="31" t="str">
        <f>Assumptions!$W$23</f>
        <v>Studio</v>
      </c>
      <c r="N85" s="76">
        <f>N$83*INDEX(Assumptions!$Y$23:$Y$25,MATCH(M85,Assumptions!$W$23:$W$25,0))</f>
        <v>0</v>
      </c>
      <c r="O85" s="32">
        <f>Assumptions!$R$42</f>
        <v>500</v>
      </c>
      <c r="P85" s="42">
        <f>Assumptions!$R$43*(1+$E$83)</f>
        <v>3.9000000000000004</v>
      </c>
      <c r="Q85" s="43">
        <f>12*N85*O85*P85</f>
        <v>0</v>
      </c>
      <c r="S85" s="307"/>
      <c r="T85" s="100"/>
      <c r="U85" s="308"/>
      <c r="V85" s="309"/>
      <c r="W85" s="125"/>
    </row>
    <row r="86" spans="1:24" ht="15" customHeight="1">
      <c r="A86" s="31" t="str">
        <f>Assumptions!$W$24</f>
        <v>1BR</v>
      </c>
      <c r="B86" s="76">
        <f>B$83*INDEX(Assumptions!$Y$23:$Y$25,MATCH(A86,Assumptions!$W$23:$W$25,0))</f>
        <v>37.199999999999996</v>
      </c>
      <c r="C86" s="378">
        <f>Assumptions!$R$45</f>
        <v>700</v>
      </c>
      <c r="D86" s="42">
        <f>Assumptions!$R$46*(1+$E$83)</f>
        <v>3.25</v>
      </c>
      <c r="E86" s="380">
        <f>12*B86*C86*D86</f>
        <v>1015560</v>
      </c>
      <c r="G86" s="31" t="str">
        <f>Assumptions!$W$24</f>
        <v>1BR</v>
      </c>
      <c r="H86" s="76">
        <f>H$83*INDEX(Assumptions!$Y$23:$Y$25,MATCH(G86,Assumptions!$W$23:$W$25,0))</f>
        <v>0</v>
      </c>
      <c r="I86" s="378">
        <f>Assumptions!$R$45</f>
        <v>700</v>
      </c>
      <c r="J86" s="42">
        <f>Assumptions!$R$46*(1+$E$83)</f>
        <v>3.25</v>
      </c>
      <c r="K86" s="380">
        <f>12*H86*I86*J86</f>
        <v>0</v>
      </c>
      <c r="M86" s="31" t="str">
        <f>Assumptions!$W$24</f>
        <v>1BR</v>
      </c>
      <c r="N86" s="76">
        <f>N$83*INDEX(Assumptions!$Y$23:$Y$25,MATCH(M86,Assumptions!$W$23:$W$25,0))</f>
        <v>0</v>
      </c>
      <c r="O86" s="378">
        <f>Assumptions!$R$45</f>
        <v>700</v>
      </c>
      <c r="P86" s="42">
        <f>Assumptions!$R$46*(1+$E$83)</f>
        <v>3.25</v>
      </c>
      <c r="Q86" s="380">
        <f>12*N86*O86*P86</f>
        <v>0</v>
      </c>
      <c r="S86" s="307"/>
      <c r="T86" s="100"/>
      <c r="U86" s="308"/>
      <c r="V86" s="309"/>
      <c r="W86" s="125"/>
    </row>
    <row r="87" spans="1:24" ht="15" customHeight="1" thickBot="1">
      <c r="A87" s="31" t="str">
        <f>Assumptions!$W$25</f>
        <v>2BR</v>
      </c>
      <c r="B87" s="76">
        <f>B$83*INDEX(Assumptions!$Y$23:$Y$25,MATCH(A87,Assumptions!$W$23:$W$25,0))</f>
        <v>24.8</v>
      </c>
      <c r="C87" s="32">
        <f>Assumptions!$R$48</f>
        <v>1100</v>
      </c>
      <c r="D87" s="42">
        <f>Assumptions!$R$49*(1+$E$83)</f>
        <v>2.9899999999999998</v>
      </c>
      <c r="E87" s="380">
        <f>12*B87*C87*D87</f>
        <v>978806.39999999991</v>
      </c>
      <c r="G87" s="31" t="str">
        <f>Assumptions!$W$25</f>
        <v>2BR</v>
      </c>
      <c r="H87" s="76">
        <f>H$83*INDEX(Assumptions!$Y$23:$Y$25,MATCH(G87,Assumptions!$W$23:$W$25,0))</f>
        <v>0</v>
      </c>
      <c r="I87" s="32">
        <f>Assumptions!$R$48</f>
        <v>1100</v>
      </c>
      <c r="J87" s="42">
        <f>Assumptions!$R$49*(1+$E$83)</f>
        <v>2.9899999999999998</v>
      </c>
      <c r="K87" s="380">
        <f>12*H87*I87*J87</f>
        <v>0</v>
      </c>
      <c r="M87" s="31" t="str">
        <f>Assumptions!$W$25</f>
        <v>2BR</v>
      </c>
      <c r="N87" s="76">
        <f>N$83*INDEX(Assumptions!$Y$23:$Y$25,MATCH(M87,Assumptions!$W$23:$W$25,0))</f>
        <v>0</v>
      </c>
      <c r="O87" s="32">
        <f>Assumptions!$R$48</f>
        <v>1100</v>
      </c>
      <c r="P87" s="42">
        <f>Assumptions!$R$49*(1+$E$83)</f>
        <v>2.9899999999999998</v>
      </c>
      <c r="Q87" s="380">
        <f>12*N87*O87*P87</f>
        <v>0</v>
      </c>
      <c r="S87" s="307"/>
      <c r="T87" s="100"/>
      <c r="U87" s="308"/>
      <c r="V87" s="309"/>
      <c r="W87" s="125"/>
    </row>
    <row r="88" spans="1:24" ht="15" customHeight="1" thickTop="1" thickBot="1">
      <c r="A88" s="7" t="s">
        <v>425</v>
      </c>
      <c r="B88" s="8">
        <f>SUM(B85:B87)</f>
        <v>123.99999999999999</v>
      </c>
      <c r="C88" s="9">
        <f>SUMPRODUCT(B85:B87,C85:C87)</f>
        <v>84320</v>
      </c>
      <c r="D88" s="61"/>
      <c r="E88" s="62">
        <f>SUM(E85:E87)</f>
        <v>3445166.4</v>
      </c>
      <c r="G88" s="7" t="s">
        <v>425</v>
      </c>
      <c r="H88" s="8">
        <f>SUM(H85:H87)</f>
        <v>0</v>
      </c>
      <c r="I88" s="9">
        <f>SUMPRODUCT(H85:H87,I85:I87)</f>
        <v>0</v>
      </c>
      <c r="J88" s="61"/>
      <c r="K88" s="62">
        <f>SUM(K85:K87)</f>
        <v>0</v>
      </c>
      <c r="M88" s="7" t="s">
        <v>425</v>
      </c>
      <c r="N88" s="8">
        <f>SUM(N85:N87)</f>
        <v>0</v>
      </c>
      <c r="O88" s="9">
        <f>SUMPRODUCT(N85:N87,O85:O87)</f>
        <v>0</v>
      </c>
      <c r="P88" s="61"/>
      <c r="Q88" s="62">
        <f>SUM(Q85:Q87)</f>
        <v>0</v>
      </c>
      <c r="S88" s="12"/>
      <c r="T88" s="310"/>
      <c r="U88" s="311"/>
      <c r="V88" s="312"/>
      <c r="W88" s="122"/>
    </row>
    <row r="89" spans="1:24" ht="15" customHeight="1" thickTop="1" thickBot="1">
      <c r="A89" s="10" t="s">
        <v>426</v>
      </c>
      <c r="B89" s="60"/>
      <c r="C89" s="11">
        <f>IFERROR(C88/B88,0)</f>
        <v>680.00000000000011</v>
      </c>
      <c r="D89" s="63">
        <f>IFERROR((E88/12)/C88,0)</f>
        <v>3.4048529411764705</v>
      </c>
      <c r="E89" s="64"/>
      <c r="G89" s="10" t="s">
        <v>426</v>
      </c>
      <c r="H89" s="60"/>
      <c r="I89" s="11">
        <f>IFERROR(I88/H88,0)</f>
        <v>0</v>
      </c>
      <c r="J89" s="63">
        <f>IFERROR((K88/12)/I88,0)</f>
        <v>0</v>
      </c>
      <c r="K89" s="64"/>
      <c r="M89" s="10" t="s">
        <v>426</v>
      </c>
      <c r="N89" s="60"/>
      <c r="O89" s="11">
        <f>IFERROR(O88/N88,0)</f>
        <v>0</v>
      </c>
      <c r="P89" s="63">
        <f>IFERROR((Q88/12)/O88,0)</f>
        <v>0</v>
      </c>
      <c r="Q89" s="64"/>
      <c r="S89" s="12"/>
      <c r="T89" s="313"/>
      <c r="U89" s="314"/>
      <c r="V89" s="315"/>
      <c r="W89" s="12"/>
    </row>
    <row r="90" spans="1:24" ht="15" customHeight="1">
      <c r="A90" s="104" t="s">
        <v>434</v>
      </c>
      <c r="B90" s="116" t="str">
        <f>B$41</f>
        <v>-</v>
      </c>
      <c r="C90" s="114"/>
      <c r="D90" s="115"/>
      <c r="E90" s="121"/>
      <c r="G90" s="104" t="s">
        <v>434</v>
      </c>
      <c r="H90" s="116" t="str">
        <f>H$41</f>
        <v>-</v>
      </c>
      <c r="I90" s="114"/>
      <c r="J90" s="115"/>
      <c r="K90" s="121"/>
      <c r="L90" s="126"/>
      <c r="M90" s="104" t="s">
        <v>434</v>
      </c>
      <c r="N90" s="116" t="str">
        <f>N$41</f>
        <v>-</v>
      </c>
      <c r="O90" s="114"/>
      <c r="P90" s="115"/>
      <c r="Q90" s="121"/>
      <c r="R90" s="126"/>
      <c r="S90" s="123"/>
      <c r="T90" s="299"/>
      <c r="U90" s="300"/>
      <c r="V90" s="316"/>
      <c r="W90" s="126"/>
    </row>
    <row r="91" spans="1:24" ht="15" customHeight="1">
      <c r="A91" s="107" t="s">
        <v>33</v>
      </c>
      <c r="B91" s="108" t="s">
        <v>435</v>
      </c>
      <c r="C91" s="109" t="s">
        <v>436</v>
      </c>
      <c r="D91" s="108" t="s">
        <v>437</v>
      </c>
      <c r="E91" s="110" t="s">
        <v>433</v>
      </c>
      <c r="G91" s="107" t="s">
        <v>33</v>
      </c>
      <c r="H91" s="108" t="s">
        <v>435</v>
      </c>
      <c r="I91" s="109" t="s">
        <v>436</v>
      </c>
      <c r="J91" s="108" t="s">
        <v>437</v>
      </c>
      <c r="K91" s="110" t="s">
        <v>433</v>
      </c>
      <c r="L91" s="124"/>
      <c r="M91" s="107" t="s">
        <v>33</v>
      </c>
      <c r="N91" s="108" t="s">
        <v>435</v>
      </c>
      <c r="O91" s="109" t="s">
        <v>436</v>
      </c>
      <c r="P91" s="108" t="s">
        <v>437</v>
      </c>
      <c r="Q91" s="110" t="s">
        <v>433</v>
      </c>
      <c r="R91" s="124"/>
      <c r="S91" s="123"/>
      <c r="T91" s="124"/>
      <c r="U91" s="276"/>
      <c r="V91" s="124"/>
      <c r="W91" s="124"/>
    </row>
    <row r="92" spans="1:24" ht="15" customHeight="1" thickBot="1">
      <c r="A92" s="381" t="s">
        <v>40</v>
      </c>
      <c r="B92" s="382">
        <f>IFERROR(IF(B$90=A92,D$41,0),0)</f>
        <v>0</v>
      </c>
      <c r="C92" s="383">
        <f>IFERROR(B92*INDEX(Assumptions!$Y$30:$Y$31,MATCH(A92,Assumptions!$W$30:$W$31,0)),0)</f>
        <v>0</v>
      </c>
      <c r="D92" s="384">
        <f>IF(C92&gt;0,INDEX(Assumptions!$R$5:$R$6,MATCH(A92,Assumptions!$Q$5:$Q$6,0)),0)</f>
        <v>0</v>
      </c>
      <c r="E92" s="385">
        <f>C92*D92</f>
        <v>0</v>
      </c>
      <c r="G92" s="381" t="s">
        <v>40</v>
      </c>
      <c r="H92" s="382">
        <f>IFERROR(IF(H$90=G92,J$41,0),0)</f>
        <v>0</v>
      </c>
      <c r="I92" s="383">
        <f>IFERROR(H92*INDEX(Assumptions!$Y$30:$Y$31,MATCH(G92,Assumptions!$W$30:$W$31,0)),0)</f>
        <v>0</v>
      </c>
      <c r="J92" s="384">
        <f>IF(I92&gt;0,INDEX(Assumptions!$R$5:$R$6,MATCH(G92,Assumptions!$Q$5:$Q$6,0)),0)</f>
        <v>0</v>
      </c>
      <c r="K92" s="385">
        <f>I92*J92</f>
        <v>0</v>
      </c>
      <c r="L92" s="127"/>
      <c r="M92" s="381" t="s">
        <v>40</v>
      </c>
      <c r="N92" s="382">
        <f>IFERROR(IF(N$90=M92,P$41,0),0)</f>
        <v>0</v>
      </c>
      <c r="O92" s="383">
        <f>IFERROR(N92*INDEX(Assumptions!$Y$30:$Y$31,MATCH(M92,Assumptions!$W$30:$W$31,0)),0)</f>
        <v>0</v>
      </c>
      <c r="P92" s="384">
        <f>IF(O92&gt;0,INDEX(Assumptions!$R$5:$R$6,MATCH(M92,Assumptions!$Q$5:$Q$6,0)),0)</f>
        <v>0</v>
      </c>
      <c r="Q92" s="385">
        <f>O92*P92</f>
        <v>0</v>
      </c>
      <c r="R92" s="127"/>
      <c r="S92" s="317"/>
      <c r="T92" s="100"/>
      <c r="U92" s="318"/>
      <c r="V92" s="319"/>
      <c r="W92" s="127"/>
    </row>
    <row r="93" spans="1:24" ht="15" customHeight="1" thickTop="1" thickBot="1">
      <c r="A93" s="1006" t="s">
        <v>425</v>
      </c>
      <c r="B93" s="40">
        <f>SUM(B92:B92)</f>
        <v>0</v>
      </c>
      <c r="C93" s="40">
        <f>SUM(C92:C92)</f>
        <v>0</v>
      </c>
      <c r="D93" s="38">
        <f>IF(B93=0,0,E93/B93)</f>
        <v>0</v>
      </c>
      <c r="E93" s="39">
        <f>SUM(E92:E92)</f>
        <v>0</v>
      </c>
      <c r="G93" s="1006" t="s">
        <v>425</v>
      </c>
      <c r="H93" s="40">
        <f>SUM(H92:H92)</f>
        <v>0</v>
      </c>
      <c r="I93" s="40">
        <f>SUM(I92:I92)</f>
        <v>0</v>
      </c>
      <c r="J93" s="38">
        <f>IF(H93=0,0,K93/H93)</f>
        <v>0</v>
      </c>
      <c r="K93" s="39">
        <f>SUM(K92:K92)</f>
        <v>0</v>
      </c>
      <c r="L93" s="127"/>
      <c r="M93" s="1006" t="s">
        <v>425</v>
      </c>
      <c r="N93" s="40">
        <f>SUM(N92:N92)</f>
        <v>0</v>
      </c>
      <c r="O93" s="40">
        <f>SUM(O92:O92)</f>
        <v>0</v>
      </c>
      <c r="P93" s="38">
        <f>IF(N93=0,0,Q93/N93)</f>
        <v>0</v>
      </c>
      <c r="Q93" s="39">
        <f>SUM(Q92:Q92)</f>
        <v>0</v>
      </c>
      <c r="R93" s="127"/>
      <c r="S93" s="12"/>
      <c r="T93" s="320"/>
      <c r="U93" s="320"/>
      <c r="V93" s="319"/>
      <c r="W93" s="127"/>
    </row>
    <row r="94" spans="1:24" ht="15" customHeight="1">
      <c r="A94" s="104" t="s">
        <v>438</v>
      </c>
      <c r="B94" s="116" t="str">
        <f>B$42</f>
        <v>-</v>
      </c>
      <c r="C94" s="114"/>
      <c r="D94" s="115"/>
      <c r="E94" s="121"/>
      <c r="G94" s="104" t="s">
        <v>438</v>
      </c>
      <c r="H94" s="116" t="str">
        <f>H$42</f>
        <v>-</v>
      </c>
      <c r="I94" s="114"/>
      <c r="J94" s="115"/>
      <c r="K94" s="121"/>
      <c r="L94" s="126"/>
      <c r="M94" s="104" t="s">
        <v>438</v>
      </c>
      <c r="N94" s="116" t="str">
        <f>N$42</f>
        <v>-</v>
      </c>
      <c r="O94" s="114"/>
      <c r="P94" s="115"/>
      <c r="Q94" s="121"/>
      <c r="R94" s="126"/>
      <c r="S94" s="123"/>
      <c r="T94" s="299"/>
      <c r="U94" s="300"/>
      <c r="V94" s="316"/>
      <c r="W94" s="126"/>
    </row>
    <row r="95" spans="1:24" ht="15" customHeight="1">
      <c r="A95" s="107" t="s">
        <v>33</v>
      </c>
      <c r="B95" s="108" t="s">
        <v>435</v>
      </c>
      <c r="C95" s="109" t="s">
        <v>436</v>
      </c>
      <c r="D95" s="108" t="s">
        <v>437</v>
      </c>
      <c r="E95" s="110" t="s">
        <v>433</v>
      </c>
      <c r="G95" s="107" t="s">
        <v>33</v>
      </c>
      <c r="H95" s="108" t="s">
        <v>435</v>
      </c>
      <c r="I95" s="109" t="s">
        <v>436</v>
      </c>
      <c r="J95" s="108" t="s">
        <v>437</v>
      </c>
      <c r="K95" s="110" t="s">
        <v>433</v>
      </c>
      <c r="L95" s="124"/>
      <c r="M95" s="107" t="s">
        <v>33</v>
      </c>
      <c r="N95" s="108" t="s">
        <v>435</v>
      </c>
      <c r="O95" s="109" t="s">
        <v>436</v>
      </c>
      <c r="P95" s="108" t="s">
        <v>437</v>
      </c>
      <c r="Q95" s="110" t="s">
        <v>433</v>
      </c>
      <c r="R95" s="124"/>
      <c r="S95" s="123"/>
      <c r="T95" s="124"/>
      <c r="U95" s="276"/>
      <c r="V95" s="124"/>
      <c r="W95" s="124"/>
    </row>
    <row r="96" spans="1:24" ht="15" customHeight="1" thickBot="1">
      <c r="A96" s="381" t="s">
        <v>44</v>
      </c>
      <c r="B96" s="382">
        <f>IFERROR(IF(B$94=A96,D$42,0),0)</f>
        <v>0</v>
      </c>
      <c r="C96" s="383">
        <f>IFERROR(B96*INDEX(Assumptions!$Y$30:$Y$31,MATCH(A96,Assumptions!$W$30:$W$31,0)),0)</f>
        <v>0</v>
      </c>
      <c r="D96" s="384">
        <f>IF(C96&gt;0,INDEX(Assumptions!$R$5:$R$6,MATCH(A96,Assumptions!$Q$5:$Q$6,0)),0)</f>
        <v>0</v>
      </c>
      <c r="E96" s="385">
        <f>C96*D96</f>
        <v>0</v>
      </c>
      <c r="G96" s="381" t="s">
        <v>44</v>
      </c>
      <c r="H96" s="382">
        <f>IFERROR(IF(H$94=G96,J$42,0),0)</f>
        <v>0</v>
      </c>
      <c r="I96" s="383">
        <f>IFERROR(H96*INDEX(Assumptions!$Y$30:$Y$31,MATCH(G96,Assumptions!$W$30:$W$31,0)),0)</f>
        <v>0</v>
      </c>
      <c r="J96" s="384">
        <f>IF(I96&gt;0,INDEX(Assumptions!$R$5:$R$6,MATCH(G96,Assumptions!$Q$5:$Q$6,0)),0)</f>
        <v>0</v>
      </c>
      <c r="K96" s="385">
        <f>I96*J96</f>
        <v>0</v>
      </c>
      <c r="L96" s="127"/>
      <c r="M96" s="381" t="s">
        <v>44</v>
      </c>
      <c r="N96" s="382">
        <f>IFERROR(IF(N$94=M96,P$42,0),0)</f>
        <v>0</v>
      </c>
      <c r="O96" s="383">
        <f>IFERROR(N96*INDEX(Assumptions!$Y$30:$Y$31,MATCH(M96,Assumptions!$W$30:$W$31,0)),0)</f>
        <v>0</v>
      </c>
      <c r="P96" s="384">
        <f>IF(O96&gt;0,INDEX(Assumptions!$R$5:$R$6,MATCH(M96,Assumptions!$Q$5:$Q$6,0)),0)</f>
        <v>0</v>
      </c>
      <c r="Q96" s="385">
        <f>O96*P96</f>
        <v>0</v>
      </c>
      <c r="R96" s="127"/>
      <c r="S96" s="317"/>
      <c r="T96" s="100"/>
      <c r="U96" s="318"/>
      <c r="V96" s="319"/>
      <c r="W96" s="127"/>
    </row>
    <row r="97" spans="1:23" ht="15" customHeight="1" thickTop="1" thickBot="1">
      <c r="A97" s="1006" t="s">
        <v>425</v>
      </c>
      <c r="B97" s="40">
        <f>SUM(B96:B96)</f>
        <v>0</v>
      </c>
      <c r="C97" s="40">
        <f>SUM(C96:C96)</f>
        <v>0</v>
      </c>
      <c r="D97" s="38">
        <f>IF(B97=0,0,E97/B97)</f>
        <v>0</v>
      </c>
      <c r="E97" s="39">
        <f>SUM(E96:E96)</f>
        <v>0</v>
      </c>
      <c r="G97" s="1006" t="s">
        <v>425</v>
      </c>
      <c r="H97" s="40">
        <f>SUM(H96:H96)</f>
        <v>0</v>
      </c>
      <c r="I97" s="40">
        <f>SUM(I96:I96)</f>
        <v>0</v>
      </c>
      <c r="J97" s="38">
        <f>IF(H97=0,0,K97/H97)</f>
        <v>0</v>
      </c>
      <c r="K97" s="39">
        <f>SUM(K96:K96)</f>
        <v>0</v>
      </c>
      <c r="L97" s="127"/>
      <c r="M97" s="1006" t="s">
        <v>425</v>
      </c>
      <c r="N97" s="40">
        <f>SUM(N96:N96)</f>
        <v>0</v>
      </c>
      <c r="O97" s="40">
        <f>SUM(O96:O96)</f>
        <v>0</v>
      </c>
      <c r="P97" s="38">
        <f>IF(N97=0,0,Q97/N97)</f>
        <v>0</v>
      </c>
      <c r="Q97" s="39">
        <f>SUM(Q96:Q96)</f>
        <v>0</v>
      </c>
      <c r="R97" s="127"/>
      <c r="S97" s="12"/>
      <c r="T97" s="320"/>
      <c r="U97" s="320"/>
      <c r="V97" s="319"/>
      <c r="W97" s="127"/>
    </row>
    <row r="98" spans="1:23" ht="15" customHeight="1">
      <c r="A98" s="104" t="s">
        <v>439</v>
      </c>
      <c r="B98" s="116" t="str">
        <f>B$43</f>
        <v>-</v>
      </c>
      <c r="C98" s="114"/>
      <c r="D98" s="115"/>
      <c r="E98" s="121"/>
      <c r="G98" s="104" t="s">
        <v>439</v>
      </c>
      <c r="H98" s="116" t="str">
        <f>H$43</f>
        <v>-</v>
      </c>
      <c r="I98" s="114"/>
      <c r="J98" s="115"/>
      <c r="K98" s="121"/>
      <c r="L98" s="126"/>
      <c r="M98" s="104" t="s">
        <v>439</v>
      </c>
      <c r="N98" s="116" t="str">
        <f>N$43</f>
        <v>-</v>
      </c>
      <c r="O98" s="114"/>
      <c r="P98" s="115"/>
      <c r="Q98" s="121"/>
      <c r="R98" s="126"/>
      <c r="S98" s="123"/>
      <c r="T98" s="299"/>
      <c r="U98" s="300"/>
      <c r="V98" s="316"/>
      <c r="W98" s="126"/>
    </row>
    <row r="99" spans="1:23" ht="15" customHeight="1">
      <c r="A99" s="107" t="s">
        <v>33</v>
      </c>
      <c r="B99" s="108" t="s">
        <v>435</v>
      </c>
      <c r="C99" s="109"/>
      <c r="D99" s="108" t="s">
        <v>74</v>
      </c>
      <c r="E99" s="110" t="s">
        <v>429</v>
      </c>
      <c r="G99" s="107" t="s">
        <v>33</v>
      </c>
      <c r="H99" s="108" t="s">
        <v>435</v>
      </c>
      <c r="I99" s="109"/>
      <c r="J99" s="108" t="s">
        <v>74</v>
      </c>
      <c r="K99" s="110" t="s">
        <v>429</v>
      </c>
      <c r="L99" s="124"/>
      <c r="M99" s="107" t="s">
        <v>33</v>
      </c>
      <c r="N99" s="108" t="s">
        <v>435</v>
      </c>
      <c r="O99" s="109"/>
      <c r="P99" s="108" t="s">
        <v>74</v>
      </c>
      <c r="Q99" s="110" t="s">
        <v>429</v>
      </c>
      <c r="R99" s="124"/>
      <c r="S99" s="123"/>
      <c r="T99" s="124"/>
      <c r="U99" s="276"/>
      <c r="V99" s="124"/>
      <c r="W99" s="124"/>
    </row>
    <row r="100" spans="1:23" ht="15" customHeight="1" thickBot="1">
      <c r="A100" s="381" t="s">
        <v>51</v>
      </c>
      <c r="B100" s="386">
        <f>IFERROR(IF(B$98=A100,D$43,0),0)</f>
        <v>0</v>
      </c>
      <c r="C100" s="383"/>
      <c r="D100" s="384">
        <f>Assumptions!$S$8</f>
        <v>500</v>
      </c>
      <c r="E100" s="385">
        <f>B100*D100</f>
        <v>0</v>
      </c>
      <c r="G100" s="381" t="s">
        <v>51</v>
      </c>
      <c r="H100" s="386">
        <f>IFERROR(IF(H$98=G100,J$43,0),0)</f>
        <v>0</v>
      </c>
      <c r="I100" s="383"/>
      <c r="J100" s="384">
        <f>Assumptions!$S$8</f>
        <v>500</v>
      </c>
      <c r="K100" s="385">
        <f>H100*J100</f>
        <v>0</v>
      </c>
      <c r="L100" s="127"/>
      <c r="M100" s="381" t="s">
        <v>51</v>
      </c>
      <c r="N100" s="386">
        <f>IFERROR(IF(N$98=M100,P$43,0),0)</f>
        <v>0</v>
      </c>
      <c r="O100" s="383"/>
      <c r="P100" s="384">
        <f>Assumptions!$S$8</f>
        <v>500</v>
      </c>
      <c r="Q100" s="385">
        <f>N100*P100</f>
        <v>0</v>
      </c>
      <c r="R100" s="127"/>
      <c r="S100" s="317"/>
      <c r="T100" s="100"/>
      <c r="U100" s="318"/>
      <c r="V100" s="319"/>
      <c r="W100" s="127"/>
    </row>
    <row r="101" spans="1:23" ht="15" customHeight="1" thickTop="1" thickBot="1">
      <c r="A101" s="1006" t="s">
        <v>425</v>
      </c>
      <c r="B101" s="40">
        <f>SUM(B100:B100)</f>
        <v>0</v>
      </c>
      <c r="C101" s="40"/>
      <c r="D101" s="38">
        <f>IF(B101=0,0,E101/B101)</f>
        <v>0</v>
      </c>
      <c r="E101" s="39">
        <f>SUM(E100:E100)</f>
        <v>0</v>
      </c>
      <c r="G101" s="1006" t="s">
        <v>425</v>
      </c>
      <c r="H101" s="40">
        <f>SUM(H100:H100)</f>
        <v>0</v>
      </c>
      <c r="I101" s="40"/>
      <c r="J101" s="38">
        <f>IF(H101=0,0,K101/H101)</f>
        <v>0</v>
      </c>
      <c r="K101" s="39">
        <f>SUM(K100:K100)</f>
        <v>0</v>
      </c>
      <c r="L101" s="127"/>
      <c r="M101" s="1006" t="s">
        <v>425</v>
      </c>
      <c r="N101" s="40">
        <f>SUM(N100:N100)</f>
        <v>0</v>
      </c>
      <c r="O101" s="40"/>
      <c r="P101" s="38">
        <f>IF(N101=0,0,Q101/N101)</f>
        <v>0</v>
      </c>
      <c r="Q101" s="39">
        <f>SUM(Q100:Q100)</f>
        <v>0</v>
      </c>
      <c r="R101" s="127"/>
      <c r="S101" s="12"/>
      <c r="T101" s="320"/>
      <c r="U101" s="320"/>
      <c r="V101" s="319"/>
      <c r="W101" s="127"/>
    </row>
    <row r="102" spans="1:23" ht="15" customHeight="1">
      <c r="A102" s="104" t="s">
        <v>440</v>
      </c>
      <c r="B102" s="116" t="str">
        <f>B$44</f>
        <v>-</v>
      </c>
      <c r="C102" s="114"/>
      <c r="D102" s="115"/>
      <c r="E102" s="121"/>
      <c r="G102" s="104" t="s">
        <v>440</v>
      </c>
      <c r="H102" s="116" t="str">
        <f>H$44</f>
        <v>-</v>
      </c>
      <c r="I102" s="114"/>
      <c r="J102" s="115"/>
      <c r="K102" s="121"/>
      <c r="L102" s="127"/>
      <c r="M102" s="104" t="s">
        <v>440</v>
      </c>
      <c r="N102" s="116" t="str">
        <f>N$44</f>
        <v>-</v>
      </c>
      <c r="O102" s="114"/>
      <c r="P102" s="115"/>
      <c r="Q102" s="121"/>
      <c r="R102" s="127"/>
      <c r="S102" s="123"/>
      <c r="T102" s="299"/>
      <c r="U102" s="300"/>
      <c r="V102" s="316"/>
      <c r="W102" s="126"/>
    </row>
    <row r="103" spans="1:23" ht="15" customHeight="1">
      <c r="A103" s="107" t="s">
        <v>33</v>
      </c>
      <c r="B103" s="108" t="s">
        <v>435</v>
      </c>
      <c r="C103" s="109" t="s">
        <v>441</v>
      </c>
      <c r="D103" s="108" t="s">
        <v>437</v>
      </c>
      <c r="E103" s="110" t="s">
        <v>433</v>
      </c>
      <c r="G103" s="107" t="s">
        <v>33</v>
      </c>
      <c r="H103" s="108" t="s">
        <v>435</v>
      </c>
      <c r="I103" s="109" t="s">
        <v>441</v>
      </c>
      <c r="J103" s="108" t="s">
        <v>437</v>
      </c>
      <c r="K103" s="110" t="s">
        <v>433</v>
      </c>
      <c r="L103" s="127"/>
      <c r="M103" s="107" t="s">
        <v>33</v>
      </c>
      <c r="N103" s="108" t="s">
        <v>435</v>
      </c>
      <c r="O103" s="109" t="s">
        <v>441</v>
      </c>
      <c r="P103" s="108" t="s">
        <v>437</v>
      </c>
      <c r="Q103" s="110" t="s">
        <v>433</v>
      </c>
      <c r="R103" s="127"/>
      <c r="S103" s="123"/>
      <c r="T103" s="124"/>
      <c r="U103" s="276"/>
      <c r="V103" s="124"/>
      <c r="W103" s="124"/>
    </row>
    <row r="104" spans="1:23" ht="15" customHeight="1" thickBot="1">
      <c r="A104" s="381" t="s">
        <v>48</v>
      </c>
      <c r="B104" s="386">
        <f>IFERROR(IF(B$102=A104,D$44,0),0)</f>
        <v>0</v>
      </c>
      <c r="C104" s="383">
        <f>IFERROR(B104*INDEX(Assumptions!$Y$32:$Y$32,MATCH(A104,Assumptions!$W$32:$W$32,0)),0)</f>
        <v>0</v>
      </c>
      <c r="D104" s="384">
        <f>IF(C104&gt;0,INDEX(Assumptions!$R$7:$R$7,MATCH(A104,Assumptions!$Q$7:$Q$7,0)),0)</f>
        <v>0</v>
      </c>
      <c r="E104" s="385">
        <f>C104*D104</f>
        <v>0</v>
      </c>
      <c r="G104" s="381" t="s">
        <v>48</v>
      </c>
      <c r="H104" s="386">
        <f>IFERROR(IF(H$102=G104,J$44,0),0)</f>
        <v>0</v>
      </c>
      <c r="I104" s="383">
        <f>IFERROR(H104*INDEX(Assumptions!$Y$32:$Y$32,MATCH(G104,Assumptions!$W$32:$W$32,0)),0)</f>
        <v>0</v>
      </c>
      <c r="J104" s="384">
        <f>IF(I104&gt;0,INDEX(Assumptions!$R$7:$R$7,MATCH(G104,Assumptions!$Q$7:$Q$7,0)),0)</f>
        <v>0</v>
      </c>
      <c r="K104" s="385">
        <f>I104*J104</f>
        <v>0</v>
      </c>
      <c r="L104" s="127"/>
      <c r="M104" s="381" t="s">
        <v>48</v>
      </c>
      <c r="N104" s="386">
        <f>IFERROR(IF(N$102=M104,P$44,0),0)</f>
        <v>0</v>
      </c>
      <c r="O104" s="383">
        <f>IFERROR(N104*INDEX(Assumptions!$Y$32:$Y$32,MATCH(M104,Assumptions!$W$32:$W$32,0)),0)</f>
        <v>0</v>
      </c>
      <c r="P104" s="384">
        <f>IF(O104&gt;0,INDEX(Assumptions!$R$7:$R$7,MATCH(M104,Assumptions!$Q$7:$Q$7,0)),0)</f>
        <v>0</v>
      </c>
      <c r="Q104" s="385">
        <f>O104*P104</f>
        <v>0</v>
      </c>
      <c r="R104" s="127"/>
      <c r="S104" s="317"/>
      <c r="T104" s="100"/>
      <c r="U104" s="318"/>
      <c r="V104" s="319"/>
      <c r="W104" s="127"/>
    </row>
    <row r="105" spans="1:23" ht="15" customHeight="1" thickTop="1" thickBot="1">
      <c r="A105" s="1006" t="s">
        <v>425</v>
      </c>
      <c r="B105" s="40">
        <f>SUM(B104)</f>
        <v>0</v>
      </c>
      <c r="C105" s="40">
        <f>SUM(C104)</f>
        <v>0</v>
      </c>
      <c r="D105" s="38">
        <f>IF(B105=0,0,E105/B105)</f>
        <v>0</v>
      </c>
      <c r="E105" s="39">
        <f>SUM(E104)</f>
        <v>0</v>
      </c>
      <c r="G105" s="1006" t="s">
        <v>425</v>
      </c>
      <c r="H105" s="40">
        <f>SUM(H104)</f>
        <v>0</v>
      </c>
      <c r="I105" s="40">
        <f>SUM(I104)</f>
        <v>0</v>
      </c>
      <c r="J105" s="38">
        <f>IF(H105=0,0,K105/H105)</f>
        <v>0</v>
      </c>
      <c r="K105" s="39">
        <f>SUM(K104)</f>
        <v>0</v>
      </c>
      <c r="L105" s="127"/>
      <c r="M105" s="1006" t="s">
        <v>425</v>
      </c>
      <c r="N105" s="40">
        <f>SUM(N104)</f>
        <v>0</v>
      </c>
      <c r="O105" s="40">
        <f>SUM(O104)</f>
        <v>0</v>
      </c>
      <c r="P105" s="38">
        <f>IF(N105=0,0,Q105/N105)</f>
        <v>0</v>
      </c>
      <c r="Q105" s="39">
        <f>SUM(Q104)</f>
        <v>0</v>
      </c>
      <c r="R105" s="127"/>
      <c r="S105" s="12"/>
      <c r="T105" s="320"/>
      <c r="U105" s="320"/>
      <c r="V105" s="319"/>
      <c r="W105" s="127"/>
    </row>
    <row r="106" spans="1:23" ht="15" customHeight="1">
      <c r="A106" s="1007" t="s">
        <v>418</v>
      </c>
      <c r="B106" s="1008" t="s">
        <v>435</v>
      </c>
      <c r="C106" s="1009" t="s">
        <v>442</v>
      </c>
      <c r="D106" s="1009" t="s">
        <v>443</v>
      </c>
      <c r="E106" s="1010" t="s">
        <v>433</v>
      </c>
      <c r="G106" s="1007" t="s">
        <v>418</v>
      </c>
      <c r="H106" s="1008" t="s">
        <v>435</v>
      </c>
      <c r="I106" s="1009" t="s">
        <v>442</v>
      </c>
      <c r="J106" s="1009" t="s">
        <v>443</v>
      </c>
      <c r="K106" s="1010" t="s">
        <v>433</v>
      </c>
      <c r="M106" s="1007" t="s">
        <v>418</v>
      </c>
      <c r="N106" s="1008" t="s">
        <v>435</v>
      </c>
      <c r="O106" s="1009" t="s">
        <v>442</v>
      </c>
      <c r="P106" s="1009" t="s">
        <v>443</v>
      </c>
      <c r="Q106" s="1010" t="s">
        <v>433</v>
      </c>
      <c r="S106" s="123"/>
      <c r="T106" s="124"/>
      <c r="U106" s="276"/>
      <c r="V106" s="276"/>
      <c r="W106" s="124"/>
    </row>
    <row r="107" spans="1:23" ht="15" customHeight="1" thickBot="1">
      <c r="A107" s="387"/>
      <c r="B107" s="388">
        <f>D45</f>
        <v>20282.599999999999</v>
      </c>
      <c r="C107" s="389">
        <f>IF(B107=0,0,IFERROR((B107/Assumptions!$Y$35)-1,0))</f>
        <v>66.608666666666664</v>
      </c>
      <c r="D107" s="390"/>
      <c r="E107" s="385"/>
      <c r="G107" s="387"/>
      <c r="H107" s="388">
        <f>J45</f>
        <v>52370</v>
      </c>
      <c r="I107" s="389">
        <f>IF(H107=0,0,IFERROR((H107/Assumptions!$Y$35)-1,0))</f>
        <v>173.56666666666666</v>
      </c>
      <c r="J107" s="390"/>
      <c r="K107" s="385"/>
      <c r="M107" s="387"/>
      <c r="N107" s="388">
        <f>P45</f>
        <v>107645.5</v>
      </c>
      <c r="O107" s="389">
        <f>IF(N107=0,0,IFERROR((N107/Assumptions!$Y$35)-1,0))</f>
        <v>357.81833333333333</v>
      </c>
      <c r="P107" s="390"/>
      <c r="Q107" s="385"/>
      <c r="T107" s="83"/>
      <c r="U107" s="168"/>
      <c r="W107" s="127"/>
    </row>
    <row r="108" spans="1:23" ht="15" customHeight="1" thickTop="1">
      <c r="A108" s="163" t="s">
        <v>61</v>
      </c>
      <c r="B108" s="128">
        <f>IF(B34="Parking Lot",B107*50%,B$107*B46)</f>
        <v>20282.599999999999</v>
      </c>
      <c r="C108" s="259">
        <f>IF(B108=0,0,IFERROR((B108/Assumptions!$Y$35)-1,0))</f>
        <v>66.608666666666664</v>
      </c>
      <c r="D108" s="36">
        <f>Assumptions!$Y36</f>
        <v>300</v>
      </c>
      <c r="E108" s="59">
        <f>IF(OR(D$37&gt;0,D$39&gt;0,D$40&gt;0,D$43&gt;0),0,IF(B$58&gt;0,0,IF(C108&lt;0,0,C108*D108*12)))</f>
        <v>0</v>
      </c>
      <c r="G108" s="163" t="s">
        <v>61</v>
      </c>
      <c r="H108" s="128">
        <f>IF(H34="Parking Lot",H107*50%,H$107*H46)</f>
        <v>52370</v>
      </c>
      <c r="I108" s="259">
        <f>IF(H108=0,0,IFERROR((H108/Assumptions!$Y$35)-1,0))</f>
        <v>173.56666666666666</v>
      </c>
      <c r="J108" s="36">
        <f>Assumptions!$Y36</f>
        <v>300</v>
      </c>
      <c r="K108" s="59">
        <f>IF(OR(J$37&gt;0,J$39&gt;0,J$40&gt;0,J$43&gt;0),0,IF(H$58&gt;0,0,IF(I108&lt;0,0,I108*J108*12)))</f>
        <v>624840</v>
      </c>
      <c r="M108" s="163" t="s">
        <v>61</v>
      </c>
      <c r="N108" s="128">
        <f>IF(N34="Parking Lot",N107*50%,N$107*N46)</f>
        <v>53822.75</v>
      </c>
      <c r="O108" s="259">
        <f>IF(N108=0,0,IFERROR((N108/Assumptions!$Y$35)-1,0))</f>
        <v>178.40916666666666</v>
      </c>
      <c r="P108" s="36">
        <f>Assumptions!$Y36</f>
        <v>300</v>
      </c>
      <c r="Q108" s="59">
        <f>IF(OR(P$37&gt;0,P$39&gt;0,P$40&gt;0,P$43&gt;0),0,IF(N$58&gt;0,0,IF(O108&lt;0,0,O108*P108*12)))</f>
        <v>642273</v>
      </c>
      <c r="S108" s="321"/>
      <c r="T108" s="83"/>
      <c r="U108" s="168"/>
      <c r="V108" s="286"/>
      <c r="W108" s="127"/>
    </row>
    <row r="109" spans="1:23" ht="15" customHeight="1">
      <c r="A109" s="391" t="s">
        <v>239</v>
      </c>
      <c r="B109" s="392">
        <f>B107-B108-B110</f>
        <v>0</v>
      </c>
      <c r="C109" s="393">
        <f>IF(B109=0,0,IFERROR((B109/Assumptions!$Y$35)-1,0))</f>
        <v>0</v>
      </c>
      <c r="D109" s="394">
        <f>Assumptions!$Y37</f>
        <v>250</v>
      </c>
      <c r="E109" s="59">
        <f>IF(OR(D$37&gt;0,D$39&gt;0,D$40&gt;0,D$43&gt;0),0,IF(B$58&gt;0,0,IF(C109&lt;0,0,C109*D109*12)))</f>
        <v>0</v>
      </c>
      <c r="G109" s="391" t="s">
        <v>239</v>
      </c>
      <c r="H109" s="392">
        <f>H107-H108-H110</f>
        <v>0</v>
      </c>
      <c r="I109" s="393">
        <f>IF(H109=0,0,IFERROR((H109/Assumptions!$Y$35)-1,0))</f>
        <v>0</v>
      </c>
      <c r="J109" s="394">
        <f>Assumptions!$Y37</f>
        <v>250</v>
      </c>
      <c r="K109" s="59">
        <f>IF(OR(J$37&gt;0,J$39&gt;0,J$40&gt;0,J$43&gt;0),0,IF(H$58&gt;0,0,IF(I109&lt;0,0,I109*J109*12)))</f>
        <v>0</v>
      </c>
      <c r="M109" s="391" t="s">
        <v>239</v>
      </c>
      <c r="N109" s="392">
        <f>N107-N108-N110</f>
        <v>13822.75</v>
      </c>
      <c r="O109" s="393">
        <f>IF(N109=0,0,IFERROR((N109/Assumptions!$Y$35)-1,0))</f>
        <v>45.075833333333335</v>
      </c>
      <c r="P109" s="394">
        <f>Assumptions!$Y37</f>
        <v>250</v>
      </c>
      <c r="Q109" s="59">
        <f>IF(OR(P$37&gt;0,P$39&gt;0,P$40&gt;0,P$43&gt;0),0,IF(N$58&gt;0,0,IF(O109&lt;0,0,O109*P109*12)))</f>
        <v>135227.5</v>
      </c>
      <c r="S109" s="203"/>
      <c r="T109" s="83"/>
      <c r="U109" s="168"/>
      <c r="V109" s="286"/>
      <c r="W109" s="127"/>
    </row>
    <row r="110" spans="1:23" ht="15" customHeight="1" thickBot="1">
      <c r="A110" s="395" t="s">
        <v>122</v>
      </c>
      <c r="B110" s="396">
        <v>0</v>
      </c>
      <c r="C110" s="397">
        <f>IF(B110=0,0,IFERROR((B110/Assumptions!$Y$35)-1,0))</f>
        <v>0</v>
      </c>
      <c r="D110" s="398">
        <f>Assumptions!$Y38</f>
        <v>50</v>
      </c>
      <c r="E110" s="39">
        <f>IF(OR(D$37&gt;0,D$39&gt;0,D$40&gt;0,D$43&gt;0),0,IF(B$58&gt;0,0,IF(C110&lt;0,0,C110*D110*12)))</f>
        <v>0</v>
      </c>
      <c r="G110" s="395" t="s">
        <v>122</v>
      </c>
      <c r="H110" s="396">
        <v>0</v>
      </c>
      <c r="I110" s="397">
        <f>IF(H110=0,0,IFERROR((H110/Assumptions!$Y$35)-1,0))</f>
        <v>0</v>
      </c>
      <c r="J110" s="398">
        <f>Assumptions!$Y38</f>
        <v>50</v>
      </c>
      <c r="K110" s="39">
        <f>IF(OR(J$37&gt;0,J$39&gt;0,J$40&gt;0,J$43&gt;0),0,IF(H$58&gt;0,0,IF(I110&lt;0,0,I110*J110*12)))</f>
        <v>0</v>
      </c>
      <c r="M110" s="395" t="s">
        <v>122</v>
      </c>
      <c r="N110" s="396">
        <v>40000</v>
      </c>
      <c r="O110" s="397">
        <f>IF(N110=0,0,IFERROR((N110/Assumptions!$Y$35)-1,0))</f>
        <v>132.33333333333334</v>
      </c>
      <c r="P110" s="398">
        <f>Assumptions!$Y38</f>
        <v>50</v>
      </c>
      <c r="Q110" s="39">
        <f>IF(OR(P$37&gt;0,P$39&gt;0,P$40&gt;0,P$43&gt;0),0,IF(N$58&gt;0,0,IF(O110&lt;0,0,O110*P110*12)))</f>
        <v>79400</v>
      </c>
      <c r="S110" s="203"/>
      <c r="T110" s="322"/>
      <c r="U110" s="168"/>
      <c r="V110" s="286"/>
      <c r="W110" s="127"/>
    </row>
    <row r="111" spans="1:23" ht="15" customHeight="1" thickBot="1">
      <c r="A111" s="203"/>
      <c r="B111" s="83"/>
      <c r="C111" s="204"/>
      <c r="D111" s="202"/>
      <c r="E111" s="127"/>
      <c r="G111" s="203"/>
      <c r="H111" s="83"/>
      <c r="I111" s="204"/>
      <c r="J111" s="202"/>
      <c r="K111" s="127"/>
      <c r="M111" s="203"/>
      <c r="N111" s="83"/>
      <c r="O111" s="204"/>
      <c r="P111" s="202"/>
      <c r="Q111" s="127"/>
      <c r="S111" s="203"/>
      <c r="T111" s="83"/>
      <c r="U111" s="301"/>
      <c r="V111" s="286"/>
      <c r="W111" s="127"/>
    </row>
    <row r="112" spans="1:23" ht="15" customHeight="1" thickBot="1">
      <c r="A112" s="1011" t="s">
        <v>444</v>
      </c>
      <c r="B112" s="80"/>
      <c r="C112" s="77" t="str">
        <f>B34</f>
        <v>Student Housing</v>
      </c>
      <c r="D112" s="77"/>
      <c r="E112" s="1012"/>
      <c r="F112" s="12"/>
      <c r="G112" s="1011" t="s">
        <v>444</v>
      </c>
      <c r="H112" s="80"/>
      <c r="I112" s="77" t="str">
        <f>H34</f>
        <v>Multifamily 1</v>
      </c>
      <c r="J112" s="77"/>
      <c r="K112" s="1012"/>
      <c r="L112" s="12"/>
      <c r="M112" s="1011" t="s">
        <v>444</v>
      </c>
      <c r="N112" s="80"/>
      <c r="O112" s="77" t="str">
        <f>N34</f>
        <v>Parking Lot</v>
      </c>
      <c r="P112" s="77"/>
      <c r="Q112" s="1012"/>
      <c r="R112" s="12"/>
      <c r="S112" s="274"/>
      <c r="T112" s="274"/>
      <c r="U112" s="129"/>
      <c r="V112" s="129"/>
      <c r="W112" s="274"/>
    </row>
    <row r="113" spans="1:23" ht="13.5" thickBot="1">
      <c r="A113" s="1013" t="s">
        <v>445</v>
      </c>
      <c r="B113" s="78" t="s">
        <v>446</v>
      </c>
      <c r="C113" s="78" t="s">
        <v>447</v>
      </c>
      <c r="D113" s="78" t="s">
        <v>448</v>
      </c>
      <c r="E113" s="1014" t="s">
        <v>449</v>
      </c>
      <c r="F113" s="12"/>
      <c r="G113" s="1013" t="s">
        <v>445</v>
      </c>
      <c r="H113" s="78" t="s">
        <v>446</v>
      </c>
      <c r="I113" s="78" t="s">
        <v>447</v>
      </c>
      <c r="J113" s="78" t="s">
        <v>448</v>
      </c>
      <c r="K113" s="1014" t="s">
        <v>449</v>
      </c>
      <c r="L113" s="12"/>
      <c r="M113" s="1013" t="s">
        <v>445</v>
      </c>
      <c r="N113" s="78" t="s">
        <v>446</v>
      </c>
      <c r="O113" s="78" t="s">
        <v>447</v>
      </c>
      <c r="P113" s="78" t="s">
        <v>448</v>
      </c>
      <c r="Q113" s="1014" t="s">
        <v>449</v>
      </c>
      <c r="R113" s="12"/>
      <c r="S113" s="123"/>
      <c r="T113" s="124"/>
      <c r="U113" s="124"/>
      <c r="V113" s="124"/>
      <c r="W113" s="124"/>
    </row>
    <row r="114" spans="1:23" ht="12.6">
      <c r="A114" s="33" t="s">
        <v>450</v>
      </c>
      <c r="B114" s="34"/>
      <c r="C114" s="35"/>
      <c r="D114" s="82"/>
      <c r="E114" s="13">
        <f>SUM(E55,E72,E88)</f>
        <v>3445166.4</v>
      </c>
      <c r="F114" s="12"/>
      <c r="G114" s="33" t="s">
        <v>450</v>
      </c>
      <c r="H114" s="34"/>
      <c r="I114" s="35"/>
      <c r="J114" s="82"/>
      <c r="K114" s="13">
        <f>SUM(K55,K72,K88)</f>
        <v>2794380</v>
      </c>
      <c r="L114" s="12"/>
      <c r="M114" s="33" t="s">
        <v>450</v>
      </c>
      <c r="N114" s="34"/>
      <c r="O114" s="35"/>
      <c r="P114" s="82"/>
      <c r="Q114" s="13">
        <f>SUM(Q55,Q72,Q88)</f>
        <v>0</v>
      </c>
      <c r="R114" s="12"/>
      <c r="S114" s="12"/>
      <c r="T114" s="286"/>
      <c r="U114" s="323"/>
      <c r="V114" s="324"/>
      <c r="W114" s="286"/>
    </row>
    <row r="115" spans="1:23" ht="12.6">
      <c r="A115" s="91" t="s">
        <v>451</v>
      </c>
      <c r="B115" s="34"/>
      <c r="C115" s="35"/>
      <c r="D115" s="399"/>
      <c r="E115" s="92">
        <f>SUM(E93,E97)</f>
        <v>0</v>
      </c>
      <c r="F115" s="12"/>
      <c r="G115" s="91" t="s">
        <v>451</v>
      </c>
      <c r="H115" s="34"/>
      <c r="I115" s="35"/>
      <c r="J115" s="399"/>
      <c r="K115" s="92">
        <f>SUM(K93,K97)</f>
        <v>0</v>
      </c>
      <c r="L115" s="12"/>
      <c r="M115" s="91" t="s">
        <v>451</v>
      </c>
      <c r="N115" s="34"/>
      <c r="O115" s="35"/>
      <c r="P115" s="399"/>
      <c r="Q115" s="92">
        <f>SUM(Q93,Q97)</f>
        <v>0</v>
      </c>
      <c r="R115" s="12"/>
      <c r="S115" s="12"/>
      <c r="T115" s="286"/>
      <c r="U115" s="323"/>
      <c r="V115" s="324"/>
      <c r="W115" s="286"/>
    </row>
    <row r="116" spans="1:23" ht="12.6">
      <c r="A116" s="400" t="s">
        <v>452</v>
      </c>
      <c r="B116" s="1077"/>
      <c r="C116" s="1078"/>
      <c r="D116" s="401"/>
      <c r="E116" s="1015">
        <f>E105</f>
        <v>0</v>
      </c>
      <c r="F116" s="12"/>
      <c r="G116" s="400" t="s">
        <v>452</v>
      </c>
      <c r="H116" s="1077"/>
      <c r="I116" s="1078"/>
      <c r="J116" s="401"/>
      <c r="K116" s="1015">
        <f>K105</f>
        <v>0</v>
      </c>
      <c r="L116" s="12"/>
      <c r="M116" s="400" t="s">
        <v>452</v>
      </c>
      <c r="N116" s="1077"/>
      <c r="O116" s="1078"/>
      <c r="P116" s="401"/>
      <c r="Q116" s="1015">
        <f>Q105</f>
        <v>0</v>
      </c>
      <c r="R116" s="12"/>
      <c r="S116" s="325"/>
      <c r="T116" s="1079"/>
      <c r="U116" s="1079"/>
      <c r="V116" s="326"/>
      <c r="W116" s="286"/>
    </row>
    <row r="117" spans="1:23" ht="12.95">
      <c r="A117" s="402" t="s">
        <v>453</v>
      </c>
      <c r="B117" s="89"/>
      <c r="C117" s="89"/>
      <c r="D117" s="86"/>
      <c r="E117" s="403">
        <f>SUM(E114:E116)</f>
        <v>3445166.4</v>
      </c>
      <c r="F117" s="12"/>
      <c r="G117" s="402" t="s">
        <v>453</v>
      </c>
      <c r="H117" s="89"/>
      <c r="I117" s="89"/>
      <c r="J117" s="86"/>
      <c r="K117" s="403">
        <f>SUM(K114:K116)</f>
        <v>2794380</v>
      </c>
      <c r="L117" s="12"/>
      <c r="M117" s="402" t="s">
        <v>453</v>
      </c>
      <c r="N117" s="89"/>
      <c r="O117" s="89"/>
      <c r="P117" s="86"/>
      <c r="Q117" s="403">
        <f>SUM(Q114:Q116)</f>
        <v>0</v>
      </c>
      <c r="R117" s="12"/>
      <c r="S117" s="277"/>
      <c r="T117" s="302"/>
      <c r="U117" s="302"/>
      <c r="V117" s="167"/>
      <c r="W117" s="167"/>
    </row>
    <row r="118" spans="1:23" ht="12.95">
      <c r="A118" s="1071"/>
      <c r="B118" s="1072"/>
      <c r="C118" s="1072"/>
      <c r="D118" s="1072"/>
      <c r="E118" s="1073"/>
      <c r="F118" s="12"/>
      <c r="G118" s="1071"/>
      <c r="H118" s="1072"/>
      <c r="I118" s="1072"/>
      <c r="J118" s="1072"/>
      <c r="K118" s="1073"/>
      <c r="L118" s="12"/>
      <c r="M118" s="1071"/>
      <c r="N118" s="1072"/>
      <c r="O118" s="1072"/>
      <c r="P118" s="1072"/>
      <c r="Q118" s="1073"/>
      <c r="R118" s="12"/>
      <c r="S118" s="1074"/>
      <c r="T118" s="1074"/>
      <c r="U118" s="1074"/>
      <c r="V118" s="1074"/>
      <c r="W118" s="1074"/>
    </row>
    <row r="119" spans="1:23" ht="12.95">
      <c r="A119" s="95" t="s">
        <v>454</v>
      </c>
      <c r="B119" s="85"/>
      <c r="C119" s="85"/>
      <c r="D119" s="85"/>
      <c r="E119" s="96"/>
      <c r="F119" s="12"/>
      <c r="G119" s="95" t="s">
        <v>454</v>
      </c>
      <c r="H119" s="85"/>
      <c r="I119" s="85"/>
      <c r="J119" s="85"/>
      <c r="K119" s="96"/>
      <c r="L119" s="12"/>
      <c r="M119" s="95" t="s">
        <v>454</v>
      </c>
      <c r="N119" s="85"/>
      <c r="O119" s="85"/>
      <c r="P119" s="85"/>
      <c r="Q119" s="96"/>
      <c r="R119" s="12"/>
      <c r="S119" s="277"/>
      <c r="T119" s="167"/>
      <c r="U119" s="167"/>
      <c r="V119" s="167"/>
      <c r="W119" s="167"/>
    </row>
    <row r="120" spans="1:23" ht="12.6">
      <c r="A120" s="404" t="s">
        <v>455</v>
      </c>
      <c r="B120" s="394"/>
      <c r="C120" s="401"/>
      <c r="D120" s="401"/>
      <c r="E120" s="405">
        <f>E108</f>
        <v>0</v>
      </c>
      <c r="F120" s="12"/>
      <c r="G120" s="404" t="s">
        <v>455</v>
      </c>
      <c r="H120" s="394"/>
      <c r="I120" s="401"/>
      <c r="J120" s="401"/>
      <c r="K120" s="405">
        <f>K108</f>
        <v>624840</v>
      </c>
      <c r="L120" s="12"/>
      <c r="M120" s="404" t="s">
        <v>455</v>
      </c>
      <c r="N120" s="394"/>
      <c r="O120" s="401"/>
      <c r="P120" s="401"/>
      <c r="Q120" s="405">
        <f>Q108</f>
        <v>642273</v>
      </c>
      <c r="R120" s="12"/>
      <c r="S120" s="327"/>
      <c r="T120" s="286"/>
      <c r="U120" s="326"/>
      <c r="V120" s="326"/>
      <c r="W120" s="286"/>
    </row>
    <row r="121" spans="1:23" ht="12.6">
      <c r="A121" s="404" t="s">
        <v>456</v>
      </c>
      <c r="B121" s="394"/>
      <c r="C121" s="401"/>
      <c r="D121" s="401"/>
      <c r="E121" s="405">
        <f>E109</f>
        <v>0</v>
      </c>
      <c r="F121" s="12"/>
      <c r="G121" s="404" t="s">
        <v>456</v>
      </c>
      <c r="H121" s="394"/>
      <c r="I121" s="401"/>
      <c r="J121" s="401"/>
      <c r="K121" s="405">
        <f>K109</f>
        <v>0</v>
      </c>
      <c r="L121" s="12"/>
      <c r="M121" s="404" t="s">
        <v>456</v>
      </c>
      <c r="N121" s="394"/>
      <c r="O121" s="401"/>
      <c r="P121" s="401"/>
      <c r="Q121" s="405">
        <f>Q109</f>
        <v>135227.5</v>
      </c>
      <c r="R121" s="12"/>
      <c r="S121" s="327"/>
      <c r="T121" s="286"/>
      <c r="U121" s="326"/>
      <c r="V121" s="326"/>
      <c r="W121" s="286"/>
    </row>
    <row r="122" spans="1:23" ht="12.6">
      <c r="A122" s="404" t="s">
        <v>457</v>
      </c>
      <c r="B122" s="394"/>
      <c r="C122" s="401"/>
      <c r="D122" s="401"/>
      <c r="E122" s="405">
        <f>E110</f>
        <v>0</v>
      </c>
      <c r="F122" s="12"/>
      <c r="G122" s="404" t="s">
        <v>457</v>
      </c>
      <c r="H122" s="394"/>
      <c r="I122" s="401"/>
      <c r="J122" s="401"/>
      <c r="K122" s="405">
        <f>K110</f>
        <v>0</v>
      </c>
      <c r="L122" s="12"/>
      <c r="M122" s="404" t="s">
        <v>457</v>
      </c>
      <c r="N122" s="394"/>
      <c r="O122" s="401"/>
      <c r="P122" s="401"/>
      <c r="Q122" s="405">
        <f>Q110</f>
        <v>79400</v>
      </c>
      <c r="R122" s="12"/>
      <c r="S122" s="327"/>
      <c r="T122" s="286"/>
      <c r="U122" s="326"/>
      <c r="V122" s="326"/>
      <c r="W122" s="286"/>
    </row>
    <row r="123" spans="1:23" ht="12.6">
      <c r="A123" s="404" t="s">
        <v>458</v>
      </c>
      <c r="B123" s="401"/>
      <c r="C123" s="401"/>
      <c r="D123" s="401"/>
      <c r="E123" s="405">
        <f>Assumptions!$L$44*E117</f>
        <v>103354.992</v>
      </c>
      <c r="F123" s="12"/>
      <c r="G123" s="404" t="s">
        <v>458</v>
      </c>
      <c r="H123" s="401"/>
      <c r="I123" s="401"/>
      <c r="J123" s="401"/>
      <c r="K123" s="405">
        <f>Assumptions!$L$44*K117</f>
        <v>83831.399999999994</v>
      </c>
      <c r="L123" s="12"/>
      <c r="M123" s="404" t="s">
        <v>458</v>
      </c>
      <c r="N123" s="401"/>
      <c r="O123" s="401"/>
      <c r="P123" s="401"/>
      <c r="Q123" s="405">
        <f>Assumptions!$L$44*Q117</f>
        <v>0</v>
      </c>
      <c r="R123" s="12"/>
      <c r="S123" s="327"/>
      <c r="T123" s="326"/>
      <c r="U123" s="326"/>
      <c r="V123" s="326"/>
      <c r="W123" s="286"/>
    </row>
    <row r="124" spans="1:23" ht="13.5" thickBot="1">
      <c r="A124" s="84" t="s">
        <v>459</v>
      </c>
      <c r="B124" s="72"/>
      <c r="C124" s="87"/>
      <c r="D124" s="406"/>
      <c r="E124" s="73">
        <f>SUM(E120:E123)</f>
        <v>103354.992</v>
      </c>
      <c r="F124" s="12"/>
      <c r="G124" s="84" t="s">
        <v>459</v>
      </c>
      <c r="H124" s="72"/>
      <c r="I124" s="87"/>
      <c r="J124" s="406"/>
      <c r="K124" s="73">
        <f>SUM(K120:K123)</f>
        <v>708671.4</v>
      </c>
      <c r="L124" s="12"/>
      <c r="M124" s="84" t="s">
        <v>459</v>
      </c>
      <c r="N124" s="72"/>
      <c r="O124" s="87"/>
      <c r="P124" s="406"/>
      <c r="Q124" s="73">
        <f>SUM(Q120:Q123)</f>
        <v>856900.5</v>
      </c>
      <c r="R124" s="12"/>
      <c r="S124" s="328"/>
      <c r="T124" s="167"/>
      <c r="U124" s="167"/>
      <c r="V124" s="167"/>
      <c r="W124" s="167"/>
    </row>
    <row r="125" spans="1:23" ht="14.1" thickTop="1" thickBot="1">
      <c r="A125" s="27">
        <v>0.05</v>
      </c>
      <c r="B125" s="74"/>
      <c r="C125" s="88"/>
      <c r="D125" s="94"/>
      <c r="E125" s="79">
        <f>-A125*E117</f>
        <v>-172258.32</v>
      </c>
      <c r="F125" s="12"/>
      <c r="G125" s="27">
        <v>0.05</v>
      </c>
      <c r="H125" s="74"/>
      <c r="I125" s="88"/>
      <c r="J125" s="94"/>
      <c r="K125" s="79">
        <f>-G125*K117</f>
        <v>-139719</v>
      </c>
      <c r="L125" s="12"/>
      <c r="M125" s="27">
        <v>0.05</v>
      </c>
      <c r="N125" s="74"/>
      <c r="O125" s="88"/>
      <c r="P125" s="94"/>
      <c r="Q125" s="79">
        <f>-M125*Q117</f>
        <v>0</v>
      </c>
      <c r="R125" s="12"/>
      <c r="S125" s="329"/>
      <c r="T125" s="286"/>
      <c r="U125" s="286"/>
      <c r="V125" s="286"/>
      <c r="W125" s="286"/>
    </row>
    <row r="126" spans="1:23" ht="14.1" thickTop="1" thickBot="1">
      <c r="A126" s="1016" t="s">
        <v>460</v>
      </c>
      <c r="B126" s="14"/>
      <c r="C126" s="1017"/>
      <c r="D126" s="93"/>
      <c r="E126" s="1018">
        <f>E117+E124+E125</f>
        <v>3376263.0720000002</v>
      </c>
      <c r="F126" s="12"/>
      <c r="G126" s="1016" t="s">
        <v>460</v>
      </c>
      <c r="H126" s="14"/>
      <c r="I126" s="1017"/>
      <c r="J126" s="93"/>
      <c r="K126" s="1018">
        <f>K117+K124+K125</f>
        <v>3363332.4</v>
      </c>
      <c r="L126" s="12"/>
      <c r="M126" s="1016" t="s">
        <v>460</v>
      </c>
      <c r="N126" s="14"/>
      <c r="O126" s="1017"/>
      <c r="P126" s="93"/>
      <c r="Q126" s="1018">
        <f>Q117+Q124+Q125</f>
        <v>856900.5</v>
      </c>
      <c r="R126" s="12"/>
      <c r="S126" s="330"/>
      <c r="T126" s="167"/>
      <c r="U126" s="331"/>
      <c r="V126" s="331"/>
      <c r="W126" s="167"/>
    </row>
    <row r="127" spans="1:23" ht="13.5" thickBot="1">
      <c r="A127" s="6" t="s">
        <v>461</v>
      </c>
      <c r="B127" s="78" t="s">
        <v>462</v>
      </c>
      <c r="C127" s="78"/>
      <c r="D127" s="78"/>
      <c r="E127" s="15" t="s">
        <v>463</v>
      </c>
      <c r="F127" s="12"/>
      <c r="G127" s="6" t="s">
        <v>461</v>
      </c>
      <c r="H127" s="78" t="s">
        <v>462</v>
      </c>
      <c r="I127" s="78"/>
      <c r="J127" s="78"/>
      <c r="K127" s="15" t="s">
        <v>463</v>
      </c>
      <c r="L127" s="12"/>
      <c r="M127" s="6" t="s">
        <v>461</v>
      </c>
      <c r="N127" s="78" t="s">
        <v>462</v>
      </c>
      <c r="O127" s="78"/>
      <c r="P127" s="78"/>
      <c r="Q127" s="15" t="s">
        <v>463</v>
      </c>
      <c r="R127" s="12"/>
      <c r="S127" s="123"/>
      <c r="T127" s="124"/>
      <c r="U127" s="124"/>
      <c r="V127" s="124"/>
      <c r="W127" s="124"/>
    </row>
    <row r="128" spans="1:23" ht="13.5" thickBot="1">
      <c r="A128" s="97" t="s">
        <v>464</v>
      </c>
      <c r="B128" s="90"/>
      <c r="C128" s="16"/>
      <c r="D128" s="16"/>
      <c r="E128" s="98">
        <f>-0.3*E117</f>
        <v>-1033549.9199999999</v>
      </c>
      <c r="F128" s="12"/>
      <c r="G128" s="97" t="s">
        <v>464</v>
      </c>
      <c r="H128" s="90"/>
      <c r="I128" s="16"/>
      <c r="J128" s="16"/>
      <c r="K128" s="98">
        <f>-0.3*K117</f>
        <v>-838314</v>
      </c>
      <c r="L128" s="12"/>
      <c r="M128" s="97" t="s">
        <v>464</v>
      </c>
      <c r="N128" s="90"/>
      <c r="O128" s="16"/>
      <c r="P128" s="16"/>
      <c r="Q128" s="98">
        <f>-0.3*Q117</f>
        <v>0</v>
      </c>
      <c r="R128" s="12"/>
      <c r="S128" s="289"/>
      <c r="T128" s="332"/>
      <c r="U128" s="333"/>
      <c r="V128" s="333"/>
      <c r="W128" s="333"/>
    </row>
    <row r="129" spans="1:25" ht="13.5" thickBot="1">
      <c r="A129" s="1019" t="s">
        <v>465</v>
      </c>
      <c r="B129" s="81"/>
      <c r="C129" s="81"/>
      <c r="D129" s="81"/>
      <c r="E129" s="1020">
        <f>E126+E128</f>
        <v>2342713.1520000002</v>
      </c>
      <c r="F129" s="12"/>
      <c r="G129" s="1019" t="s">
        <v>465</v>
      </c>
      <c r="H129" s="81"/>
      <c r="I129" s="81"/>
      <c r="J129" s="81"/>
      <c r="K129" s="1020">
        <f>K126+K128</f>
        <v>2525018.4</v>
      </c>
      <c r="L129" s="12"/>
      <c r="M129" s="1019" t="s">
        <v>465</v>
      </c>
      <c r="N129" s="81"/>
      <c r="O129" s="81"/>
      <c r="P129" s="81"/>
      <c r="Q129" s="1020">
        <f>Q126+Q128</f>
        <v>856900.5</v>
      </c>
      <c r="R129" s="12"/>
      <c r="S129" s="118"/>
      <c r="T129" s="334"/>
      <c r="U129" s="334"/>
      <c r="V129" s="334"/>
      <c r="W129" s="335"/>
    </row>
    <row r="130" spans="1:25" ht="12.6">
      <c r="F130" s="12"/>
      <c r="L130" s="12"/>
      <c r="R130" s="12"/>
    </row>
    <row r="131" spans="1:25" ht="12.95">
      <c r="A131" s="734" t="s">
        <v>383</v>
      </c>
      <c r="B131" s="734"/>
      <c r="C131" s="734"/>
      <c r="F131" s="12"/>
      <c r="G131" s="734" t="s">
        <v>383</v>
      </c>
      <c r="H131" s="734"/>
      <c r="I131" s="734"/>
      <c r="L131" s="12"/>
      <c r="M131" s="734" t="s">
        <v>383</v>
      </c>
      <c r="N131" s="734"/>
      <c r="O131" s="734"/>
      <c r="R131" s="12"/>
      <c r="S131" s="274"/>
      <c r="T131" s="274"/>
      <c r="U131" s="274"/>
    </row>
    <row r="132" spans="1:25" ht="12.95">
      <c r="A132" s="735"/>
      <c r="B132" s="736" t="s">
        <v>466</v>
      </c>
      <c r="C132" s="736" t="s">
        <v>467</v>
      </c>
      <c r="F132" s="83"/>
      <c r="G132" s="735"/>
      <c r="H132" s="736" t="s">
        <v>466</v>
      </c>
      <c r="I132" s="736" t="s">
        <v>467</v>
      </c>
      <c r="L132" s="83"/>
      <c r="M132" s="735"/>
      <c r="N132" s="736" t="s">
        <v>466</v>
      </c>
      <c r="O132" s="736" t="s">
        <v>467</v>
      </c>
      <c r="R132" s="83"/>
      <c r="S132" s="274"/>
      <c r="T132" s="282"/>
      <c r="U132" s="282"/>
    </row>
    <row r="133" spans="1:25" ht="12.75" customHeight="1">
      <c r="A133" s="737" t="s">
        <v>387</v>
      </c>
      <c r="B133" s="738">
        <f>IFERROR(INDEX(Assumptions!$D$4:$E$16,MATCH('1-B Financial'!B$34,Assumptions!$D$4:$D$16,0),2),0)</f>
        <v>170</v>
      </c>
      <c r="C133" s="739">
        <f>B133*D34</f>
        <v>21501209.000000004</v>
      </c>
      <c r="F133" s="12"/>
      <c r="G133" s="737" t="s">
        <v>387</v>
      </c>
      <c r="H133" s="738">
        <f>IFERROR(INDEX(Assumptions!$D$4:$E$16,MATCH('1-B Financial'!H$34,Assumptions!$D$4:$D$16,0),2),0)</f>
        <v>190</v>
      </c>
      <c r="I133" s="739">
        <f>H133*J34</f>
        <v>34774560</v>
      </c>
      <c r="L133" s="12"/>
      <c r="M133" s="737" t="s">
        <v>387</v>
      </c>
      <c r="N133" s="738">
        <f>IFERROR(INDEX(Assumptions!$D$4:$E$16,MATCH('1-B Financial'!N$34,Assumptions!$D$4:$D$16,0),2),0)</f>
        <v>100</v>
      </c>
      <c r="O133" s="739">
        <f>N133*P34</f>
        <v>10764550</v>
      </c>
      <c r="R133" s="12"/>
      <c r="S133" s="177"/>
      <c r="T133" s="336"/>
      <c r="U133" s="286"/>
    </row>
    <row r="134" spans="1:25" ht="12.75" customHeight="1">
      <c r="A134" s="737" t="s">
        <v>77</v>
      </c>
      <c r="B134" s="562">
        <f>Assumptions!$E$19</f>
        <v>0.05</v>
      </c>
      <c r="C134" s="740">
        <f>B134*C133</f>
        <v>1075060.4500000002</v>
      </c>
      <c r="F134" s="12"/>
      <c r="G134" s="737" t="s">
        <v>77</v>
      </c>
      <c r="H134" s="562">
        <f>Assumptions!$E$19</f>
        <v>0.05</v>
      </c>
      <c r="I134" s="740">
        <f>H134*I133</f>
        <v>1738728</v>
      </c>
      <c r="L134" s="12"/>
      <c r="M134" s="737" t="s">
        <v>77</v>
      </c>
      <c r="N134" s="562">
        <f>Assumptions!$E$19</f>
        <v>0.05</v>
      </c>
      <c r="O134" s="740">
        <f>N134*O133</f>
        <v>538227.5</v>
      </c>
      <c r="R134" s="12"/>
      <c r="S134" s="177"/>
      <c r="T134" s="337"/>
      <c r="U134" s="290"/>
      <c r="Y134" s="12"/>
    </row>
    <row r="135" spans="1:25" ht="12.75" customHeight="1">
      <c r="A135" s="737" t="s">
        <v>389</v>
      </c>
      <c r="B135" s="407" t="s">
        <v>101</v>
      </c>
      <c r="C135" s="741">
        <v>0</v>
      </c>
      <c r="F135" s="12"/>
      <c r="G135" s="737" t="s">
        <v>389</v>
      </c>
      <c r="H135" s="407" t="s">
        <v>101</v>
      </c>
      <c r="I135" s="741">
        <v>0</v>
      </c>
      <c r="L135" s="12"/>
      <c r="M135" s="737" t="s">
        <v>389</v>
      </c>
      <c r="N135" s="407" t="s">
        <v>101</v>
      </c>
      <c r="O135" s="741">
        <v>0</v>
      </c>
      <c r="R135" s="12"/>
      <c r="S135" s="177"/>
      <c r="T135" s="338"/>
      <c r="U135" s="339"/>
      <c r="Y135" s="12"/>
    </row>
    <row r="136" spans="1:25" ht="12.75" customHeight="1">
      <c r="A136" s="737" t="s">
        <v>391</v>
      </c>
      <c r="B136" s="748" t="s">
        <v>468</v>
      </c>
      <c r="C136" s="739">
        <f>IF(C133=0,0,INDEX('Development Program'!$C$58:$L$62,5,MATCH($D$2,'Development Program'!$C$58:$L$58,0))/INDEX('Development Program'!$L$9:$M$18,MATCH($D$2,'Development Program'!$L$9:$L$18,0),2))</f>
        <v>269636.39999999997</v>
      </c>
      <c r="F136" s="12"/>
      <c r="G136" s="737" t="s">
        <v>391</v>
      </c>
      <c r="H136" s="748" t="s">
        <v>468</v>
      </c>
      <c r="I136" s="739">
        <f>IF(I133=0,0,INDEX('Development Program'!$C$58:$L$62,5,MATCH($D$2,'Development Program'!$C$58:$L$58,0))/INDEX('Development Program'!$L$9:$M$18,MATCH($D$2,'Development Program'!$L$9:$L$18,0),2))</f>
        <v>269636.39999999997</v>
      </c>
      <c r="L136" s="12"/>
      <c r="M136" s="737" t="s">
        <v>391</v>
      </c>
      <c r="N136" s="748" t="s">
        <v>468</v>
      </c>
      <c r="O136" s="739">
        <f>IF(O133=0,0,INDEX('Development Program'!$C$58:$L$62,5,MATCH($D$2,'Development Program'!$C$58:$L$58,0))/INDEX('Development Program'!$L$9:$M$18,MATCH($D$2,'Development Program'!$L$9:$L$18,0),2))</f>
        <v>269636.39999999997</v>
      </c>
      <c r="R136" s="12"/>
      <c r="S136" s="177"/>
      <c r="T136" s="340"/>
      <c r="U136" s="179"/>
    </row>
    <row r="137" spans="1:25" ht="12.75" customHeight="1">
      <c r="A137" s="426" t="s">
        <v>16</v>
      </c>
      <c r="B137" s="748" t="s">
        <v>468</v>
      </c>
      <c r="C137" s="739">
        <f>IF(C133=0,0,INDEX('Development Program'!$D$40:$M$55,16,MATCH($D$2,'Development Program'!$D$40:$M$40,0))/INDEX('Development Program'!$L$9:$M$18,MATCH($D$2,'Development Program'!$L$9:$L$18,0),2))</f>
        <v>4910000</v>
      </c>
      <c r="F137" s="12"/>
      <c r="G137" s="426" t="s">
        <v>16</v>
      </c>
      <c r="H137" s="748" t="s">
        <v>468</v>
      </c>
      <c r="I137" s="739">
        <f>IF(I133=0,0,INDEX('Development Program'!$D$40:$M$55,16,MATCH($D$2,'Development Program'!$D$40:$M$40,0))/INDEX('Development Program'!$L$9:$M$18,MATCH($D$2,'Development Program'!$L$9:$L$18,0),2))</f>
        <v>4910000</v>
      </c>
      <c r="L137" s="12"/>
      <c r="M137" s="426" t="s">
        <v>16</v>
      </c>
      <c r="N137" s="748" t="s">
        <v>468</v>
      </c>
      <c r="O137" s="739">
        <f>IF(O133=0,0,INDEX('Development Program'!$D$40:$M$55,16,MATCH($D$2,'Development Program'!$D$40:$M$40,0))/INDEX('Development Program'!$L$9:$M$18,MATCH($D$2,'Development Program'!$L$9:$L$18,0),2))</f>
        <v>4910000</v>
      </c>
      <c r="R137" s="12"/>
    </row>
    <row r="138" spans="1:25" ht="12.75" customHeight="1">
      <c r="A138" s="737" t="s">
        <v>79</v>
      </c>
      <c r="B138" s="409">
        <f>Assumptions!$E$20</f>
        <v>0.02</v>
      </c>
      <c r="C138" s="739">
        <f>B138*(C$133)</f>
        <v>430024.18000000011</v>
      </c>
      <c r="F138" s="12"/>
      <c r="G138" s="737" t="s">
        <v>79</v>
      </c>
      <c r="H138" s="409">
        <f>Assumptions!$E$20</f>
        <v>0.02</v>
      </c>
      <c r="I138" s="739">
        <f>H138*(I$133)</f>
        <v>695491.20000000007</v>
      </c>
      <c r="L138" s="12"/>
      <c r="M138" s="737" t="s">
        <v>79</v>
      </c>
      <c r="N138" s="409">
        <f>Assumptions!$E$20</f>
        <v>0.02</v>
      </c>
      <c r="O138" s="739">
        <f>N138*(O$133)</f>
        <v>215291</v>
      </c>
      <c r="R138" s="12"/>
      <c r="S138" s="177"/>
      <c r="T138" s="341"/>
      <c r="U138" s="286"/>
    </row>
    <row r="139" spans="1:25" ht="12.75" customHeight="1">
      <c r="A139" s="730" t="s">
        <v>83</v>
      </c>
      <c r="B139" s="409">
        <f>Assumptions!$E$22</f>
        <v>1.4999999999999999E-2</v>
      </c>
      <c r="C139" s="739">
        <f>B139*(C$133)</f>
        <v>322518.13500000007</v>
      </c>
      <c r="F139" s="12"/>
      <c r="G139" s="730" t="s">
        <v>83</v>
      </c>
      <c r="H139" s="409">
        <f>Assumptions!$E$22</f>
        <v>1.4999999999999999E-2</v>
      </c>
      <c r="I139" s="739">
        <f>H139*(I$133)</f>
        <v>521618.39999999997</v>
      </c>
      <c r="L139" s="12"/>
      <c r="M139" s="730" t="s">
        <v>83</v>
      </c>
      <c r="N139" s="409">
        <f>Assumptions!$E$22</f>
        <v>1.4999999999999999E-2</v>
      </c>
      <c r="O139" s="739">
        <f>N139*(O$133)</f>
        <v>161468.25</v>
      </c>
      <c r="R139" s="12"/>
      <c r="S139" s="12"/>
      <c r="T139" s="341"/>
      <c r="U139" s="286"/>
    </row>
    <row r="140" spans="1:25" ht="12.75" customHeight="1">
      <c r="A140" s="730" t="s">
        <v>84</v>
      </c>
      <c r="B140" s="564">
        <f>Assumptions!$E$23</f>
        <v>2.5000000000000001E-2</v>
      </c>
      <c r="C140" s="739">
        <f>IF(D34=0,0,B140*$B$10)</f>
        <v>20222.73</v>
      </c>
      <c r="F140" s="12"/>
      <c r="G140" s="730" t="s">
        <v>84</v>
      </c>
      <c r="H140" s="564">
        <f>Assumptions!$E$23</f>
        <v>2.5000000000000001E-2</v>
      </c>
      <c r="I140" s="739">
        <f>IF(J34=0,0,H140*$B$10)</f>
        <v>20222.73</v>
      </c>
      <c r="L140" s="12"/>
      <c r="M140" s="730" t="s">
        <v>84</v>
      </c>
      <c r="N140" s="564">
        <f>Assumptions!$E$23</f>
        <v>2.5000000000000001E-2</v>
      </c>
      <c r="O140" s="739">
        <f>IF(P34=0,0,N140*$B$10)</f>
        <v>20222.73</v>
      </c>
      <c r="R140" s="12"/>
      <c r="S140" s="12"/>
      <c r="T140" s="26"/>
      <c r="U140" s="339"/>
    </row>
    <row r="141" spans="1:25" ht="12.75" customHeight="1">
      <c r="A141" s="730" t="s">
        <v>85</v>
      </c>
      <c r="B141" s="409">
        <f>Assumptions!$E$24</f>
        <v>0.02</v>
      </c>
      <c r="C141" s="739">
        <f>B141*(C133)</f>
        <v>430024.18000000011</v>
      </c>
      <c r="F141" s="12"/>
      <c r="G141" s="730" t="s">
        <v>85</v>
      </c>
      <c r="H141" s="409">
        <f>Assumptions!$E$24</f>
        <v>0.02</v>
      </c>
      <c r="I141" s="739">
        <f>H141*(I133)</f>
        <v>695491.20000000007</v>
      </c>
      <c r="L141" s="12"/>
      <c r="M141" s="730" t="s">
        <v>85</v>
      </c>
      <c r="N141" s="409">
        <f>Assumptions!$E$24</f>
        <v>0.02</v>
      </c>
      <c r="O141" s="739">
        <f>N141*(O133)</f>
        <v>215291</v>
      </c>
      <c r="R141" s="12"/>
      <c r="S141" s="12"/>
      <c r="T141" s="341"/>
      <c r="U141" s="286"/>
    </row>
    <row r="142" spans="1:25" ht="12.75" customHeight="1">
      <c r="A142" s="730" t="s">
        <v>86</v>
      </c>
      <c r="B142" s="409">
        <f>Assumptions!$E$25</f>
        <v>3.5000000000000003E-2</v>
      </c>
      <c r="C142" s="739">
        <f>B142*(C133)</f>
        <v>752542.31500000018</v>
      </c>
      <c r="F142" s="12"/>
      <c r="G142" s="730" t="s">
        <v>86</v>
      </c>
      <c r="H142" s="409">
        <f>Assumptions!$E$25</f>
        <v>3.5000000000000003E-2</v>
      </c>
      <c r="I142" s="739">
        <f>H142*(I133)</f>
        <v>1217109.6000000001</v>
      </c>
      <c r="L142" s="12"/>
      <c r="M142" s="730" t="s">
        <v>86</v>
      </c>
      <c r="N142" s="409">
        <f>Assumptions!$E$25</f>
        <v>3.5000000000000003E-2</v>
      </c>
      <c r="O142" s="739">
        <f>N142*(O133)</f>
        <v>376759.25000000006</v>
      </c>
      <c r="R142" s="12"/>
      <c r="S142" s="12"/>
      <c r="T142" s="341"/>
      <c r="U142" s="286"/>
    </row>
    <row r="143" spans="1:25" ht="12.75" customHeight="1">
      <c r="A143" s="730" t="s">
        <v>88</v>
      </c>
      <c r="B143" s="409">
        <f>Assumptions!$E$26</f>
        <v>0.02</v>
      </c>
      <c r="C143" s="739">
        <f>B143*(C133)</f>
        <v>430024.18000000011</v>
      </c>
      <c r="D143" s="276"/>
      <c r="E143" s="275"/>
      <c r="F143" s="12"/>
      <c r="G143" s="730" t="s">
        <v>88</v>
      </c>
      <c r="H143" s="409">
        <f>Assumptions!$E$26</f>
        <v>0.02</v>
      </c>
      <c r="I143" s="739">
        <f>H143*(I133)</f>
        <v>695491.20000000007</v>
      </c>
      <c r="J143" s="276"/>
      <c r="K143" s="275"/>
      <c r="L143" s="12"/>
      <c r="M143" s="730" t="s">
        <v>88</v>
      </c>
      <c r="N143" s="409">
        <f>Assumptions!$E$26</f>
        <v>0.02</v>
      </c>
      <c r="O143" s="739">
        <f>N143*(O133)</f>
        <v>215291</v>
      </c>
      <c r="P143" s="276"/>
      <c r="Q143" s="275"/>
      <c r="R143" s="12"/>
      <c r="S143" s="12"/>
      <c r="T143" s="341"/>
      <c r="U143" s="286"/>
      <c r="V143" s="276"/>
      <c r="W143" s="275"/>
    </row>
    <row r="144" spans="1:25" ht="12.75" customHeight="1">
      <c r="A144" s="730" t="s">
        <v>93</v>
      </c>
      <c r="B144" s="409">
        <f>Assumptions!$E$27</f>
        <v>0.05</v>
      </c>
      <c r="C144" s="739">
        <f>B144*C133</f>
        <v>1075060.4500000002</v>
      </c>
      <c r="D144" s="276"/>
      <c r="E144" s="275"/>
      <c r="F144" s="12"/>
      <c r="G144" s="730" t="s">
        <v>93</v>
      </c>
      <c r="H144" s="409">
        <f>Assumptions!$E$27</f>
        <v>0.05</v>
      </c>
      <c r="I144" s="739">
        <f>H144*I133</f>
        <v>1738728</v>
      </c>
      <c r="J144" s="276"/>
      <c r="K144" s="275"/>
      <c r="L144" s="12"/>
      <c r="M144" s="730" t="s">
        <v>93</v>
      </c>
      <c r="N144" s="409">
        <f>Assumptions!$E$27</f>
        <v>0.05</v>
      </c>
      <c r="O144" s="739">
        <f>N144*O133</f>
        <v>538227.5</v>
      </c>
      <c r="P144" s="276"/>
      <c r="Q144" s="275"/>
      <c r="R144" s="12"/>
      <c r="S144" s="12"/>
      <c r="T144" s="342"/>
      <c r="U144" s="286"/>
      <c r="V144" s="276"/>
      <c r="W144" s="275"/>
    </row>
    <row r="145" spans="1:23" ht="12.75" customHeight="1">
      <c r="A145" s="730" t="s">
        <v>97</v>
      </c>
      <c r="B145" s="409">
        <f>Assumptions!$E$28</f>
        <v>1.4999999999999999E-2</v>
      </c>
      <c r="C145" s="739">
        <f>B145*C133</f>
        <v>322518.13500000007</v>
      </c>
      <c r="D145" s="276"/>
      <c r="E145" s="275"/>
      <c r="F145" s="12"/>
      <c r="G145" s="730" t="s">
        <v>97</v>
      </c>
      <c r="H145" s="409">
        <f>Assumptions!$E$28</f>
        <v>1.4999999999999999E-2</v>
      </c>
      <c r="I145" s="739">
        <f>H145*I133</f>
        <v>521618.39999999997</v>
      </c>
      <c r="J145" s="276"/>
      <c r="K145" s="275"/>
      <c r="L145" s="12"/>
      <c r="M145" s="730" t="s">
        <v>97</v>
      </c>
      <c r="N145" s="409">
        <f>Assumptions!$E$28</f>
        <v>1.4999999999999999E-2</v>
      </c>
      <c r="O145" s="739">
        <f>N145*O133</f>
        <v>161468.25</v>
      </c>
      <c r="P145" s="276"/>
      <c r="Q145" s="275"/>
      <c r="R145" s="12"/>
      <c r="S145" s="12"/>
      <c r="T145" s="341"/>
      <c r="U145" s="286"/>
      <c r="V145" s="276"/>
      <c r="W145" s="275"/>
    </row>
    <row r="146" spans="1:23" ht="12.75" customHeight="1">
      <c r="A146" s="730" t="s">
        <v>100</v>
      </c>
      <c r="B146" s="410" t="s">
        <v>101</v>
      </c>
      <c r="C146" s="741">
        <v>0</v>
      </c>
      <c r="F146" s="12"/>
      <c r="G146" s="730" t="s">
        <v>100</v>
      </c>
      <c r="H146" s="410" t="s">
        <v>101</v>
      </c>
      <c r="I146" s="741">
        <v>300000</v>
      </c>
      <c r="L146" s="12"/>
      <c r="M146" s="730" t="s">
        <v>100</v>
      </c>
      <c r="N146" s="410" t="s">
        <v>101</v>
      </c>
      <c r="O146" s="741">
        <v>0</v>
      </c>
      <c r="R146" s="12"/>
      <c r="S146" s="12"/>
      <c r="T146" s="26"/>
      <c r="U146" s="339"/>
    </row>
    <row r="147" spans="1:23" ht="12.75" customHeight="1">
      <c r="A147" s="730" t="s">
        <v>103</v>
      </c>
      <c r="B147" s="411">
        <f>Assumptions!$E$30</f>
        <v>6</v>
      </c>
      <c r="C147" s="739">
        <f>-B147*(E128/6)</f>
        <v>1033549.9199999999</v>
      </c>
      <c r="F147" s="12"/>
      <c r="G147" s="730" t="s">
        <v>103</v>
      </c>
      <c r="H147" s="411">
        <f>Assumptions!$E$30</f>
        <v>6</v>
      </c>
      <c r="I147" s="739">
        <f>-H147*(K128/6)</f>
        <v>838314</v>
      </c>
      <c r="L147" s="12"/>
      <c r="M147" s="730" t="s">
        <v>103</v>
      </c>
      <c r="N147" s="411">
        <f>Assumptions!$E$30</f>
        <v>6</v>
      </c>
      <c r="O147" s="739">
        <f>-N147*(Q128/6)</f>
        <v>0</v>
      </c>
      <c r="R147" s="12"/>
      <c r="S147" s="12"/>
      <c r="T147" s="343"/>
      <c r="U147" s="286"/>
    </row>
    <row r="148" spans="1:23" ht="12.75" customHeight="1">
      <c r="A148" s="730" t="s">
        <v>106</v>
      </c>
      <c r="B148" s="742">
        <f>Assumptions!$E$31</f>
        <v>30</v>
      </c>
      <c r="C148" s="739">
        <f>B148*SUM(C93,C97)</f>
        <v>0</v>
      </c>
      <c r="G148" s="730" t="s">
        <v>106</v>
      </c>
      <c r="H148" s="742">
        <f>Assumptions!$E$31</f>
        <v>30</v>
      </c>
      <c r="I148" s="739">
        <f>H148*SUM(I93,I97)</f>
        <v>0</v>
      </c>
      <c r="L148" s="12"/>
      <c r="M148" s="730" t="s">
        <v>106</v>
      </c>
      <c r="N148" s="742">
        <f>Assumptions!$E$31</f>
        <v>30</v>
      </c>
      <c r="O148" s="739">
        <f>N148*SUM(O93,O97)</f>
        <v>0</v>
      </c>
      <c r="R148" s="12"/>
      <c r="S148" s="12"/>
      <c r="T148" s="303"/>
      <c r="U148" s="286"/>
    </row>
    <row r="149" spans="1:23" ht="12.75" customHeight="1">
      <c r="A149" s="730" t="s">
        <v>403</v>
      </c>
      <c r="B149" s="563">
        <f>Assumptions!$E$32</f>
        <v>0.03</v>
      </c>
      <c r="C149" s="731">
        <f>B149*SUM(E93,E97)</f>
        <v>0</v>
      </c>
      <c r="G149" s="730" t="s">
        <v>403</v>
      </c>
      <c r="H149" s="563">
        <f>Assumptions!$E$32</f>
        <v>0.03</v>
      </c>
      <c r="I149" s="731">
        <f>H149*SUM(K93,K97)</f>
        <v>0</v>
      </c>
      <c r="M149" s="730" t="s">
        <v>403</v>
      </c>
      <c r="N149" s="563">
        <f>Assumptions!$E$32</f>
        <v>0.03</v>
      </c>
      <c r="O149" s="731">
        <f>N149*SUM(Q93,Q97)</f>
        <v>0</v>
      </c>
      <c r="S149" s="12"/>
      <c r="T149" s="344"/>
      <c r="U149" s="345"/>
    </row>
    <row r="150" spans="1:23" ht="12.75" customHeight="1">
      <c r="A150" s="730" t="s">
        <v>112</v>
      </c>
      <c r="B150" s="732">
        <f>Assumptions!$E$33</f>
        <v>1.4999999999999999E-2</v>
      </c>
      <c r="C150" s="733">
        <f>B150*SUM(C138:C149,C135,C152,C153)</f>
        <v>98527.263375000024</v>
      </c>
      <c r="D150" s="18"/>
      <c r="E150" s="18"/>
      <c r="G150" s="730" t="s">
        <v>112</v>
      </c>
      <c r="H150" s="732">
        <f>Assumptions!$E$33</f>
        <v>1.4999999999999999E-2</v>
      </c>
      <c r="I150" s="733">
        <f>H150*SUM(I138:I149,I135,I152,I153)</f>
        <v>149341.27095000001</v>
      </c>
      <c r="J150" s="18"/>
      <c r="K150" s="18"/>
      <c r="M150" s="730" t="s">
        <v>112</v>
      </c>
      <c r="N150" s="732">
        <f>Assumptions!$E$33</f>
        <v>1.4999999999999999E-2</v>
      </c>
      <c r="O150" s="733">
        <f>N150*SUM(O138:O149,O135,O152,O153)</f>
        <v>42330.284699999997</v>
      </c>
      <c r="P150" s="18"/>
      <c r="Q150" s="18"/>
      <c r="S150" s="12"/>
      <c r="T150" s="346"/>
      <c r="U150" s="339"/>
      <c r="V150" s="347"/>
      <c r="W150" s="347"/>
    </row>
    <row r="151" spans="1:23" ht="12.75" customHeight="1">
      <c r="A151" s="730" t="s">
        <v>165</v>
      </c>
      <c r="B151" s="732" t="s">
        <v>468</v>
      </c>
      <c r="C151" s="733">
        <f>IF(C133=0,0,-INDEX('Development Program'!$C$30:$L$37,8,MATCH($D$2,'Development Program'!$C$30:$L$30,0))/INDEX('Development Program'!$L$9:$M$18,MATCH($D$2,'Development Program'!$L$9:$L$18,0),2))</f>
        <v>-2722222.2222222225</v>
      </c>
      <c r="D151" s="18"/>
      <c r="E151" s="18"/>
      <c r="G151" s="730" t="s">
        <v>165</v>
      </c>
      <c r="H151" s="732" t="s">
        <v>468</v>
      </c>
      <c r="I151" s="733">
        <f>IF(I133=0,0,-INDEX('Development Program'!$C$30:$L$37,8,MATCH($D$2,'Development Program'!$C$30:$L$30,0))/INDEX('Development Program'!$L$9:$M$18,MATCH($D$2,'Development Program'!$L$9:$L$18,0),2))</f>
        <v>-2722222.2222222225</v>
      </c>
      <c r="J151" s="18"/>
      <c r="K151" s="18"/>
      <c r="M151" s="730" t="s">
        <v>165</v>
      </c>
      <c r="N151" s="732" t="s">
        <v>468</v>
      </c>
      <c r="O151" s="733">
        <f>IF(O133=0,0,-INDEX('Development Program'!$C$30:$L$37,8,MATCH($D$2,'Development Program'!$C$30:$L$30,0))/INDEX('Development Program'!$L$9:$M$18,MATCH($D$2,'Development Program'!$L$9:$L$18,0),2))</f>
        <v>-2722222.2222222225</v>
      </c>
      <c r="P151" s="18"/>
      <c r="Q151" s="18"/>
      <c r="S151" s="12"/>
      <c r="T151" s="346"/>
      <c r="U151" s="339"/>
      <c r="V151" s="347"/>
      <c r="W151" s="347"/>
    </row>
    <row r="152" spans="1:23" ht="12.75" customHeight="1">
      <c r="A152" s="426" t="s">
        <v>38</v>
      </c>
      <c r="B152" s="732">
        <f>Assumptions!$L$5</f>
        <v>5.0000000000000001E-3</v>
      </c>
      <c r="C152" s="741">
        <v>103000</v>
      </c>
      <c r="D152" s="18">
        <f>C152/B$157</f>
        <v>4.9986770914936789E-3</v>
      </c>
      <c r="E152" s="18"/>
      <c r="G152" s="426" t="s">
        <v>38</v>
      </c>
      <c r="H152" s="732">
        <f>Assumptions!$L$5</f>
        <v>5.0000000000000001E-3</v>
      </c>
      <c r="I152" s="741">
        <v>160000</v>
      </c>
      <c r="J152" s="18">
        <f>I152/H$157</f>
        <v>5.0157552213041618E-3</v>
      </c>
      <c r="K152" s="18"/>
      <c r="M152" s="426" t="s">
        <v>38</v>
      </c>
      <c r="N152" s="732">
        <f>Assumptions!$L$5</f>
        <v>5.0000000000000001E-3</v>
      </c>
      <c r="O152" s="741">
        <v>54000</v>
      </c>
      <c r="P152" s="18">
        <f>O152/N$157</f>
        <v>4.9972461413747178E-3</v>
      </c>
      <c r="Q152" s="18"/>
      <c r="S152" s="12"/>
      <c r="T152" s="346"/>
      <c r="U152" s="339"/>
      <c r="V152" s="347"/>
      <c r="W152" s="347"/>
    </row>
    <row r="153" spans="1:23" ht="12.75" customHeight="1">
      <c r="A153" s="426" t="s">
        <v>407</v>
      </c>
      <c r="B153" s="732">
        <f>Assumptions!$L$4</f>
        <v>0.08</v>
      </c>
      <c r="C153" s="741">
        <v>1649000</v>
      </c>
      <c r="D153" s="18">
        <f>C153/B$157</f>
        <v>8.0027364309447346E-2</v>
      </c>
      <c r="E153" s="18"/>
      <c r="G153" s="426" t="s">
        <v>407</v>
      </c>
      <c r="H153" s="732">
        <f>Assumptions!$L$4</f>
        <v>0.08</v>
      </c>
      <c r="I153" s="741">
        <v>2552000</v>
      </c>
      <c r="J153" s="18">
        <f>I153/H$157</f>
        <v>8.0001295779801376E-2</v>
      </c>
      <c r="K153" s="18"/>
      <c r="M153" s="426" t="s">
        <v>407</v>
      </c>
      <c r="N153" s="732">
        <f>Assumptions!$L$4</f>
        <v>0.08</v>
      </c>
      <c r="O153" s="741">
        <v>864000</v>
      </c>
      <c r="P153" s="18">
        <f>O153/N$157</f>
        <v>7.9955938261995485E-2</v>
      </c>
      <c r="Q153" s="18"/>
      <c r="S153" s="12"/>
      <c r="T153" s="346"/>
      <c r="U153" s="339"/>
      <c r="V153" s="347"/>
      <c r="W153" s="347"/>
    </row>
    <row r="154" spans="1:23" ht="12.75" customHeight="1">
      <c r="A154" s="743" t="s">
        <v>408</v>
      </c>
      <c r="B154" s="744"/>
      <c r="C154" s="745">
        <f>SUM(C133:C153)</f>
        <v>31700695.116152778</v>
      </c>
      <c r="D154" s="18"/>
      <c r="E154" s="18"/>
      <c r="G154" s="743" t="s">
        <v>408</v>
      </c>
      <c r="H154" s="744"/>
      <c r="I154" s="745">
        <f>SUM(I133:I153)</f>
        <v>49076128.178727776</v>
      </c>
      <c r="J154" s="18"/>
      <c r="K154" s="18"/>
      <c r="M154" s="743" t="s">
        <v>408</v>
      </c>
      <c r="N154" s="744"/>
      <c r="O154" s="745">
        <f>SUM(O133:O153)</f>
        <v>16624540.942477776</v>
      </c>
      <c r="P154" s="18"/>
      <c r="Q154" s="18"/>
    </row>
    <row r="155" spans="1:23" ht="12.75" customHeight="1" thickBot="1">
      <c r="A155" s="328"/>
      <c r="C155" s="167"/>
      <c r="D155" s="746"/>
      <c r="E155" s="746"/>
      <c r="G155" s="328"/>
      <c r="I155" s="167"/>
      <c r="J155" s="746"/>
      <c r="K155" s="746"/>
      <c r="M155" s="328"/>
      <c r="O155" s="167"/>
      <c r="P155" s="746"/>
      <c r="Q155" s="746"/>
    </row>
    <row r="156" spans="1:23" ht="12.75" customHeight="1">
      <c r="A156" s="1021" t="s">
        <v>23</v>
      </c>
      <c r="B156" s="1022"/>
      <c r="C156" s="167"/>
      <c r="D156" s="18"/>
      <c r="E156" s="18"/>
      <c r="G156" s="1021" t="s">
        <v>23</v>
      </c>
      <c r="H156" s="1022"/>
      <c r="I156" s="167"/>
      <c r="J156" s="18"/>
      <c r="K156" s="18"/>
      <c r="M156" s="1021" t="s">
        <v>23</v>
      </c>
      <c r="N156" s="1022"/>
      <c r="O156" s="167"/>
      <c r="P156" s="18"/>
      <c r="Q156" s="18"/>
    </row>
    <row r="157" spans="1:23" ht="12.75" customHeight="1">
      <c r="A157" s="840">
        <f>IFERROR(INDEX(Assumptions!$J$11:$L$23,MATCH('1-B Financial'!B$34,Assumptions!$J$11:$J$23,0),3),0)</f>
        <v>0.65</v>
      </c>
      <c r="B157" s="747">
        <f>C154*A157</f>
        <v>20605451.825499307</v>
      </c>
      <c r="C157" s="167"/>
      <c r="D157" s="18"/>
      <c r="E157" s="18"/>
      <c r="G157" s="840">
        <f>IFERROR(INDEX(Assumptions!$J$11:$L$23,MATCH('1-B Financial'!H$34,Assumptions!$J$11:$J$23,0),3),0)</f>
        <v>0.65</v>
      </c>
      <c r="H157" s="747">
        <f>I154*G157</f>
        <v>31899483.316173054</v>
      </c>
      <c r="I157" s="167"/>
      <c r="J157" s="18"/>
      <c r="K157" s="18"/>
      <c r="M157" s="840">
        <f>IFERROR(INDEX(Assumptions!$J$11:$L$23,MATCH('1-B Financial'!N$34,Assumptions!$J$11:$J$23,0),3),0)</f>
        <v>0.65</v>
      </c>
      <c r="N157" s="747">
        <f>O154*M157</f>
        <v>10805951.612610554</v>
      </c>
      <c r="O157" s="167"/>
      <c r="P157" s="18"/>
      <c r="Q157" s="18"/>
    </row>
    <row r="158" spans="1:23" ht="12.75" customHeight="1">
      <c r="A158" s="841">
        <f>1-A157</f>
        <v>0.35</v>
      </c>
      <c r="B158" s="747">
        <f>C154*A158</f>
        <v>11095243.290653471</v>
      </c>
      <c r="C158" s="167"/>
      <c r="D158" s="18"/>
      <c r="E158" s="18"/>
      <c r="G158" s="841">
        <f>1-G157</f>
        <v>0.35</v>
      </c>
      <c r="H158" s="747">
        <f>I154*G158</f>
        <v>17176644.862554722</v>
      </c>
      <c r="I158" s="167"/>
      <c r="J158" s="18"/>
      <c r="K158" s="18"/>
      <c r="M158" s="841">
        <f>1-M157</f>
        <v>0.35</v>
      </c>
      <c r="N158" s="747">
        <f>O154*M158</f>
        <v>5818589.3298672214</v>
      </c>
      <c r="O158" s="167"/>
      <c r="P158" s="18"/>
      <c r="Q158" s="18"/>
    </row>
    <row r="159" spans="1:23" ht="12.75" customHeight="1" thickBot="1">
      <c r="S159" s="12"/>
      <c r="T159" s="349"/>
      <c r="U159" s="339"/>
      <c r="V159" s="347"/>
      <c r="W159" s="347"/>
    </row>
    <row r="160" spans="1:23" ht="13.5" thickBot="1">
      <c r="A160" s="1021" t="s">
        <v>469</v>
      </c>
      <c r="B160" s="1022"/>
      <c r="D160" s="18"/>
      <c r="G160" s="1021" t="s">
        <v>469</v>
      </c>
      <c r="H160" s="1022"/>
      <c r="J160" s="18"/>
      <c r="M160" s="1021" t="s">
        <v>469</v>
      </c>
      <c r="N160" s="1022"/>
      <c r="P160" s="18"/>
      <c r="S160" s="328"/>
      <c r="U160" s="167"/>
    </row>
    <row r="161" spans="1:22" ht="13.5" thickBot="1">
      <c r="A161" s="565" t="s">
        <v>470</v>
      </c>
      <c r="B161" s="566"/>
      <c r="C161" s="12"/>
      <c r="D161" s="346"/>
      <c r="E161" s="339"/>
      <c r="G161" s="565" t="s">
        <v>470</v>
      </c>
      <c r="H161" s="566"/>
      <c r="I161" s="12"/>
      <c r="J161" s="12"/>
      <c r="K161" s="346"/>
      <c r="L161" s="339"/>
      <c r="M161" s="565" t="s">
        <v>470</v>
      </c>
      <c r="N161" s="566"/>
      <c r="O161" s="12"/>
      <c r="P161" s="12"/>
      <c r="Q161" s="346"/>
      <c r="R161" s="339"/>
      <c r="S161" s="274"/>
      <c r="T161" s="274"/>
      <c r="V161" s="347"/>
    </row>
    <row r="162" spans="1:22" ht="12.95">
      <c r="A162" s="358" t="s">
        <v>471</v>
      </c>
      <c r="B162" s="359">
        <f>E63+E80+E101</f>
        <v>0</v>
      </c>
      <c r="D162" s="281"/>
      <c r="G162" s="358" t="s">
        <v>471</v>
      </c>
      <c r="H162" s="359">
        <f>K63+K80+K101</f>
        <v>0</v>
      </c>
      <c r="J162" s="281"/>
      <c r="M162" s="358" t="s">
        <v>471</v>
      </c>
      <c r="N162" s="359">
        <f>Q63+Q80+Q101</f>
        <v>0</v>
      </c>
      <c r="P162" s="281"/>
      <c r="S162" s="137"/>
      <c r="T162" s="281"/>
      <c r="V162" s="129"/>
    </row>
    <row r="163" spans="1:22" ht="12.95">
      <c r="A163" s="479">
        <v>0.03</v>
      </c>
      <c r="B163" s="480">
        <f>-B162*A163</f>
        <v>0</v>
      </c>
      <c r="D163" s="167"/>
      <c r="G163" s="479">
        <v>0.03</v>
      </c>
      <c r="H163" s="480">
        <f>-H162*G163</f>
        <v>0</v>
      </c>
      <c r="J163" s="167"/>
      <c r="M163" s="479">
        <v>0.03</v>
      </c>
      <c r="N163" s="480">
        <f>-N162*M163</f>
        <v>0</v>
      </c>
      <c r="P163" s="167"/>
      <c r="S163" s="277"/>
      <c r="T163" s="288"/>
      <c r="V163" s="281"/>
    </row>
    <row r="164" spans="1:22" ht="13.5" thickBot="1">
      <c r="A164" s="414" t="s">
        <v>472</v>
      </c>
      <c r="B164" s="481">
        <f>SUM(B162:B163)</f>
        <v>0</v>
      </c>
      <c r="G164" s="414" t="s">
        <v>472</v>
      </c>
      <c r="H164" s="481">
        <f>SUM(H162:H163)</f>
        <v>0</v>
      </c>
      <c r="M164" s="414" t="s">
        <v>472</v>
      </c>
      <c r="N164" s="481">
        <f>SUM(N162:N163)</f>
        <v>0</v>
      </c>
      <c r="S164" s="280"/>
      <c r="T164" s="350"/>
      <c r="V164" s="167"/>
    </row>
    <row r="165" spans="1:22" ht="13.5" thickBot="1">
      <c r="A165" s="1023" t="s">
        <v>473</v>
      </c>
      <c r="B165" s="1024"/>
      <c r="G165" s="1023" t="s">
        <v>473</v>
      </c>
      <c r="H165" s="1024"/>
      <c r="M165" s="1023" t="s">
        <v>473</v>
      </c>
      <c r="N165" s="1024"/>
      <c r="S165" s="277"/>
      <c r="T165" s="351"/>
    </row>
    <row r="166" spans="1:22" ht="12.95">
      <c r="A166" s="360" t="s">
        <v>474</v>
      </c>
      <c r="B166" s="567">
        <f>IFERROR(INDEX(Assumptions!$J$64:$L$76,MATCH('1-B Financial'!B$34,Assumptions!$J$64:$J$76,0),3),0)</f>
        <v>0.04</v>
      </c>
      <c r="G166" s="360" t="s">
        <v>474</v>
      </c>
      <c r="H166" s="567">
        <f>IFERROR(INDEX(Assumptions!$J$64:$L$76,MATCH('1-B Financial'!H$34,Assumptions!$J$64:$J$76,0),3),0)</f>
        <v>0.05</v>
      </c>
      <c r="M166" s="360" t="s">
        <v>474</v>
      </c>
      <c r="N166" s="567">
        <f>IFERROR(INDEX(Assumptions!$J$64:$L$76,MATCH('1-B Financial'!N$34,Assumptions!$J$64:$J$76,0),3),0)</f>
        <v>4.4999999999999998E-2</v>
      </c>
      <c r="S166" s="277"/>
      <c r="T166" s="351"/>
    </row>
    <row r="167" spans="1:22" ht="12.95">
      <c r="A167" s="482" t="s">
        <v>475</v>
      </c>
      <c r="B167" s="483">
        <f>IFERROR(E$129/B$166,0)</f>
        <v>58567828.800000004</v>
      </c>
      <c r="C167" s="279"/>
      <c r="G167" s="482" t="s">
        <v>475</v>
      </c>
      <c r="H167" s="483">
        <f>IFERROR(K$129/H$166,0)</f>
        <v>50500367.999999993</v>
      </c>
      <c r="I167" s="279"/>
      <c r="M167" s="482" t="s">
        <v>475</v>
      </c>
      <c r="N167" s="483">
        <f>IFERROR(Q$129/N$166,0)</f>
        <v>19042233.333333336</v>
      </c>
      <c r="O167" s="279"/>
      <c r="S167" s="277"/>
      <c r="T167" s="351"/>
    </row>
    <row r="168" spans="1:22" ht="12.95">
      <c r="A168" s="408" t="s">
        <v>476</v>
      </c>
      <c r="B168" s="484">
        <f>IFERROR(B166-1%,0)</f>
        <v>0.03</v>
      </c>
      <c r="C168" s="288"/>
      <c r="F168" s="18"/>
      <c r="G168" s="408" t="s">
        <v>476</v>
      </c>
      <c r="H168" s="484">
        <f>IFERROR(H166-1%,0)</f>
        <v>0.04</v>
      </c>
      <c r="I168" s="288"/>
      <c r="L168" s="18"/>
      <c r="M168" s="408" t="s">
        <v>476</v>
      </c>
      <c r="N168" s="484">
        <f>IFERROR(N166-1%,0)</f>
        <v>3.4999999999999996E-2</v>
      </c>
      <c r="O168" s="288"/>
      <c r="R168" s="18"/>
      <c r="S168" s="352"/>
      <c r="T168" s="281"/>
    </row>
    <row r="169" spans="1:22" ht="12.95">
      <c r="A169" s="408" t="s">
        <v>127</v>
      </c>
      <c r="B169" s="872">
        <f>IFERROR(INDEX(Assumptions!$J$48:$L$60,MATCH('1-B Financial'!B$34,Assumptions!$J$48:$J$60,0),3),0)</f>
        <v>0.02</v>
      </c>
      <c r="F169" s="18"/>
      <c r="G169" s="408" t="s">
        <v>127</v>
      </c>
      <c r="H169" s="872">
        <f>IFERROR(INDEX(Assumptions!$J$48:$L$60,MATCH('1-B Financial'!H$34,Assumptions!$J$48:$J$60,0),3),0)</f>
        <v>0.03</v>
      </c>
      <c r="L169" s="18"/>
      <c r="M169" s="408" t="s">
        <v>127</v>
      </c>
      <c r="N169" s="872">
        <f>IFERROR(INDEX(Assumptions!$J$48:$L$60,MATCH('1-B Financial'!N$34,Assumptions!$J$48:$J$60,0),3),0)</f>
        <v>0.02</v>
      </c>
      <c r="R169" s="18"/>
      <c r="S169" s="352"/>
      <c r="T169" s="281"/>
    </row>
    <row r="170" spans="1:22" ht="12.95">
      <c r="A170" s="408" t="s">
        <v>125</v>
      </c>
      <c r="B170" s="485">
        <f>Assumptions!$L$41</f>
        <v>5</v>
      </c>
      <c r="D170" s="279"/>
      <c r="F170" s="18"/>
      <c r="G170" s="408" t="s">
        <v>125</v>
      </c>
      <c r="H170" s="485">
        <f>Assumptions!$L$41</f>
        <v>5</v>
      </c>
      <c r="J170" s="279"/>
      <c r="L170" s="18"/>
      <c r="M170" s="408" t="s">
        <v>125</v>
      </c>
      <c r="N170" s="485">
        <f>Assumptions!$L$41</f>
        <v>5</v>
      </c>
      <c r="P170" s="279"/>
      <c r="R170" s="18"/>
      <c r="S170" s="352"/>
      <c r="T170" s="281"/>
    </row>
    <row r="171" spans="1:22" ht="12.95">
      <c r="A171" s="408" t="s">
        <v>386</v>
      </c>
      <c r="B171" s="419">
        <f>(E$129*(1+B$169)^(B$170+1))</f>
        <v>2638275.5108979116</v>
      </c>
      <c r="D171" s="279"/>
      <c r="F171" s="18"/>
      <c r="G171" s="408" t="s">
        <v>386</v>
      </c>
      <c r="H171" s="419">
        <f>(K$129*(1+H$169)^(H$170+1))</f>
        <v>3015004.0192979807</v>
      </c>
      <c r="J171" s="279"/>
      <c r="L171" s="18"/>
      <c r="M171" s="408" t="s">
        <v>386</v>
      </c>
      <c r="N171" s="419">
        <f>(Q$129*(1+N$169)^(N$170+1))</f>
        <v>965009.1401485313</v>
      </c>
      <c r="P171" s="279"/>
      <c r="R171" s="18"/>
      <c r="S171" s="352"/>
      <c r="T171" s="281"/>
    </row>
    <row r="172" spans="1:22" ht="12.95">
      <c r="A172" s="418" t="s">
        <v>477</v>
      </c>
      <c r="B172" s="483">
        <f>IFERROR(B171/B$168,0)</f>
        <v>87942517.029930398</v>
      </c>
      <c r="C172" s="357"/>
      <c r="D172" s="279"/>
      <c r="F172" s="18"/>
      <c r="G172" s="418" t="s">
        <v>477</v>
      </c>
      <c r="H172" s="483">
        <f>IFERROR(H171/H$168,0)</f>
        <v>75375100.482449517</v>
      </c>
      <c r="I172" s="357"/>
      <c r="J172" s="279"/>
      <c r="L172" s="18"/>
      <c r="M172" s="418" t="s">
        <v>477</v>
      </c>
      <c r="N172" s="483">
        <f>IFERROR(N171/N$168,0)</f>
        <v>27571689.71852947</v>
      </c>
      <c r="O172" s="357"/>
      <c r="P172" s="279"/>
      <c r="R172" s="18"/>
      <c r="S172" s="352"/>
      <c r="T172" s="281"/>
    </row>
    <row r="173" spans="1:22" ht="12.95">
      <c r="A173" s="412" t="s">
        <v>471</v>
      </c>
      <c r="B173" s="486">
        <f>B172</f>
        <v>87942517.029930398</v>
      </c>
      <c r="F173" s="18"/>
      <c r="G173" s="412" t="s">
        <v>471</v>
      </c>
      <c r="H173" s="486">
        <f>H172</f>
        <v>75375100.482449517</v>
      </c>
      <c r="L173" s="18"/>
      <c r="M173" s="412" t="s">
        <v>471</v>
      </c>
      <c r="N173" s="486">
        <f>N172</f>
        <v>27571689.71852947</v>
      </c>
      <c r="R173" s="18"/>
      <c r="S173" s="352"/>
      <c r="T173" s="281"/>
    </row>
    <row r="174" spans="1:22" ht="12.95">
      <c r="A174" s="479">
        <v>0.03</v>
      </c>
      <c r="B174" s="413">
        <f>-A$174*B$167</f>
        <v>-1757034.8640000001</v>
      </c>
      <c r="D174" s="167"/>
      <c r="G174" s="479">
        <v>0.03</v>
      </c>
      <c r="H174" s="413">
        <f>-G$174*H$167</f>
        <v>-1515011.0399999998</v>
      </c>
      <c r="J174" s="167"/>
      <c r="M174" s="479">
        <v>0.03</v>
      </c>
      <c r="N174" s="413">
        <f>-M$174*N$167</f>
        <v>-571267</v>
      </c>
      <c r="P174" s="167"/>
      <c r="S174" s="353"/>
      <c r="T174" s="283"/>
    </row>
    <row r="175" spans="1:22" ht="13.5" thickBot="1">
      <c r="A175" s="414" t="s">
        <v>472</v>
      </c>
      <c r="B175" s="415">
        <f>SUM(B173:B174)</f>
        <v>86185482.16593039</v>
      </c>
      <c r="D175" s="283"/>
      <c r="E175" s="274"/>
      <c r="G175" s="414" t="s">
        <v>472</v>
      </c>
      <c r="H175" s="415">
        <f>SUM(H173:H174)</f>
        <v>73860089.44244951</v>
      </c>
      <c r="J175" s="283"/>
      <c r="K175" s="274"/>
      <c r="M175" s="414" t="s">
        <v>472</v>
      </c>
      <c r="N175" s="415">
        <f>SUM(N173:N174)</f>
        <v>27000422.71852947</v>
      </c>
      <c r="P175" s="283"/>
      <c r="Q175" s="274"/>
      <c r="S175" s="277"/>
      <c r="T175" s="288"/>
      <c r="V175" s="167"/>
    </row>
    <row r="176" spans="1:22" ht="13.5" thickBot="1">
      <c r="A176" s="1023" t="s">
        <v>478</v>
      </c>
      <c r="B176" s="566"/>
      <c r="D176" s="276"/>
      <c r="G176" s="1023" t="s">
        <v>478</v>
      </c>
      <c r="H176" s="566"/>
      <c r="J176" s="276"/>
      <c r="M176" s="1023" t="s">
        <v>478</v>
      </c>
      <c r="N176" s="566"/>
      <c r="P176" s="276"/>
      <c r="S176" s="280"/>
      <c r="T176" s="278"/>
    </row>
    <row r="177" spans="1:22" ht="12.95">
      <c r="A177" s="291" t="s">
        <v>479</v>
      </c>
      <c r="B177" s="292">
        <f>B162+B173</f>
        <v>87942517.029930398</v>
      </c>
      <c r="G177" s="291" t="s">
        <v>479</v>
      </c>
      <c r="H177" s="292">
        <f>H162+H173</f>
        <v>75375100.482449517</v>
      </c>
      <c r="M177" s="291" t="s">
        <v>479</v>
      </c>
      <c r="N177" s="292">
        <f>N162+N173</f>
        <v>27571689.71852947</v>
      </c>
      <c r="S177" s="277"/>
      <c r="T177" s="302"/>
      <c r="V177" s="276"/>
    </row>
    <row r="178" spans="1:22" ht="12.95">
      <c r="A178" s="418" t="s">
        <v>480</v>
      </c>
      <c r="B178" s="486">
        <f>SUM(B164,B175)</f>
        <v>86185482.16593039</v>
      </c>
      <c r="G178" s="418" t="s">
        <v>480</v>
      </c>
      <c r="H178" s="486">
        <f>SUM(H164,H175)</f>
        <v>73860089.44244951</v>
      </c>
      <c r="M178" s="418" t="s">
        <v>480</v>
      </c>
      <c r="N178" s="486">
        <f>SUM(N164,N175)</f>
        <v>27000422.71852947</v>
      </c>
      <c r="S178" s="277"/>
      <c r="T178" s="302"/>
      <c r="V178" s="276"/>
    </row>
    <row r="179" spans="1:22" ht="13.5" thickBot="1">
      <c r="A179" s="416" t="s">
        <v>481</v>
      </c>
      <c r="B179" s="417">
        <f>SUM(B178:B178)</f>
        <v>86185482.16593039</v>
      </c>
      <c r="G179" s="416" t="s">
        <v>481</v>
      </c>
      <c r="H179" s="417">
        <f>SUM(H178:H178)</f>
        <v>73860089.44244951</v>
      </c>
      <c r="M179" s="416" t="s">
        <v>481</v>
      </c>
      <c r="N179" s="417">
        <f>SUM(N178:N178)</f>
        <v>27000422.71852947</v>
      </c>
      <c r="S179" s="277"/>
      <c r="T179" s="302"/>
      <c r="V179" s="276"/>
    </row>
    <row r="180" spans="1:22" ht="23.25" customHeight="1">
      <c r="B180" s="130"/>
      <c r="D180" s="277"/>
    </row>
    <row r="181" spans="1:22" ht="23.25" customHeight="1">
      <c r="B181" s="130"/>
    </row>
    <row r="182" spans="1:22" ht="23.25" customHeight="1">
      <c r="B182" s="290"/>
    </row>
    <row r="183" spans="1:22" ht="23.25" customHeight="1">
      <c r="B183" s="290"/>
    </row>
  </sheetData>
  <mergeCells count="9">
    <mergeCell ref="A118:E118"/>
    <mergeCell ref="G118:K118"/>
    <mergeCell ref="M118:Q118"/>
    <mergeCell ref="S118:W118"/>
    <mergeCell ref="D2:E2"/>
    <mergeCell ref="B116:C116"/>
    <mergeCell ref="H116:I116"/>
    <mergeCell ref="N116:O116"/>
    <mergeCell ref="T116:U116"/>
  </mergeCells>
  <conditionalFormatting sqref="C49 C66">
    <cfRule type="expression" dxfId="124" priority="45">
      <formula>C55&gt;D48</formula>
    </cfRule>
  </conditionalFormatting>
  <conditionalFormatting sqref="C58 C75 C83">
    <cfRule type="expression" dxfId="123" priority="42">
      <formula>C63&gt;D57</formula>
    </cfRule>
  </conditionalFormatting>
  <conditionalFormatting sqref="I49 I66">
    <cfRule type="expression" dxfId="122" priority="4">
      <formula>I55&gt;J48</formula>
    </cfRule>
  </conditionalFormatting>
  <conditionalFormatting sqref="I58 I75 I83">
    <cfRule type="expression" dxfId="121" priority="3">
      <formula>I63&gt;J57</formula>
    </cfRule>
  </conditionalFormatting>
  <conditionalFormatting sqref="O49 O66">
    <cfRule type="expression" dxfId="120" priority="2">
      <formula>O55&gt;P48</formula>
    </cfRule>
  </conditionalFormatting>
  <conditionalFormatting sqref="O58 O75 O83">
    <cfRule type="expression" dxfId="119" priority="1">
      <formula>O63&gt;P57</formula>
    </cfRule>
  </conditionalFormatting>
  <conditionalFormatting sqref="U49 U66">
    <cfRule type="expression" dxfId="118" priority="6">
      <formula>U55&gt;V48</formula>
    </cfRule>
  </conditionalFormatting>
  <conditionalFormatting sqref="U58 U75 U83">
    <cfRule type="expression" dxfId="117" priority="5">
      <formula>U63&gt;V57</formula>
    </cfRule>
  </conditionalFormatting>
  <printOptions horizontalCentered="1" verticalCentered="1"/>
  <pageMargins left="0.7" right="0.7" top="0.75" bottom="0.75" header="0.3" footer="0.3"/>
  <pageSetup scale="83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1" manualBreakCount="1">
    <brk id="111" max="4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D0D48330F6CE4FB6B3AE62FA39CE46" ma:contentTypeVersion="21" ma:contentTypeDescription="Create a new document." ma:contentTypeScope="" ma:versionID="49b6cc1f325dec1792f37bde4caa68b6">
  <xsd:schema xmlns:xsd="http://www.w3.org/2001/XMLSchema" xmlns:xs="http://www.w3.org/2001/XMLSchema" xmlns:p="http://schemas.microsoft.com/office/2006/metadata/properties" xmlns:ns1="http://schemas.microsoft.com/sharepoint/v3" xmlns:ns2="07832773-9414-42b9-95c3-36a558d8f74c" xmlns:ns3="9f6012f1-210b-47d8-98a5-79507b18255d" targetNamespace="http://schemas.microsoft.com/office/2006/metadata/properties" ma:root="true" ma:fieldsID="916344260a2bb2d8bb12fbcbe20e5bbd" ns1:_="" ns2:_="" ns3:_="">
    <xsd:import namespace="http://schemas.microsoft.com/sharepoint/v3"/>
    <xsd:import namespace="07832773-9414-42b9-95c3-36a558d8f74c"/>
    <xsd:import namespace="9f6012f1-210b-47d8-98a5-79507b18255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832773-9414-42b9-95c3-36a558d8f7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144f5b13-403a-4dd3-b9ce-b7b6c8a660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6012f1-210b-47d8-98a5-79507b18255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396aa7e-ad57-49d2-b18b-708832d3d098}" ma:internalName="TaxCatchAll" ma:showField="CatchAllData" ma:web="9f6012f1-210b-47d8-98a5-79507b1825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7832773-9414-42b9-95c3-36a558d8f74c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  <TaxCatchAll xmlns="9f6012f1-210b-47d8-98a5-79507b18255d" xsi:nil="true"/>
  </documentManagement>
</p:properties>
</file>

<file path=customXml/itemProps1.xml><?xml version="1.0" encoding="utf-8"?>
<ds:datastoreItem xmlns:ds="http://schemas.openxmlformats.org/officeDocument/2006/customXml" ds:itemID="{DD28B796-0AA7-401A-BCD5-C29E5E95BA4C}"/>
</file>

<file path=customXml/itemProps2.xml><?xml version="1.0" encoding="utf-8"?>
<ds:datastoreItem xmlns:ds="http://schemas.openxmlformats.org/officeDocument/2006/customXml" ds:itemID="{C9663C87-CDAA-4A2F-9CA6-018325680FDA}"/>
</file>

<file path=customXml/itemProps3.xml><?xml version="1.0" encoding="utf-8"?>
<ds:datastoreItem xmlns:ds="http://schemas.openxmlformats.org/officeDocument/2006/customXml" ds:itemID="{8EA958F3-F430-43FD-B3C6-6C4F0E2017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Charles A. Long Properties LLC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Charles A. Long</dc:creator>
  <cp:keywords/>
  <dc:description/>
  <cp:lastModifiedBy>Guest User</cp:lastModifiedBy>
  <cp:revision/>
  <dcterms:created xsi:type="dcterms:W3CDTF">2011-07-11T21:17:46Z</dcterms:created>
  <dcterms:modified xsi:type="dcterms:W3CDTF">2025-04-03T23:04:06Z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388465-aeed-4329-a493-dfb4cee22503_Enabled">
    <vt:lpwstr>true</vt:lpwstr>
  </property>
  <property fmtid="{D5CDD505-2E9C-101B-9397-08002B2CF9AE}" pid="3" name="MSIP_Label_70388465-aeed-4329-a493-dfb4cee22503_SetDate">
    <vt:lpwstr>2022-12-01T14:29:01Z</vt:lpwstr>
  </property>
  <property fmtid="{D5CDD505-2E9C-101B-9397-08002B2CF9AE}" pid="4" name="MSIP_Label_70388465-aeed-4329-a493-dfb4cee22503_Method">
    <vt:lpwstr>Standard</vt:lpwstr>
  </property>
  <property fmtid="{D5CDD505-2E9C-101B-9397-08002B2CF9AE}" pid="5" name="MSIP_Label_70388465-aeed-4329-a493-dfb4cee22503_Name">
    <vt:lpwstr>defa4170-0d19-0005-0004-bc88714345d2</vt:lpwstr>
  </property>
  <property fmtid="{D5CDD505-2E9C-101B-9397-08002B2CF9AE}" pid="6" name="MSIP_Label_70388465-aeed-4329-a493-dfb4cee22503_SiteId">
    <vt:lpwstr>c733f279-2e57-447e-b549-b435d7bcf45e</vt:lpwstr>
  </property>
  <property fmtid="{D5CDD505-2E9C-101B-9397-08002B2CF9AE}" pid="7" name="MSIP_Label_70388465-aeed-4329-a493-dfb4cee22503_ActionId">
    <vt:lpwstr>c09dddd2-dd9a-4658-94bd-9604302b5a94</vt:lpwstr>
  </property>
  <property fmtid="{D5CDD505-2E9C-101B-9397-08002B2CF9AE}" pid="8" name="MSIP_Label_70388465-aeed-4329-a493-dfb4cee22503_ContentBits">
    <vt:lpwstr>0</vt:lpwstr>
  </property>
  <property fmtid="{D5CDD505-2E9C-101B-9397-08002B2CF9AE}" pid="9" name="ContentTypeId">
    <vt:lpwstr>0x01010007D0D48330F6CE4FB6B3AE62FA39CE46</vt:lpwstr>
  </property>
  <property fmtid="{D5CDD505-2E9C-101B-9397-08002B2CF9AE}" pid="10" name="MediaServiceImageTags">
    <vt:lpwstr/>
  </property>
</Properties>
</file>