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comments3.xml" ContentType="application/vnd.openxmlformats-officedocument.spreadsheetml.comments+xml"/>
  <Override PartName="/xl/drawings/drawing6.xml" ContentType="application/vnd.openxmlformats-officedocument.drawing+xml"/>
  <Override PartName="/xl/comments4.xml" ContentType="application/vnd.openxmlformats-officedocument.spreadsheetml.comments+xml"/>
  <Override PartName="/xl/drawings/drawing7.xml" ContentType="application/vnd.openxmlformats-officedocument.drawing+xml"/>
  <Override PartName="/xl/comments5.xml" ContentType="application/vnd.openxmlformats-officedocument.spreadsheetml.comments+xml"/>
  <Override PartName="/xl/drawings/drawing8.xml" ContentType="application/vnd.openxmlformats-officedocument.drawing+xml"/>
  <Override PartName="/xl/comments6.xml" ContentType="application/vnd.openxmlformats-officedocument.spreadsheetml.comments+xml"/>
  <Override PartName="/xl/drawings/drawing9.xml" ContentType="application/vnd.openxmlformats-officedocument.drawing+xml"/>
  <Override PartName="/xl/comments7.xml" ContentType="application/vnd.openxmlformats-officedocument.spreadsheetml.comments+xml"/>
  <Override PartName="/xl/drawings/drawing10.xml" ContentType="application/vnd.openxmlformats-officedocument.drawing+xml"/>
  <Override PartName="/xl/comments8.xml" ContentType="application/vnd.openxmlformats-officedocument.spreadsheetml.comments+xml"/>
  <Override PartName="/xl/drawings/drawing11.xml" ContentType="application/vnd.openxmlformats-officedocument.drawing+xml"/>
  <Override PartName="/xl/comments9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autoCompressPictures="0"/>
  <mc:AlternateContent xmlns:mc="http://schemas.openxmlformats.org/markup-compatibility/2006">
    <mc:Choice Requires="x15">
      <x15ac:absPath xmlns:x15ac="http://schemas.microsoft.com/office/spreadsheetml/2010/11/ac" url="https://d.docs.live.net/4b361b49b6b40254/바탕 화면/"/>
    </mc:Choice>
  </mc:AlternateContent>
  <xr:revisionPtr revIDLastSave="3200" documentId="13_ncr:1_{67484367-5311-4FF5-8562-E2D14034D855}" xr6:coauthVersionLast="47" xr6:coauthVersionMax="47" xr10:uidLastSave="{846113F4-C1EC-42A0-89D5-0A82931BA302}"/>
  <bookViews>
    <workbookView xWindow="-110" yWindow="-110" windowWidth="22780" windowHeight="14540" tabRatio="1000" firstSheet="2" activeTab="4" xr2:uid="{00000000-000D-0000-FFFF-FFFF00000000}"/>
  </bookViews>
  <sheets>
    <sheet name="Rent Comp" sheetId="168" state="hidden" r:id="rId1"/>
    <sheet name="Rent Comp (2)" sheetId="177" state="hidden" r:id="rId2"/>
    <sheet name="Assumptions" sheetId="175" r:id="rId3"/>
    <sheet name="Development Program" sheetId="140" r:id="rId4"/>
    <sheet name="Building Configuration" sheetId="178" r:id="rId5"/>
    <sheet name="A Financial" sheetId="179" r:id="rId6"/>
    <sheet name="A DRAW" sheetId="180" r:id="rId7"/>
    <sheet name="B Financial" sheetId="214" r:id="rId8"/>
    <sheet name="B DRAW" sheetId="215" r:id="rId9"/>
    <sheet name="C Financial" sheetId="216" r:id="rId10"/>
    <sheet name="C DRAW" sheetId="217" r:id="rId11"/>
    <sheet name="D Financial" sheetId="218" r:id="rId12"/>
    <sheet name="D DRAW" sheetId="219" r:id="rId13"/>
    <sheet name="E Financial" sheetId="220" r:id="rId14"/>
    <sheet name="E DRAW" sheetId="221" r:id="rId15"/>
    <sheet name="F Financial" sheetId="223" r:id="rId16"/>
    <sheet name="F DRAW" sheetId="224" r:id="rId17"/>
    <sheet name="G Financial" sheetId="225" r:id="rId18"/>
    <sheet name="G DRAW" sheetId="226" r:id="rId19"/>
    <sheet name="H Financial" sheetId="227" r:id="rId20"/>
    <sheet name="H DRAW" sheetId="228" r:id="rId21"/>
    <sheet name="I Financial" sheetId="229" r:id="rId22"/>
    <sheet name="I DRAW" sheetId="230" r:id="rId23"/>
    <sheet name="All Components Draw" sheetId="159" r:id="rId24"/>
  </sheets>
  <externalReferences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</externalReferences>
  <definedNames>
    <definedName name="___a1" localSheetId="0" hidden="1">{"Assump",#N/A,TRUE,"Proforma";"first",#N/A,TRUE,"Proforma";"second",#N/A,TRUE,"Proforma";"lease1",#N/A,TRUE,"Proforma";"lease2",#N/A,TRUE,"Proforma"}</definedName>
    <definedName name="___a1" localSheetId="1" hidden="1">{"Assump",#N/A,TRUE,"Proforma";"first",#N/A,TRUE,"Proforma";"second",#N/A,TRUE,"Proforma";"lease1",#N/A,TRUE,"Proforma";"lease2",#N/A,TRUE,"Proforma"}</definedName>
    <definedName name="___a1" hidden="1">{"Assump",#N/A,TRUE,"Proforma";"first",#N/A,TRUE,"Proforma";"second",#N/A,TRUE,"Proforma";"lease1",#N/A,TRUE,"Proforma";"lease2",#N/A,TRUE,"Proforma"}</definedName>
    <definedName name="__a1" localSheetId="0" hidden="1">{"Assump",#N/A,TRUE,"Proforma";"first",#N/A,TRUE,"Proforma";"second",#N/A,TRUE,"Proforma";"lease1",#N/A,TRUE,"Proforma";"lease2",#N/A,TRUE,"Proforma"}</definedName>
    <definedName name="__a1" localSheetId="1" hidden="1">{"Assump",#N/A,TRUE,"Proforma";"first",#N/A,TRUE,"Proforma";"second",#N/A,TRUE,"Proforma";"lease1",#N/A,TRUE,"Proforma";"lease2",#N/A,TRUE,"Proforma"}</definedName>
    <definedName name="__a1" hidden="1">{"Assump",#N/A,TRUE,"Proforma";"first",#N/A,TRUE,"Proforma";"second",#N/A,TRUE,"Proforma";"lease1",#N/A,TRUE,"Proforma";"lease2",#N/A,TRUE,"Proforma"}</definedName>
    <definedName name="_Fill" localSheetId="5" hidden="1">[1]A!#REF!</definedName>
    <definedName name="_Fill" localSheetId="7" hidden="1">[1]A!#REF!</definedName>
    <definedName name="_Fill" localSheetId="9" hidden="1">[1]A!#REF!</definedName>
    <definedName name="_Fill" localSheetId="11" hidden="1">[1]A!#REF!</definedName>
    <definedName name="_Fill" localSheetId="3" hidden="1">[1]A!#REF!</definedName>
    <definedName name="_Fill" localSheetId="13" hidden="1">[1]A!#REF!</definedName>
    <definedName name="_Fill" localSheetId="15" hidden="1">[1]A!#REF!</definedName>
    <definedName name="_Fill" localSheetId="17" hidden="1">[1]A!#REF!</definedName>
    <definedName name="_Fill" localSheetId="19" hidden="1">[1]A!#REF!</definedName>
    <definedName name="_Fill" localSheetId="21" hidden="1">[1]A!#REF!</definedName>
    <definedName name="_Fill" localSheetId="0" hidden="1">[2]A!#REF!</definedName>
    <definedName name="_Fill" localSheetId="1" hidden="1">[2]A!#REF!</definedName>
    <definedName name="_Fill" hidden="1">[1]A!#REF!</definedName>
    <definedName name="_Key1" localSheetId="5" hidden="1">'[3]H-INPUT'!#REF!</definedName>
    <definedName name="_Key1" localSheetId="7" hidden="1">'[3]H-INPUT'!#REF!</definedName>
    <definedName name="_Key1" localSheetId="9" hidden="1">'[3]H-INPUT'!#REF!</definedName>
    <definedName name="_Key1" localSheetId="11" hidden="1">'[3]H-INPUT'!#REF!</definedName>
    <definedName name="_Key1" localSheetId="3" hidden="1">'[3]H-INPUT'!#REF!</definedName>
    <definedName name="_Key1" localSheetId="13" hidden="1">'[3]H-INPUT'!#REF!</definedName>
    <definedName name="_Key1" localSheetId="15" hidden="1">'[3]H-INPUT'!#REF!</definedName>
    <definedName name="_Key1" localSheetId="17" hidden="1">'[3]H-INPUT'!#REF!</definedName>
    <definedName name="_Key1" localSheetId="19" hidden="1">'[3]H-INPUT'!#REF!</definedName>
    <definedName name="_Key1" localSheetId="21" hidden="1">'[3]H-INPUT'!#REF!</definedName>
    <definedName name="_Key1" localSheetId="0" hidden="1">'[4]H-INPUT'!#REF!</definedName>
    <definedName name="_Key1" localSheetId="1" hidden="1">'[4]H-INPUT'!#REF!</definedName>
    <definedName name="_Key1" hidden="1">'[3]H-INPUT'!#REF!</definedName>
    <definedName name="_Key2" localSheetId="5" hidden="1">#REF!</definedName>
    <definedName name="_Key2" localSheetId="7" hidden="1">#REF!</definedName>
    <definedName name="_Key2" localSheetId="9" hidden="1">#REF!</definedName>
    <definedName name="_Key2" localSheetId="11" hidden="1">#REF!</definedName>
    <definedName name="_Key2" localSheetId="3" hidden="1">#REF!</definedName>
    <definedName name="_Key2" localSheetId="13" hidden="1">#REF!</definedName>
    <definedName name="_Key2" localSheetId="15" hidden="1">#REF!</definedName>
    <definedName name="_Key2" localSheetId="17" hidden="1">#REF!</definedName>
    <definedName name="_Key2" localSheetId="19" hidden="1">#REF!</definedName>
    <definedName name="_Key2" localSheetId="21" hidden="1">#REF!</definedName>
    <definedName name="_Key2" hidden="1">#REF!</definedName>
    <definedName name="_Order1" hidden="1">255</definedName>
    <definedName name="_Order2" hidden="1">255</definedName>
    <definedName name="_Sort" localSheetId="5" hidden="1">#REF!</definedName>
    <definedName name="_Sort" localSheetId="7" hidden="1">#REF!</definedName>
    <definedName name="_Sort" localSheetId="9" hidden="1">#REF!</definedName>
    <definedName name="_Sort" localSheetId="11" hidden="1">#REF!</definedName>
    <definedName name="_Sort" localSheetId="3" hidden="1">#REF!</definedName>
    <definedName name="_Sort" localSheetId="13" hidden="1">#REF!</definedName>
    <definedName name="_Sort" localSheetId="15" hidden="1">#REF!</definedName>
    <definedName name="_Sort" localSheetId="17" hidden="1">#REF!</definedName>
    <definedName name="_Sort" localSheetId="19" hidden="1">#REF!</definedName>
    <definedName name="_Sort" localSheetId="21" hidden="1">#REF!</definedName>
    <definedName name="_Sort" hidden="1">#REF!</definedName>
    <definedName name="_Table1_In1" localSheetId="5" hidden="1">#REF!</definedName>
    <definedName name="_Table1_In1" localSheetId="7" hidden="1">#REF!</definedName>
    <definedName name="_Table1_In1" localSheetId="9" hidden="1">#REF!</definedName>
    <definedName name="_Table1_In1" localSheetId="11" hidden="1">#REF!</definedName>
    <definedName name="_Table1_In1" localSheetId="3" hidden="1">#REF!</definedName>
    <definedName name="_Table1_In1" localSheetId="13" hidden="1">#REF!</definedName>
    <definedName name="_Table1_In1" localSheetId="15" hidden="1">#REF!</definedName>
    <definedName name="_Table1_In1" localSheetId="17" hidden="1">#REF!</definedName>
    <definedName name="_Table1_In1" localSheetId="19" hidden="1">#REF!</definedName>
    <definedName name="_Table1_In1" localSheetId="21" hidden="1">#REF!</definedName>
    <definedName name="_Table1_In1" hidden="1">#REF!</definedName>
    <definedName name="_Table1_Out" localSheetId="5" hidden="1">#REF!</definedName>
    <definedName name="_Table1_Out" localSheetId="7" hidden="1">#REF!</definedName>
    <definedName name="_Table1_Out" localSheetId="9" hidden="1">#REF!</definedName>
    <definedName name="_Table1_Out" localSheetId="11" hidden="1">#REF!</definedName>
    <definedName name="_Table1_Out" localSheetId="3" hidden="1">#REF!</definedName>
    <definedName name="_Table1_Out" localSheetId="13" hidden="1">#REF!</definedName>
    <definedName name="_Table1_Out" localSheetId="15" hidden="1">#REF!</definedName>
    <definedName name="_Table1_Out" localSheetId="17" hidden="1">#REF!</definedName>
    <definedName name="_Table1_Out" localSheetId="19" hidden="1">#REF!</definedName>
    <definedName name="_Table1_Out" localSheetId="21" hidden="1">#REF!</definedName>
    <definedName name="_Table1_Out" hidden="1">#REF!</definedName>
    <definedName name="_Table2_Out" localSheetId="5" hidden="1">[5]General!#REF!</definedName>
    <definedName name="_Table2_Out" localSheetId="7" hidden="1">[5]General!#REF!</definedName>
    <definedName name="_Table2_Out" localSheetId="9" hidden="1">[5]General!#REF!</definedName>
    <definedName name="_Table2_Out" localSheetId="11" hidden="1">[5]General!#REF!</definedName>
    <definedName name="_Table2_Out" localSheetId="3" hidden="1">[5]General!#REF!</definedName>
    <definedName name="_Table2_Out" localSheetId="13" hidden="1">[5]General!#REF!</definedName>
    <definedName name="_Table2_Out" localSheetId="15" hidden="1">[5]General!#REF!</definedName>
    <definedName name="_Table2_Out" localSheetId="17" hidden="1">[5]General!#REF!</definedName>
    <definedName name="_Table2_Out" localSheetId="19" hidden="1">[5]General!#REF!</definedName>
    <definedName name="_Table2_Out" localSheetId="21" hidden="1">[5]General!#REF!</definedName>
    <definedName name="_Table2_Out" localSheetId="0" hidden="1">[6]General!#REF!</definedName>
    <definedName name="_Table2_Out" localSheetId="1" hidden="1">[6]General!#REF!</definedName>
    <definedName name="_Table2_Out" hidden="1">[5]General!#REF!</definedName>
    <definedName name="_x1" localSheetId="0" hidden="1">{#N/A,#N/A,FALSE,"WATCHDSC";#N/A,#N/A,FALSE,"2LOSSMOD";#N/A,#N/A,FALSE,"2LOSS";#N/A,#N/A,FALSE,"DSC";#N/A,#N/A,FALSE,"OPERAT";#N/A,#N/A,FALSE,"ADJUST";#N/A,#N/A,FALSE,"LEASE EXPIRE"}</definedName>
    <definedName name="_x1" localSheetId="1" hidden="1">{#N/A,#N/A,FALSE,"WATCHDSC";#N/A,#N/A,FALSE,"2LOSSMOD";#N/A,#N/A,FALSE,"2LOSS";#N/A,#N/A,FALSE,"DSC";#N/A,#N/A,FALSE,"OPERAT";#N/A,#N/A,FALSE,"ADJUST";#N/A,#N/A,FALSE,"LEASE EXPIRE"}</definedName>
    <definedName name="_x1" hidden="1">{#N/A,#N/A,FALSE,"WATCHDSC";#N/A,#N/A,FALSE,"2LOSSMOD";#N/A,#N/A,FALSE,"2LOSS";#N/A,#N/A,FALSE,"DSC";#N/A,#N/A,FALSE,"OPERAT";#N/A,#N/A,FALSE,"ADJUST";#N/A,#N/A,FALSE,"LEASE EXPIRE"}</definedName>
    <definedName name="_x2" localSheetId="0" hidden="1">{#N/A,#N/A,FALSE,"WATCHDSC";#N/A,#N/A,FALSE,"2LOSSMOD";#N/A,#N/A,FALSE,"2LOSS";#N/A,#N/A,FALSE,"DSC";#N/A,#N/A,FALSE,"OPERAT";#N/A,#N/A,FALSE,"ADJUST";#N/A,#N/A,FALSE,"LEASE EXPIRE"}</definedName>
    <definedName name="_x2" localSheetId="1" hidden="1">{#N/A,#N/A,FALSE,"WATCHDSC";#N/A,#N/A,FALSE,"2LOSSMOD";#N/A,#N/A,FALSE,"2LOSS";#N/A,#N/A,FALSE,"DSC";#N/A,#N/A,FALSE,"OPERAT";#N/A,#N/A,FALSE,"ADJUST";#N/A,#N/A,FALSE,"LEASE EXPIRE"}</definedName>
    <definedName name="_x2" hidden="1">{#N/A,#N/A,FALSE,"WATCHDSC";#N/A,#N/A,FALSE,"2LOSSMOD";#N/A,#N/A,FALSE,"2LOSS";#N/A,#N/A,FALSE,"DSC";#N/A,#N/A,FALSE,"OPERAT";#N/A,#N/A,FALSE,"ADJUST";#N/A,#N/A,FALSE,"LEASE EXPIRE"}</definedName>
    <definedName name="_x3" localSheetId="0" hidden="1">{#N/A,#N/A,FALSE,"WATCHDSC";#N/A,#N/A,FALSE,"2LOSSMOD";#N/A,#N/A,FALSE,"2LOSS";#N/A,#N/A,FALSE,"DSC";#N/A,#N/A,FALSE,"OPERAT";#N/A,#N/A,FALSE,"ADJUST";#N/A,#N/A,FALSE,"LEASE EXPIRE"}</definedName>
    <definedName name="_x3" localSheetId="1" hidden="1">{#N/A,#N/A,FALSE,"WATCHDSC";#N/A,#N/A,FALSE,"2LOSSMOD";#N/A,#N/A,FALSE,"2LOSS";#N/A,#N/A,FALSE,"DSC";#N/A,#N/A,FALSE,"OPERAT";#N/A,#N/A,FALSE,"ADJUST";#N/A,#N/A,FALSE,"LEASE EXPIRE"}</definedName>
    <definedName name="_x3" hidden="1">{#N/A,#N/A,FALSE,"WATCHDSC";#N/A,#N/A,FALSE,"2LOSSMOD";#N/A,#N/A,FALSE,"2LOSS";#N/A,#N/A,FALSE,"DSC";#N/A,#N/A,FALSE,"OPERAT";#N/A,#N/A,FALSE,"ADJUST";#N/A,#N/A,FALSE,"LEASE EXPIRE"}</definedName>
    <definedName name="a" localSheetId="0" hidden="1">{"Assump",#N/A,TRUE,"Proforma";"first",#N/A,TRUE,"Proforma";"second",#N/A,TRUE,"Proforma";"lease1",#N/A,TRUE,"Proforma";"lease2",#N/A,TRUE,"Proforma"}</definedName>
    <definedName name="a" localSheetId="1" hidden="1">{"Assump",#N/A,TRUE,"Proforma";"first",#N/A,TRUE,"Proforma";"second",#N/A,TRUE,"Proforma";"lease1",#N/A,TRUE,"Proforma";"lease2",#N/A,TRUE,"Proforma"}</definedName>
    <definedName name="a" hidden="1">{"Assump",#N/A,TRUE,"Proforma";"first",#N/A,TRUE,"Proforma";"second",#N/A,TRUE,"Proforma";"lease1",#N/A,TRUE,"Proforma";"lease2",#N/A,TRUE,"Proforma"}</definedName>
    <definedName name="aa" localSheetId="0" hidden="1">{#N/A,#N/A,FALSE,"Exec Sum";#N/A,#N/A,FALSE,"Rent Rate Comp";#N/A,#N/A,FALSE,"Rate, NPV Comp";#N/A,#N/A,FALSE,"Opt A NNN";#N/A,#N/A,FALSE,"15-yr Opt. A Sum";#N/A,#N/A,FALSE,"15-yr Opt A Other Costs";#N/A,#N/A,FALSE,"10-yr Opt. A Sum";#N/A,#N/A,FALSE,"10-yr Opt A Other Costs";#N/A,#N/A,FALSE,"NPV Calc"}</definedName>
    <definedName name="aa" localSheetId="1" hidden="1">{#N/A,#N/A,FALSE,"Exec Sum";#N/A,#N/A,FALSE,"Rent Rate Comp";#N/A,#N/A,FALSE,"Rate, NPV Comp";#N/A,#N/A,FALSE,"Opt A NNN";#N/A,#N/A,FALSE,"15-yr Opt. A Sum";#N/A,#N/A,FALSE,"15-yr Opt A Other Costs";#N/A,#N/A,FALSE,"10-yr Opt. A Sum";#N/A,#N/A,FALSE,"10-yr Opt A Other Costs";#N/A,#N/A,FALSE,"NPV Calc"}</definedName>
    <definedName name="aa" hidden="1">{#N/A,#N/A,FALSE,"Exec Sum";#N/A,#N/A,FALSE,"Rent Rate Comp";#N/A,#N/A,FALSE,"Rate, NPV Comp";#N/A,#N/A,FALSE,"Opt A NNN";#N/A,#N/A,FALSE,"15-yr Opt. A Sum";#N/A,#N/A,FALSE,"15-yr Opt A Other Costs";#N/A,#N/A,FALSE,"10-yr Opt. A Sum";#N/A,#N/A,FALSE,"10-yr Opt A Other Costs";#N/A,#N/A,FALSE,"NPV Calc"}</definedName>
    <definedName name="AADSFD" localSheetId="5">[7]Frontsheet!#REF!</definedName>
    <definedName name="AADSFD" localSheetId="7">[7]Frontsheet!#REF!</definedName>
    <definedName name="AADSFD" localSheetId="9">[7]Frontsheet!#REF!</definedName>
    <definedName name="AADSFD" localSheetId="11">[7]Frontsheet!#REF!</definedName>
    <definedName name="AADSFD" localSheetId="3">[7]Frontsheet!#REF!</definedName>
    <definedName name="AADSFD" localSheetId="13">[7]Frontsheet!#REF!</definedName>
    <definedName name="AADSFD" localSheetId="15">[7]Frontsheet!#REF!</definedName>
    <definedName name="AADSFD" localSheetId="17">[7]Frontsheet!#REF!</definedName>
    <definedName name="AADSFD" localSheetId="19">[7]Frontsheet!#REF!</definedName>
    <definedName name="AADSFD" localSheetId="21">[7]Frontsheet!#REF!</definedName>
    <definedName name="AADSFD" localSheetId="0">[8]Frontsheet!#REF!</definedName>
    <definedName name="AADSFD" localSheetId="1">[8]Frontsheet!#REF!</definedName>
    <definedName name="AADSFD">[7]Frontsheet!#REF!</definedName>
    <definedName name="ac" localSheetId="5">[7]Frontsheet!#REF!</definedName>
    <definedName name="ac" localSheetId="7">[7]Frontsheet!#REF!</definedName>
    <definedName name="ac" localSheetId="9">[7]Frontsheet!#REF!</definedName>
    <definedName name="ac" localSheetId="11">[7]Frontsheet!#REF!</definedName>
    <definedName name="ac" localSheetId="3">[7]Frontsheet!#REF!</definedName>
    <definedName name="ac" localSheetId="13">[7]Frontsheet!#REF!</definedName>
    <definedName name="ac" localSheetId="15">[7]Frontsheet!#REF!</definedName>
    <definedName name="ac" localSheetId="17">[7]Frontsheet!#REF!</definedName>
    <definedName name="ac" localSheetId="19">[7]Frontsheet!#REF!</definedName>
    <definedName name="ac" localSheetId="21">[7]Frontsheet!#REF!</definedName>
    <definedName name="ac" localSheetId="0">[8]Frontsheet!#REF!</definedName>
    <definedName name="ac" localSheetId="1">[8]Frontsheet!#REF!</definedName>
    <definedName name="ac">[7]Frontsheet!#REF!</definedName>
    <definedName name="alt" localSheetId="5">[7]Frontsheet!#REF!</definedName>
    <definedName name="alt" localSheetId="7">[7]Frontsheet!#REF!</definedName>
    <definedName name="alt" localSheetId="9">[7]Frontsheet!#REF!</definedName>
    <definedName name="alt" localSheetId="11">[7]Frontsheet!#REF!</definedName>
    <definedName name="alt" localSheetId="3">[7]Frontsheet!#REF!</definedName>
    <definedName name="alt" localSheetId="13">[7]Frontsheet!#REF!</definedName>
    <definedName name="alt" localSheetId="15">[7]Frontsheet!#REF!</definedName>
    <definedName name="alt" localSheetId="17">[7]Frontsheet!#REF!</definedName>
    <definedName name="alt" localSheetId="19">[7]Frontsheet!#REF!</definedName>
    <definedName name="alt" localSheetId="21">[7]Frontsheet!#REF!</definedName>
    <definedName name="alt" localSheetId="0">[8]Frontsheet!#REF!</definedName>
    <definedName name="alt" localSheetId="1">[8]Frontsheet!#REF!</definedName>
    <definedName name="alt">[7]Frontsheet!#REF!</definedName>
    <definedName name="anscount" hidden="1">1</definedName>
    <definedName name="ASA" localSheetId="5">[7]Frontsheet!#REF!</definedName>
    <definedName name="ASA" localSheetId="7">[7]Frontsheet!#REF!</definedName>
    <definedName name="ASA" localSheetId="9">[7]Frontsheet!#REF!</definedName>
    <definedName name="ASA" localSheetId="11">[7]Frontsheet!#REF!</definedName>
    <definedName name="ASA" localSheetId="3">[7]Frontsheet!#REF!</definedName>
    <definedName name="ASA" localSheetId="13">[7]Frontsheet!#REF!</definedName>
    <definedName name="ASA" localSheetId="15">[7]Frontsheet!#REF!</definedName>
    <definedName name="ASA" localSheetId="17">[7]Frontsheet!#REF!</definedName>
    <definedName name="ASA" localSheetId="19">[7]Frontsheet!#REF!</definedName>
    <definedName name="ASA" localSheetId="21">[7]Frontsheet!#REF!</definedName>
    <definedName name="ASA" localSheetId="0">[8]Frontsheet!#REF!</definedName>
    <definedName name="ASA" localSheetId="1">[8]Frontsheet!#REF!</definedName>
    <definedName name="ASA">[7]Frontsheet!#REF!</definedName>
    <definedName name="aw" localSheetId="5">[7]Frontsheet!#REF!</definedName>
    <definedName name="aw" localSheetId="7">[7]Frontsheet!#REF!</definedName>
    <definedName name="aw" localSheetId="9">[7]Frontsheet!#REF!</definedName>
    <definedName name="aw" localSheetId="11">[7]Frontsheet!#REF!</definedName>
    <definedName name="aw" localSheetId="3">[7]Frontsheet!#REF!</definedName>
    <definedName name="aw" localSheetId="13">[7]Frontsheet!#REF!</definedName>
    <definedName name="aw" localSheetId="15">[7]Frontsheet!#REF!</definedName>
    <definedName name="aw" localSheetId="17">[7]Frontsheet!#REF!</definedName>
    <definedName name="aw" localSheetId="19">[7]Frontsheet!#REF!</definedName>
    <definedName name="aw" localSheetId="21">[7]Frontsheet!#REF!</definedName>
    <definedName name="aw" localSheetId="0">[8]Frontsheet!#REF!</definedName>
    <definedName name="aw" localSheetId="1">[8]Frontsheet!#REF!</definedName>
    <definedName name="aw">[7]Frontsheet!#REF!</definedName>
    <definedName name="b" localSheetId="0" hidden="1">{"Assump",#N/A,TRUE,"Proforma";"first",#N/A,TRUE,"Proforma";"second",#N/A,TRUE,"Proforma";"lease1",#N/A,TRUE,"Proforma";"lease2",#N/A,TRUE,"Proforma"}</definedName>
    <definedName name="b" localSheetId="1" hidden="1">{"Assump",#N/A,TRUE,"Proforma";"first",#N/A,TRUE,"Proforma";"second",#N/A,TRUE,"Proforma";"lease1",#N/A,TRUE,"Proforma";"lease2",#N/A,TRUE,"Proforma"}</definedName>
    <definedName name="b" hidden="1">{"Assump",#N/A,TRUE,"Proforma";"first",#N/A,TRUE,"Proforma";"second",#N/A,TRUE,"Proforma";"lease1",#N/A,TRUE,"Proforma";"lease2",#N/A,TRUE,"Proforma"}</definedName>
    <definedName name="Body" localSheetId="0">'[9]Equity Investor Sheet 2538'!$A$7:$J$18</definedName>
    <definedName name="Body" localSheetId="1">'[9]Equity Investor Sheet 2538'!$A$7:$J$18</definedName>
    <definedName name="Body">'[10]Equity Investor Sheet 2538'!$A$7:$J$18</definedName>
    <definedName name="costcode" localSheetId="0">'[11]Pursuit_Expenses by cost code'!$A$5:$F$155</definedName>
    <definedName name="costcode" localSheetId="1">'[11]Pursuit_Expenses by cost code'!$A$5:$F$155</definedName>
    <definedName name="costcode">'[12]Pursuit_Expenses by cost code'!$A$5:$F$155</definedName>
    <definedName name="cs" localSheetId="5">[7]Frontsheet!#REF!</definedName>
    <definedName name="cs" localSheetId="7">[7]Frontsheet!#REF!</definedName>
    <definedName name="cs" localSheetId="9">[7]Frontsheet!#REF!</definedName>
    <definedName name="cs" localSheetId="11">[7]Frontsheet!#REF!</definedName>
    <definedName name="cs" localSheetId="3">[7]Frontsheet!#REF!</definedName>
    <definedName name="cs" localSheetId="13">[7]Frontsheet!#REF!</definedName>
    <definedName name="cs" localSheetId="15">[7]Frontsheet!#REF!</definedName>
    <definedName name="cs" localSheetId="17">[7]Frontsheet!#REF!</definedName>
    <definedName name="cs" localSheetId="19">[7]Frontsheet!#REF!</definedName>
    <definedName name="cs" localSheetId="21">[7]Frontsheet!#REF!</definedName>
    <definedName name="cs" localSheetId="0">[8]Frontsheet!#REF!</definedName>
    <definedName name="cs" localSheetId="1">[8]Frontsheet!#REF!</definedName>
    <definedName name="cs">[7]Frontsheet!#REF!</definedName>
    <definedName name="ct" localSheetId="5">[7]Frontsheet!#REF!</definedName>
    <definedName name="ct" localSheetId="7">[7]Frontsheet!#REF!</definedName>
    <definedName name="ct" localSheetId="9">[7]Frontsheet!#REF!</definedName>
    <definedName name="ct" localSheetId="11">[7]Frontsheet!#REF!</definedName>
    <definedName name="ct" localSheetId="3">[7]Frontsheet!#REF!</definedName>
    <definedName name="ct" localSheetId="13">[7]Frontsheet!#REF!</definedName>
    <definedName name="ct" localSheetId="15">[7]Frontsheet!#REF!</definedName>
    <definedName name="ct" localSheetId="17">[7]Frontsheet!#REF!</definedName>
    <definedName name="ct" localSheetId="19">[7]Frontsheet!#REF!</definedName>
    <definedName name="ct" localSheetId="21">[7]Frontsheet!#REF!</definedName>
    <definedName name="ct" localSheetId="0">[8]Frontsheet!#REF!</definedName>
    <definedName name="ct" localSheetId="1">[8]Frontsheet!#REF!</definedName>
    <definedName name="ct">[7]Frontsheet!#REF!</definedName>
    <definedName name="ddgfeerew" localSheetId="5">[7]Frontsheet!#REF!</definedName>
    <definedName name="ddgfeerew" localSheetId="7">[7]Frontsheet!#REF!</definedName>
    <definedName name="ddgfeerew" localSheetId="9">[7]Frontsheet!#REF!</definedName>
    <definedName name="ddgfeerew" localSheetId="11">[7]Frontsheet!#REF!</definedName>
    <definedName name="ddgfeerew" localSheetId="3">[7]Frontsheet!#REF!</definedName>
    <definedName name="ddgfeerew" localSheetId="13">[7]Frontsheet!#REF!</definedName>
    <definedName name="ddgfeerew" localSheetId="15">[7]Frontsheet!#REF!</definedName>
    <definedName name="ddgfeerew" localSheetId="17">[7]Frontsheet!#REF!</definedName>
    <definedName name="ddgfeerew" localSheetId="19">[7]Frontsheet!#REF!</definedName>
    <definedName name="ddgfeerew" localSheetId="21">[7]Frontsheet!#REF!</definedName>
    <definedName name="ddgfeerew" localSheetId="0">[8]Frontsheet!#REF!</definedName>
    <definedName name="ddgfeerew" localSheetId="1">[8]Frontsheet!#REF!</definedName>
    <definedName name="ddgfeerew">[7]Frontsheet!#REF!</definedName>
    <definedName name="dflt1" localSheetId="0">'[13]Customize Your Invoice'!$E$22</definedName>
    <definedName name="dflt1" localSheetId="1">'[13]Customize Your Invoice'!$E$22</definedName>
    <definedName name="dflt1">'[14]Customize Your Invoice'!$E$22</definedName>
    <definedName name="dflt5" localSheetId="0">'[13]Customize Your Invoice'!$E$27</definedName>
    <definedName name="dflt5" localSheetId="1">'[13]Customize Your Invoice'!$E$27</definedName>
    <definedName name="dflt5">'[14]Customize Your Invoice'!$E$27</definedName>
    <definedName name="dflt6" localSheetId="0">'[13]Customize Your Invoice'!$D$28</definedName>
    <definedName name="dflt6" localSheetId="1">'[13]Customize Your Invoice'!$D$28</definedName>
    <definedName name="dflt6">'[14]Customize Your Invoice'!$D$28</definedName>
    <definedName name="dfsdf" localSheetId="5">[7]Frontsheet!#REF!</definedName>
    <definedName name="dfsdf" localSheetId="7">[7]Frontsheet!#REF!</definedName>
    <definedName name="dfsdf" localSheetId="9">[7]Frontsheet!#REF!</definedName>
    <definedName name="dfsdf" localSheetId="11">[7]Frontsheet!#REF!</definedName>
    <definedName name="dfsdf" localSheetId="3">[7]Frontsheet!#REF!</definedName>
    <definedName name="dfsdf" localSheetId="13">[7]Frontsheet!#REF!</definedName>
    <definedName name="dfsdf" localSheetId="15">[7]Frontsheet!#REF!</definedName>
    <definedName name="dfsdf" localSheetId="17">[7]Frontsheet!#REF!</definedName>
    <definedName name="dfsdf" localSheetId="19">[7]Frontsheet!#REF!</definedName>
    <definedName name="dfsdf" localSheetId="21">[7]Frontsheet!#REF!</definedName>
    <definedName name="dfsdf" localSheetId="0">[8]Frontsheet!#REF!</definedName>
    <definedName name="dfsdf" localSheetId="1">[8]Frontsheet!#REF!</definedName>
    <definedName name="dfsdf">[7]Frontsheet!#REF!</definedName>
    <definedName name="dw" localSheetId="5">[7]Frontsheet!#REF!</definedName>
    <definedName name="dw" localSheetId="7">[7]Frontsheet!#REF!</definedName>
    <definedName name="dw" localSheetId="9">[7]Frontsheet!#REF!</definedName>
    <definedName name="dw" localSheetId="11">[7]Frontsheet!#REF!</definedName>
    <definedName name="dw" localSheetId="3">[7]Frontsheet!#REF!</definedName>
    <definedName name="dw" localSheetId="13">[7]Frontsheet!#REF!</definedName>
    <definedName name="dw" localSheetId="15">[7]Frontsheet!#REF!</definedName>
    <definedName name="dw" localSheetId="17">[7]Frontsheet!#REF!</definedName>
    <definedName name="dw" localSheetId="19">[7]Frontsheet!#REF!</definedName>
    <definedName name="dw" localSheetId="21">[7]Frontsheet!#REF!</definedName>
    <definedName name="dw" localSheetId="0">[8]Frontsheet!#REF!</definedName>
    <definedName name="dw" localSheetId="1">[8]Frontsheet!#REF!</definedName>
    <definedName name="dw">[7]Frontsheet!#REF!</definedName>
    <definedName name="ee" localSheetId="0" hidden="1">{"Assump",#N/A,TRUE,"Proforma";"first",#N/A,TRUE,"Proforma";"second",#N/A,TRUE,"Proforma";"lease1",#N/A,TRUE,"Proforma";"lease2",#N/A,TRUE,"Proforma"}</definedName>
    <definedName name="ee" localSheetId="1" hidden="1">{"Assump",#N/A,TRUE,"Proforma";"first",#N/A,TRUE,"Proforma";"second",#N/A,TRUE,"Proforma";"lease1",#N/A,TRUE,"Proforma";"lease2",#N/A,TRUE,"Proforma"}</definedName>
    <definedName name="ee" hidden="1">{"Assump",#N/A,TRUE,"Proforma";"first",#N/A,TRUE,"Proforma";"second",#N/A,TRUE,"Proforma";"lease1",#N/A,TRUE,"Proforma";"lease2",#N/A,TRUE,"Proforma"}</definedName>
    <definedName name="el" localSheetId="5">[7]Frontsheet!#REF!</definedName>
    <definedName name="el" localSheetId="7">[7]Frontsheet!#REF!</definedName>
    <definedName name="el" localSheetId="9">[7]Frontsheet!#REF!</definedName>
    <definedName name="el" localSheetId="11">[7]Frontsheet!#REF!</definedName>
    <definedName name="el" localSheetId="3">[7]Frontsheet!#REF!</definedName>
    <definedName name="el" localSheetId="13">[7]Frontsheet!#REF!</definedName>
    <definedName name="el" localSheetId="15">[7]Frontsheet!#REF!</definedName>
    <definedName name="el" localSheetId="17">[7]Frontsheet!#REF!</definedName>
    <definedName name="el" localSheetId="19">[7]Frontsheet!#REF!</definedName>
    <definedName name="el" localSheetId="21">[7]Frontsheet!#REF!</definedName>
    <definedName name="el" localSheetId="0">[8]Frontsheet!#REF!</definedName>
    <definedName name="el" localSheetId="1">[8]Frontsheet!#REF!</definedName>
    <definedName name="el">[7]Frontsheet!#REF!</definedName>
    <definedName name="ellen" localSheetId="0" hidden="1">{#N/A,#N/A,FALSE,"WATCHDSC";#N/A,#N/A,FALSE,"2LOSSMOD";#N/A,#N/A,FALSE,"2LOSS";#N/A,#N/A,FALSE,"DSC";#N/A,#N/A,FALSE,"OPERAT";#N/A,#N/A,FALSE,"ADJUST";#N/A,#N/A,FALSE,"LEASE EXPIRE"}</definedName>
    <definedName name="ellen" localSheetId="1" hidden="1">{#N/A,#N/A,FALSE,"WATCHDSC";#N/A,#N/A,FALSE,"2LOSSMOD";#N/A,#N/A,FALSE,"2LOSS";#N/A,#N/A,FALSE,"DSC";#N/A,#N/A,FALSE,"OPERAT";#N/A,#N/A,FALSE,"ADJUST";#N/A,#N/A,FALSE,"LEASE EXPIRE"}</definedName>
    <definedName name="ellen" hidden="1">{#N/A,#N/A,FALSE,"WATCHDSC";#N/A,#N/A,FALSE,"2LOSSMOD";#N/A,#N/A,FALSE,"2LOSS";#N/A,#N/A,FALSE,"DSC";#N/A,#N/A,FALSE,"OPERAT";#N/A,#N/A,FALSE,"ADJUST";#N/A,#N/A,FALSE,"LEASE EXPIRE"}</definedName>
    <definedName name="erasdf" localSheetId="0" hidden="1">{"Assump",#N/A,TRUE,"Proforma";"first",#N/A,TRUE,"Proforma";"second",#N/A,TRUE,"Proforma";"lease1",#N/A,TRUE,"Proforma";"lease2",#N/A,TRUE,"Proforma"}</definedName>
    <definedName name="erasdf" localSheetId="1" hidden="1">{"Assump",#N/A,TRUE,"Proforma";"first",#N/A,TRUE,"Proforma";"second",#N/A,TRUE,"Proforma";"lease1",#N/A,TRUE,"Proforma";"lease2",#N/A,TRUE,"Proforma"}</definedName>
    <definedName name="erasdf" hidden="1">{"Assump",#N/A,TRUE,"Proforma";"first",#N/A,TRUE,"Proforma";"second",#N/A,TRUE,"Proforma";"lease1",#N/A,TRUE,"Proforma";"lease2",#N/A,TRUE,"Proforma"}</definedName>
    <definedName name="EW" localSheetId="5">[7]Frontsheet!#REF!</definedName>
    <definedName name="EW" localSheetId="7">[7]Frontsheet!#REF!</definedName>
    <definedName name="EW" localSheetId="9">[7]Frontsheet!#REF!</definedName>
    <definedName name="EW" localSheetId="11">[7]Frontsheet!#REF!</definedName>
    <definedName name="EW" localSheetId="3">[7]Frontsheet!#REF!</definedName>
    <definedName name="EW" localSheetId="13">[7]Frontsheet!#REF!</definedName>
    <definedName name="EW" localSheetId="15">[7]Frontsheet!#REF!</definedName>
    <definedName name="EW" localSheetId="17">[7]Frontsheet!#REF!</definedName>
    <definedName name="EW" localSheetId="19">[7]Frontsheet!#REF!</definedName>
    <definedName name="EW" localSheetId="21">[7]Frontsheet!#REF!</definedName>
    <definedName name="EW" localSheetId="0">[8]Frontsheet!#REF!</definedName>
    <definedName name="EW" localSheetId="1">[8]Frontsheet!#REF!</definedName>
    <definedName name="EW">[7]Frontsheet!#REF!</definedName>
    <definedName name="f" localSheetId="5">[7]Frontsheet!#REF!</definedName>
    <definedName name="f" localSheetId="7">[7]Frontsheet!#REF!</definedName>
    <definedName name="f" localSheetId="9">[7]Frontsheet!#REF!</definedName>
    <definedName name="f" localSheetId="11">[7]Frontsheet!#REF!</definedName>
    <definedName name="f" localSheetId="3">[7]Frontsheet!#REF!</definedName>
    <definedName name="f" localSheetId="13">[7]Frontsheet!#REF!</definedName>
    <definedName name="f" localSheetId="15">[7]Frontsheet!#REF!</definedName>
    <definedName name="f" localSheetId="17">[7]Frontsheet!#REF!</definedName>
    <definedName name="f" localSheetId="19">[7]Frontsheet!#REF!</definedName>
    <definedName name="f" localSheetId="21">[7]Frontsheet!#REF!</definedName>
    <definedName name="f" localSheetId="0">[8]Frontsheet!#REF!</definedName>
    <definedName name="f" localSheetId="1">[8]Frontsheet!#REF!</definedName>
    <definedName name="f">[7]Frontsheet!#REF!</definedName>
    <definedName name="fe" localSheetId="5">[7]Frontsheet!#REF!</definedName>
    <definedName name="fe" localSheetId="7">[7]Frontsheet!#REF!</definedName>
    <definedName name="fe" localSheetId="9">[7]Frontsheet!#REF!</definedName>
    <definedName name="fe" localSheetId="11">[7]Frontsheet!#REF!</definedName>
    <definedName name="fe" localSheetId="3">[7]Frontsheet!#REF!</definedName>
    <definedName name="fe" localSheetId="13">[7]Frontsheet!#REF!</definedName>
    <definedName name="fe" localSheetId="15">[7]Frontsheet!#REF!</definedName>
    <definedName name="fe" localSheetId="17">[7]Frontsheet!#REF!</definedName>
    <definedName name="fe" localSheetId="19">[7]Frontsheet!#REF!</definedName>
    <definedName name="fe" localSheetId="21">[7]Frontsheet!#REF!</definedName>
    <definedName name="fe" localSheetId="0">[8]Frontsheet!#REF!</definedName>
    <definedName name="fe" localSheetId="1">[8]Frontsheet!#REF!</definedName>
    <definedName name="fe">[7]Frontsheet!#REF!</definedName>
    <definedName name="FFFFF" localSheetId="5">[7]Frontsheet!#REF!</definedName>
    <definedName name="FFFFF" localSheetId="7">[7]Frontsheet!#REF!</definedName>
    <definedName name="FFFFF" localSheetId="9">[7]Frontsheet!#REF!</definedName>
    <definedName name="FFFFF" localSheetId="11">[7]Frontsheet!#REF!</definedName>
    <definedName name="FFFFF" localSheetId="3">[7]Frontsheet!#REF!</definedName>
    <definedName name="FFFFF" localSheetId="13">[7]Frontsheet!#REF!</definedName>
    <definedName name="FFFFF" localSheetId="15">[7]Frontsheet!#REF!</definedName>
    <definedName name="FFFFF" localSheetId="17">[7]Frontsheet!#REF!</definedName>
    <definedName name="FFFFF" localSheetId="19">[7]Frontsheet!#REF!</definedName>
    <definedName name="FFFFF" localSheetId="21">[7]Frontsheet!#REF!</definedName>
    <definedName name="FFFFF" localSheetId="0">[8]Frontsheet!#REF!</definedName>
    <definedName name="FFFFF" localSheetId="1">[8]Frontsheet!#REF!</definedName>
    <definedName name="FFFFF">[7]Frontsheet!#REF!</definedName>
    <definedName name="FJHJ" localSheetId="5">[7]Frontsheet!#REF!</definedName>
    <definedName name="FJHJ" localSheetId="7">[7]Frontsheet!#REF!</definedName>
    <definedName name="FJHJ" localSheetId="9">[7]Frontsheet!#REF!</definedName>
    <definedName name="FJHJ" localSheetId="11">[7]Frontsheet!#REF!</definedName>
    <definedName name="FJHJ" localSheetId="3">[7]Frontsheet!#REF!</definedName>
    <definedName name="FJHJ" localSheetId="13">[7]Frontsheet!#REF!</definedName>
    <definedName name="FJHJ" localSheetId="15">[7]Frontsheet!#REF!</definedName>
    <definedName name="FJHJ" localSheetId="17">[7]Frontsheet!#REF!</definedName>
    <definedName name="FJHJ" localSheetId="19">[7]Frontsheet!#REF!</definedName>
    <definedName name="FJHJ" localSheetId="21">[7]Frontsheet!#REF!</definedName>
    <definedName name="FJHJ" localSheetId="0">[8]Frontsheet!#REF!</definedName>
    <definedName name="FJHJ" localSheetId="1">[8]Frontsheet!#REF!</definedName>
    <definedName name="FJHJ">[7]Frontsheet!#REF!</definedName>
    <definedName name="fo" localSheetId="5">#REF!</definedName>
    <definedName name="fo" localSheetId="7">#REF!</definedName>
    <definedName name="fo" localSheetId="9">#REF!</definedName>
    <definedName name="fo" localSheetId="11">#REF!</definedName>
    <definedName name="fo" localSheetId="3">#REF!</definedName>
    <definedName name="fo" localSheetId="13">#REF!</definedName>
    <definedName name="fo" localSheetId="15">#REF!</definedName>
    <definedName name="fo" localSheetId="17">#REF!</definedName>
    <definedName name="fo" localSheetId="19">#REF!</definedName>
    <definedName name="fo" localSheetId="21">#REF!</definedName>
    <definedName name="fo">#REF!</definedName>
    <definedName name="FORM" localSheetId="5">#REF!</definedName>
    <definedName name="FORM" localSheetId="7">#REF!</definedName>
    <definedName name="FORM" localSheetId="9">#REF!</definedName>
    <definedName name="FORM" localSheetId="11">#REF!</definedName>
    <definedName name="FORM" localSheetId="3">#REF!</definedName>
    <definedName name="FORM" localSheetId="13">#REF!</definedName>
    <definedName name="FORM" localSheetId="15">#REF!</definedName>
    <definedName name="FORM" localSheetId="17">#REF!</definedName>
    <definedName name="FORM" localSheetId="19">#REF!</definedName>
    <definedName name="FORM" localSheetId="21">#REF!</definedName>
    <definedName name="FORM">#REF!</definedName>
    <definedName name="FURYUR" localSheetId="5">[7]Frontsheet!#REF!</definedName>
    <definedName name="FURYUR" localSheetId="7">[7]Frontsheet!#REF!</definedName>
    <definedName name="FURYUR" localSheetId="9">[7]Frontsheet!#REF!</definedName>
    <definedName name="FURYUR" localSheetId="11">[7]Frontsheet!#REF!</definedName>
    <definedName name="FURYUR" localSheetId="3">[7]Frontsheet!#REF!</definedName>
    <definedName name="FURYUR" localSheetId="13">[7]Frontsheet!#REF!</definedName>
    <definedName name="FURYUR" localSheetId="15">[7]Frontsheet!#REF!</definedName>
    <definedName name="FURYUR" localSheetId="17">[7]Frontsheet!#REF!</definedName>
    <definedName name="FURYUR" localSheetId="19">[7]Frontsheet!#REF!</definedName>
    <definedName name="FURYUR" localSheetId="21">[7]Frontsheet!#REF!</definedName>
    <definedName name="FURYUR" localSheetId="0">[8]Frontsheet!#REF!</definedName>
    <definedName name="FURYUR" localSheetId="1">[8]Frontsheet!#REF!</definedName>
    <definedName name="FURYUR">[7]Frontsheet!#REF!</definedName>
    <definedName name="gl" localSheetId="5">[7]Frontsheet!#REF!</definedName>
    <definedName name="gl" localSheetId="7">[7]Frontsheet!#REF!</definedName>
    <definedName name="gl" localSheetId="9">[7]Frontsheet!#REF!</definedName>
    <definedName name="gl" localSheetId="11">[7]Frontsheet!#REF!</definedName>
    <definedName name="gl" localSheetId="3">[7]Frontsheet!#REF!</definedName>
    <definedName name="gl" localSheetId="13">[7]Frontsheet!#REF!</definedName>
    <definedName name="gl" localSheetId="15">[7]Frontsheet!#REF!</definedName>
    <definedName name="gl" localSheetId="17">[7]Frontsheet!#REF!</definedName>
    <definedName name="gl" localSheetId="19">[7]Frontsheet!#REF!</definedName>
    <definedName name="gl" localSheetId="21">[7]Frontsheet!#REF!</definedName>
    <definedName name="gl" localSheetId="0">[8]Frontsheet!#REF!</definedName>
    <definedName name="gl" localSheetId="1">[8]Frontsheet!#REF!</definedName>
    <definedName name="gl">[7]Frontsheet!#REF!</definedName>
    <definedName name="h" localSheetId="5">[7]Frontsheet!#REF!</definedName>
    <definedName name="h" localSheetId="7">[7]Frontsheet!#REF!</definedName>
    <definedName name="h" localSheetId="9">[7]Frontsheet!#REF!</definedName>
    <definedName name="h" localSheetId="11">[7]Frontsheet!#REF!</definedName>
    <definedName name="h" localSheetId="3">[7]Frontsheet!#REF!</definedName>
    <definedName name="h" localSheetId="13">[7]Frontsheet!#REF!</definedName>
    <definedName name="h" localSheetId="15">[7]Frontsheet!#REF!</definedName>
    <definedName name="h" localSheetId="17">[7]Frontsheet!#REF!</definedName>
    <definedName name="h" localSheetId="19">[7]Frontsheet!#REF!</definedName>
    <definedName name="h" localSheetId="21">[7]Frontsheet!#REF!</definedName>
    <definedName name="h" localSheetId="0">[8]Frontsheet!#REF!</definedName>
    <definedName name="h" localSheetId="1">[8]Frontsheet!#REF!</definedName>
    <definedName name="h">[7]Frontsheet!#REF!</definedName>
    <definedName name="hjkhjlkgg" localSheetId="5">[7]Frontsheet!#REF!</definedName>
    <definedName name="hjkhjlkgg" localSheetId="7">[7]Frontsheet!#REF!</definedName>
    <definedName name="hjkhjlkgg" localSheetId="9">[7]Frontsheet!#REF!</definedName>
    <definedName name="hjkhjlkgg" localSheetId="11">[7]Frontsheet!#REF!</definedName>
    <definedName name="hjkhjlkgg" localSheetId="3">[7]Frontsheet!#REF!</definedName>
    <definedName name="hjkhjlkgg" localSheetId="13">[7]Frontsheet!#REF!</definedName>
    <definedName name="hjkhjlkgg" localSheetId="15">[7]Frontsheet!#REF!</definedName>
    <definedName name="hjkhjlkgg" localSheetId="17">[7]Frontsheet!#REF!</definedName>
    <definedName name="hjkhjlkgg" localSheetId="19">[7]Frontsheet!#REF!</definedName>
    <definedName name="hjkhjlkgg" localSheetId="21">[7]Frontsheet!#REF!</definedName>
    <definedName name="hjkhjlkgg" localSheetId="0">[8]Frontsheet!#REF!</definedName>
    <definedName name="hjkhjlkgg" localSheetId="1">[8]Frontsheet!#REF!</definedName>
    <definedName name="hjkhjlkgg">[7]Frontsheet!#REF!</definedName>
    <definedName name="jkjkl" localSheetId="5">[7]Frontsheet!#REF!</definedName>
    <definedName name="jkjkl" localSheetId="7">[7]Frontsheet!#REF!</definedName>
    <definedName name="jkjkl" localSheetId="9">[7]Frontsheet!#REF!</definedName>
    <definedName name="jkjkl" localSheetId="11">[7]Frontsheet!#REF!</definedName>
    <definedName name="jkjkl" localSheetId="3">[7]Frontsheet!#REF!</definedName>
    <definedName name="jkjkl" localSheetId="13">[7]Frontsheet!#REF!</definedName>
    <definedName name="jkjkl" localSheetId="15">[7]Frontsheet!#REF!</definedName>
    <definedName name="jkjkl" localSheetId="17">[7]Frontsheet!#REF!</definedName>
    <definedName name="jkjkl" localSheetId="19">[7]Frontsheet!#REF!</definedName>
    <definedName name="jkjkl" localSheetId="21">[7]Frontsheet!#REF!</definedName>
    <definedName name="jkjkl" localSheetId="0">[8]Frontsheet!#REF!</definedName>
    <definedName name="jkjkl" localSheetId="1">[8]Frontsheet!#REF!</definedName>
    <definedName name="jkjkl">[7]Frontsheet!#REF!</definedName>
    <definedName name="kb" localSheetId="5">[7]Frontsheet!#REF!</definedName>
    <definedName name="kb" localSheetId="7">[7]Frontsheet!#REF!</definedName>
    <definedName name="kb" localSheetId="9">[7]Frontsheet!#REF!</definedName>
    <definedName name="kb" localSheetId="11">[7]Frontsheet!#REF!</definedName>
    <definedName name="kb" localSheetId="3">[7]Frontsheet!#REF!</definedName>
    <definedName name="kb" localSheetId="13">[7]Frontsheet!#REF!</definedName>
    <definedName name="kb" localSheetId="15">[7]Frontsheet!#REF!</definedName>
    <definedName name="kb" localSheetId="17">[7]Frontsheet!#REF!</definedName>
    <definedName name="kb" localSheetId="19">[7]Frontsheet!#REF!</definedName>
    <definedName name="kb" localSheetId="21">[7]Frontsheet!#REF!</definedName>
    <definedName name="kb" localSheetId="0">[8]Frontsheet!#REF!</definedName>
    <definedName name="kb" localSheetId="1">[8]Frontsheet!#REF!</definedName>
    <definedName name="kb">[7]Frontsheet!#REF!</definedName>
    <definedName name="ke" localSheetId="5">[7]Frontsheet!#REF!</definedName>
    <definedName name="ke" localSheetId="7">[7]Frontsheet!#REF!</definedName>
    <definedName name="ke" localSheetId="9">[7]Frontsheet!#REF!</definedName>
    <definedName name="ke" localSheetId="11">[7]Frontsheet!#REF!</definedName>
    <definedName name="ke" localSheetId="3">[7]Frontsheet!#REF!</definedName>
    <definedName name="ke" localSheetId="13">[7]Frontsheet!#REF!</definedName>
    <definedName name="ke" localSheetId="15">[7]Frontsheet!#REF!</definedName>
    <definedName name="ke" localSheetId="17">[7]Frontsheet!#REF!</definedName>
    <definedName name="ke" localSheetId="19">[7]Frontsheet!#REF!</definedName>
    <definedName name="ke" localSheetId="21">[7]Frontsheet!#REF!</definedName>
    <definedName name="ke" localSheetId="0">[8]Frontsheet!#REF!</definedName>
    <definedName name="ke" localSheetId="1">[8]Frontsheet!#REF!</definedName>
    <definedName name="ke">[7]Frontsheet!#REF!</definedName>
    <definedName name="lk" localSheetId="5">[7]Frontsheet!#REF!</definedName>
    <definedName name="lk" localSheetId="7">[7]Frontsheet!#REF!</definedName>
    <definedName name="lk" localSheetId="9">[7]Frontsheet!#REF!</definedName>
    <definedName name="lk" localSheetId="11">[7]Frontsheet!#REF!</definedName>
    <definedName name="lk" localSheetId="3">[7]Frontsheet!#REF!</definedName>
    <definedName name="lk" localSheetId="13">[7]Frontsheet!#REF!</definedName>
    <definedName name="lk" localSheetId="15">[7]Frontsheet!#REF!</definedName>
    <definedName name="lk" localSheetId="17">[7]Frontsheet!#REF!</definedName>
    <definedName name="lk" localSheetId="19">[7]Frontsheet!#REF!</definedName>
    <definedName name="lk" localSheetId="21">[7]Frontsheet!#REF!</definedName>
    <definedName name="lk" localSheetId="0">[8]Frontsheet!#REF!</definedName>
    <definedName name="lk" localSheetId="1">[8]Frontsheet!#REF!</definedName>
    <definedName name="lk">[7]Frontsheet!#REF!</definedName>
    <definedName name="memo_description" localSheetId="0">[11]Lists!$D$4:$D$10</definedName>
    <definedName name="memo_description" localSheetId="1">[11]Lists!$D$4:$D$10</definedName>
    <definedName name="memo_description">[12]Lists!$D$4:$D$10</definedName>
    <definedName name="ml" localSheetId="5">[7]Frontsheet!#REF!</definedName>
    <definedName name="ml" localSheetId="7">[7]Frontsheet!#REF!</definedName>
    <definedName name="ml" localSheetId="9">[7]Frontsheet!#REF!</definedName>
    <definedName name="ml" localSheetId="11">[7]Frontsheet!#REF!</definedName>
    <definedName name="ml" localSheetId="3">[7]Frontsheet!#REF!</definedName>
    <definedName name="ml" localSheetId="13">[7]Frontsheet!#REF!</definedName>
    <definedName name="ml" localSheetId="15">[7]Frontsheet!#REF!</definedName>
    <definedName name="ml" localSheetId="17">[7]Frontsheet!#REF!</definedName>
    <definedName name="ml" localSheetId="19">[7]Frontsheet!#REF!</definedName>
    <definedName name="ml" localSheetId="21">[7]Frontsheet!#REF!</definedName>
    <definedName name="ml" localSheetId="0">[8]Frontsheet!#REF!</definedName>
    <definedName name="ml" localSheetId="1">[8]Frontsheet!#REF!</definedName>
    <definedName name="ml">[7]Frontsheet!#REF!</definedName>
    <definedName name="mw" localSheetId="5">[7]Frontsheet!#REF!</definedName>
    <definedName name="mw" localSheetId="7">[7]Frontsheet!#REF!</definedName>
    <definedName name="mw" localSheetId="9">[7]Frontsheet!#REF!</definedName>
    <definedName name="mw" localSheetId="11">[7]Frontsheet!#REF!</definedName>
    <definedName name="mw" localSheetId="3">[7]Frontsheet!#REF!</definedName>
    <definedName name="mw" localSheetId="13">[7]Frontsheet!#REF!</definedName>
    <definedName name="mw" localSheetId="15">[7]Frontsheet!#REF!</definedName>
    <definedName name="mw" localSheetId="17">[7]Frontsheet!#REF!</definedName>
    <definedName name="mw" localSheetId="19">[7]Frontsheet!#REF!</definedName>
    <definedName name="mw" localSheetId="21">[7]Frontsheet!#REF!</definedName>
    <definedName name="mw" localSheetId="0">[8]Frontsheet!#REF!</definedName>
    <definedName name="mw" localSheetId="1">[8]Frontsheet!#REF!</definedName>
    <definedName name="mw">[7]Frontsheet!#REF!</definedName>
    <definedName name="NEWDRAW" localSheetId="5">#REF!</definedName>
    <definedName name="NEWDRAW" localSheetId="7">#REF!</definedName>
    <definedName name="NEWDRAW" localSheetId="9">#REF!</definedName>
    <definedName name="NEWDRAW" localSheetId="11">#REF!</definedName>
    <definedName name="NEWDRAW" localSheetId="3">#REF!</definedName>
    <definedName name="NEWDRAW" localSheetId="13">#REF!</definedName>
    <definedName name="NEWDRAW" localSheetId="15">#REF!</definedName>
    <definedName name="NEWDRAW" localSheetId="17">#REF!</definedName>
    <definedName name="NEWDRAW" localSheetId="19">#REF!</definedName>
    <definedName name="NEWDRAW" localSheetId="21">#REF!</definedName>
    <definedName name="NEWDRAW">#REF!</definedName>
    <definedName name="NvsEndTime">36465.4707604167</definedName>
    <definedName name="os" localSheetId="5">[7]Frontsheet!#REF!</definedName>
    <definedName name="os" localSheetId="7">[7]Frontsheet!#REF!</definedName>
    <definedName name="os" localSheetId="9">[7]Frontsheet!#REF!</definedName>
    <definedName name="os" localSheetId="11">[7]Frontsheet!#REF!</definedName>
    <definedName name="os" localSheetId="3">[7]Frontsheet!#REF!</definedName>
    <definedName name="os" localSheetId="13">[7]Frontsheet!#REF!</definedName>
    <definedName name="os" localSheetId="15">[7]Frontsheet!#REF!</definedName>
    <definedName name="os" localSheetId="17">[7]Frontsheet!#REF!</definedName>
    <definedName name="os" localSheetId="19">[7]Frontsheet!#REF!</definedName>
    <definedName name="os" localSheetId="21">[7]Frontsheet!#REF!</definedName>
    <definedName name="os" localSheetId="0">[8]Frontsheet!#REF!</definedName>
    <definedName name="os" localSheetId="1">[8]Frontsheet!#REF!</definedName>
    <definedName name="os">[7]Frontsheet!#REF!</definedName>
    <definedName name="p" localSheetId="5">[7]Frontsheet!#REF!</definedName>
    <definedName name="p" localSheetId="7">[7]Frontsheet!#REF!</definedName>
    <definedName name="p" localSheetId="9">[7]Frontsheet!#REF!</definedName>
    <definedName name="p" localSheetId="11">[7]Frontsheet!#REF!</definedName>
    <definedName name="p" localSheetId="3">[7]Frontsheet!#REF!</definedName>
    <definedName name="p" localSheetId="13">[7]Frontsheet!#REF!</definedName>
    <definedName name="p" localSheetId="15">[7]Frontsheet!#REF!</definedName>
    <definedName name="p" localSheetId="17">[7]Frontsheet!#REF!</definedName>
    <definedName name="p" localSheetId="19">[7]Frontsheet!#REF!</definedName>
    <definedName name="p" localSheetId="21">[7]Frontsheet!#REF!</definedName>
    <definedName name="p" localSheetId="0">[8]Frontsheet!#REF!</definedName>
    <definedName name="p" localSheetId="1">[8]Frontsheet!#REF!</definedName>
    <definedName name="p">[7]Frontsheet!#REF!</definedName>
    <definedName name="pa" localSheetId="5">[7]Frontsheet!#REF!</definedName>
    <definedName name="pa" localSheetId="7">[7]Frontsheet!#REF!</definedName>
    <definedName name="pa" localSheetId="9">[7]Frontsheet!#REF!</definedName>
    <definedName name="pa" localSheetId="11">[7]Frontsheet!#REF!</definedName>
    <definedName name="pa" localSheetId="3">[7]Frontsheet!#REF!</definedName>
    <definedName name="pa" localSheetId="13">[7]Frontsheet!#REF!</definedName>
    <definedName name="pa" localSheetId="15">[7]Frontsheet!#REF!</definedName>
    <definedName name="pa" localSheetId="17">[7]Frontsheet!#REF!</definedName>
    <definedName name="pa" localSheetId="19">[7]Frontsheet!#REF!</definedName>
    <definedName name="pa" localSheetId="21">[7]Frontsheet!#REF!</definedName>
    <definedName name="pa" localSheetId="0">[8]Frontsheet!#REF!</definedName>
    <definedName name="pa" localSheetId="1">[8]Frontsheet!#REF!</definedName>
    <definedName name="pa">[7]Frontsheet!#REF!</definedName>
    <definedName name="PD" localSheetId="5">#REF!</definedName>
    <definedName name="PD" localSheetId="7">#REF!</definedName>
    <definedName name="PD" localSheetId="9">#REF!</definedName>
    <definedName name="PD" localSheetId="11">#REF!</definedName>
    <definedName name="PD" localSheetId="3">#REF!</definedName>
    <definedName name="PD" localSheetId="13">#REF!</definedName>
    <definedName name="PD" localSheetId="15">#REF!</definedName>
    <definedName name="PD" localSheetId="17">#REF!</definedName>
    <definedName name="PD" localSheetId="19">#REF!</definedName>
    <definedName name="PD" localSheetId="21">#REF!</definedName>
    <definedName name="PD">#REF!</definedName>
    <definedName name="pipeline_status" localSheetId="0">[11]Lists!$F$4:$F$8</definedName>
    <definedName name="pipeline_status" localSheetId="1">[11]Lists!$F$4:$F$8</definedName>
    <definedName name="pipeline_status">[12]Lists!$F$4:$F$8</definedName>
    <definedName name="pp" localSheetId="5">[7]Frontsheet!#REF!</definedName>
    <definedName name="pp" localSheetId="7">[7]Frontsheet!#REF!</definedName>
    <definedName name="pp" localSheetId="9">[7]Frontsheet!#REF!</definedName>
    <definedName name="pp" localSheetId="11">[7]Frontsheet!#REF!</definedName>
    <definedName name="pp" localSheetId="3">[7]Frontsheet!#REF!</definedName>
    <definedName name="pp" localSheetId="13">[7]Frontsheet!#REF!</definedName>
    <definedName name="pp" localSheetId="15">[7]Frontsheet!#REF!</definedName>
    <definedName name="pp" localSheetId="17">[7]Frontsheet!#REF!</definedName>
    <definedName name="pp" localSheetId="19">[7]Frontsheet!#REF!</definedName>
    <definedName name="pp" localSheetId="21">[7]Frontsheet!#REF!</definedName>
    <definedName name="pp" localSheetId="0">[8]Frontsheet!#REF!</definedName>
    <definedName name="pp" localSheetId="1">[8]Frontsheet!#REF!</definedName>
    <definedName name="pp">[7]Frontsheet!#REF!</definedName>
    <definedName name="_xlnm.Print_Area" localSheetId="6">'A DRAW'!$A$1:$BZ$51</definedName>
    <definedName name="_xlnm.Print_Area" localSheetId="5">'A Financial'!$A$1:$E$164</definedName>
    <definedName name="_xlnm.Print_Area" localSheetId="8">'B DRAW'!$A$1:$BZ$51</definedName>
    <definedName name="_xlnm.Print_Area" localSheetId="7">'B Financial'!$A$1:$E$164</definedName>
    <definedName name="_xlnm.Print_Area" localSheetId="10">'C DRAW'!$A$1:$BZ$51</definedName>
    <definedName name="_xlnm.Print_Area" localSheetId="9">'C Financial'!$A$1:$E$164</definedName>
    <definedName name="_xlnm.Print_Area" localSheetId="12">'D DRAW'!$A$1:$BZ$51</definedName>
    <definedName name="_xlnm.Print_Area" localSheetId="11">'D Financial'!$A$1:$E$164</definedName>
    <definedName name="_xlnm.Print_Area" localSheetId="3">'Development Program'!$A$8:$P$71</definedName>
    <definedName name="_xlnm.Print_Area" localSheetId="14">'E DRAW'!$A$1:$BZ$51</definedName>
    <definedName name="_xlnm.Print_Area" localSheetId="13">'E Financial'!$A$1:$E$164</definedName>
    <definedName name="_xlnm.Print_Area" localSheetId="16">'F DRAW'!$A$1:$BZ$51</definedName>
    <definedName name="_xlnm.Print_Area" localSheetId="15">'F Financial'!$A$1:$E$164</definedName>
    <definedName name="_xlnm.Print_Area" localSheetId="18">'G DRAW'!$A$1:$BZ$51</definedName>
    <definedName name="_xlnm.Print_Area" localSheetId="17">'G Financial'!$A$1:$E$164</definedName>
    <definedName name="_xlnm.Print_Area" localSheetId="20">'H DRAW'!$A$1:$BZ$51</definedName>
    <definedName name="_xlnm.Print_Area" localSheetId="19">'H Financial'!$A$1:$E$164</definedName>
    <definedName name="_xlnm.Print_Area" localSheetId="22">'I DRAW'!$A$1:$BZ$51</definedName>
    <definedName name="_xlnm.Print_Area" localSheetId="21">'I Financial'!$A$1:$E$164</definedName>
    <definedName name="_xlnm.Print_Area">#REF!</definedName>
    <definedName name="print_area2" localSheetId="5">#REF!</definedName>
    <definedName name="print_area2" localSheetId="7">#REF!</definedName>
    <definedName name="print_area2" localSheetId="9">#REF!</definedName>
    <definedName name="print_area2" localSheetId="11">#REF!</definedName>
    <definedName name="print_area2" localSheetId="3">#REF!</definedName>
    <definedName name="print_area2" localSheetId="13">#REF!</definedName>
    <definedName name="print_area2" localSheetId="15">#REF!</definedName>
    <definedName name="print_area2" localSheetId="17">#REF!</definedName>
    <definedName name="print_area2" localSheetId="19">#REF!</definedName>
    <definedName name="print_area2" localSheetId="21">#REF!</definedName>
    <definedName name="print_area2">#REF!</definedName>
    <definedName name="print_area3" localSheetId="5">#REF!</definedName>
    <definedName name="print_area3" localSheetId="7">#REF!</definedName>
    <definedName name="print_area3" localSheetId="9">#REF!</definedName>
    <definedName name="print_area3" localSheetId="11">#REF!</definedName>
    <definedName name="print_area3" localSheetId="3">#REF!</definedName>
    <definedName name="print_area3" localSheetId="13">#REF!</definedName>
    <definedName name="print_area3" localSheetId="15">#REF!</definedName>
    <definedName name="print_area3" localSheetId="17">#REF!</definedName>
    <definedName name="print_area3" localSheetId="19">#REF!</definedName>
    <definedName name="print_area3" localSheetId="21">#REF!</definedName>
    <definedName name="print_area3">#REF!</definedName>
    <definedName name="print_area4" localSheetId="5">#REF!</definedName>
    <definedName name="print_area4" localSheetId="7">#REF!</definedName>
    <definedName name="print_area4" localSheetId="9">#REF!</definedName>
    <definedName name="print_area4" localSheetId="11">#REF!</definedName>
    <definedName name="print_area4" localSheetId="3">#REF!</definedName>
    <definedName name="print_area4" localSheetId="13">#REF!</definedName>
    <definedName name="print_area4" localSheetId="15">#REF!</definedName>
    <definedName name="print_area4" localSheetId="17">#REF!</definedName>
    <definedName name="print_area4" localSheetId="19">#REF!</definedName>
    <definedName name="print_area4" localSheetId="21">#REF!</definedName>
    <definedName name="print_area4">#REF!</definedName>
    <definedName name="_xlnm.Print_Titles">#N/A</definedName>
    <definedName name="PROFORMA" localSheetId="5">#REF!</definedName>
    <definedName name="PROFORMA" localSheetId="7">#REF!</definedName>
    <definedName name="PROFORMA" localSheetId="9">#REF!</definedName>
    <definedName name="PROFORMA" localSheetId="11">#REF!</definedName>
    <definedName name="PROFORMA" localSheetId="3">#REF!</definedName>
    <definedName name="PROFORMA" localSheetId="13">#REF!</definedName>
    <definedName name="PROFORMA" localSheetId="15">#REF!</definedName>
    <definedName name="PROFORMA" localSheetId="17">#REF!</definedName>
    <definedName name="PROFORMA" localSheetId="19">#REF!</definedName>
    <definedName name="PROFORMA" localSheetId="21">#REF!</definedName>
    <definedName name="PROFORMA">#REF!</definedName>
    <definedName name="Promote_dev_1" localSheetId="0">[11]Input!$E$330</definedName>
    <definedName name="Promote_dev_1" localSheetId="1">[11]Input!$E$330</definedName>
    <definedName name="Promote_dev_1">[12]Input!$E$330</definedName>
    <definedName name="Property_Types" localSheetId="0">'[15]Deal Assumptions'!$G$345:$Z$345</definedName>
    <definedName name="Property_Types" localSheetId="1">'[15]Deal Assumptions'!$G$345:$Z$345</definedName>
    <definedName name="Property_Types">'[16]Deal Assumptions'!$G$345:$Z$345</definedName>
    <definedName name="pt" localSheetId="5">[7]Frontsheet!#REF!</definedName>
    <definedName name="pt" localSheetId="7">[7]Frontsheet!#REF!</definedName>
    <definedName name="pt" localSheetId="9">[7]Frontsheet!#REF!</definedName>
    <definedName name="pt" localSheetId="11">[7]Frontsheet!#REF!</definedName>
    <definedName name="pt" localSheetId="3">[7]Frontsheet!#REF!</definedName>
    <definedName name="pt" localSheetId="13">[7]Frontsheet!#REF!</definedName>
    <definedName name="pt" localSheetId="15">[7]Frontsheet!#REF!</definedName>
    <definedName name="pt" localSheetId="17">[7]Frontsheet!#REF!</definedName>
    <definedName name="pt" localSheetId="19">[7]Frontsheet!#REF!</definedName>
    <definedName name="pt" localSheetId="21">[7]Frontsheet!#REF!</definedName>
    <definedName name="pt" localSheetId="0">[8]Frontsheet!#REF!</definedName>
    <definedName name="pt" localSheetId="1">[8]Frontsheet!#REF!</definedName>
    <definedName name="pt">[7]Frontsheet!#REF!</definedName>
    <definedName name="qq" localSheetId="5">#REF!</definedName>
    <definedName name="qq" localSheetId="7">#REF!</definedName>
    <definedName name="qq" localSheetId="9">#REF!</definedName>
    <definedName name="qq" localSheetId="11">#REF!</definedName>
    <definedName name="qq" localSheetId="3">#REF!</definedName>
    <definedName name="qq" localSheetId="13">#REF!</definedName>
    <definedName name="qq" localSheetId="15">#REF!</definedName>
    <definedName name="qq" localSheetId="17">#REF!</definedName>
    <definedName name="qq" localSheetId="19">#REF!</definedName>
    <definedName name="qq" localSheetId="21">#REF!</definedName>
    <definedName name="qq">#REF!</definedName>
    <definedName name="report" localSheetId="0" hidden="1">{#N/A,#N/A,FALSE,"Summary";#N/A,#N/A,FALSE,"Assumptions";#N/A,#N/A,FALSE,"Cash Flow";#N/A,#N/A,FALSE,"Residual Calculation";#N/A,#N/A,FALSE,"Pricing Matrix";#N/A,#N/A,FALSE,"Pricing Matrix II";#N/A,#N/A,FALSE,"Expiration Schedule"}</definedName>
    <definedName name="report" localSheetId="1" hidden="1">{#N/A,#N/A,FALSE,"Summary";#N/A,#N/A,FALSE,"Assumptions";#N/A,#N/A,FALSE,"Cash Flow";#N/A,#N/A,FALSE,"Residual Calculation";#N/A,#N/A,FALSE,"Pricing Matrix";#N/A,#N/A,FALSE,"Pricing Matrix II";#N/A,#N/A,FALSE,"Expiration Schedule"}</definedName>
    <definedName name="report" hidden="1">{#N/A,#N/A,FALSE,"Summary";#N/A,#N/A,FALSE,"Assumptions";#N/A,#N/A,FALSE,"Cash Flow";#N/A,#N/A,FALSE,"Residual Calculation";#N/A,#N/A,FALSE,"Pricing Matrix";#N/A,#N/A,FALSE,"Pricing Matrix II";#N/A,#N/A,FALSE,"Expiration Schedule"}</definedName>
    <definedName name="rf" localSheetId="5">[7]Frontsheet!#REF!</definedName>
    <definedName name="rf" localSheetId="7">[7]Frontsheet!#REF!</definedName>
    <definedName name="rf" localSheetId="9">[7]Frontsheet!#REF!</definedName>
    <definedName name="rf" localSheetId="11">[7]Frontsheet!#REF!</definedName>
    <definedName name="rf" localSheetId="3">[7]Frontsheet!#REF!</definedName>
    <definedName name="rf" localSheetId="13">[7]Frontsheet!#REF!</definedName>
    <definedName name="rf" localSheetId="15">[7]Frontsheet!#REF!</definedName>
    <definedName name="rf" localSheetId="17">[7]Frontsheet!#REF!</definedName>
    <definedName name="rf" localSheetId="19">[7]Frontsheet!#REF!</definedName>
    <definedName name="rf" localSheetId="21">[7]Frontsheet!#REF!</definedName>
    <definedName name="rf" localSheetId="0">[8]Frontsheet!#REF!</definedName>
    <definedName name="rf" localSheetId="1">[8]Frontsheet!#REF!</definedName>
    <definedName name="rf">[7]Frontsheet!#REF!</definedName>
    <definedName name="S_U" localSheetId="5">#REF!</definedName>
    <definedName name="S_U" localSheetId="7">#REF!</definedName>
    <definedName name="S_U" localSheetId="9">#REF!</definedName>
    <definedName name="S_U" localSheetId="11">#REF!</definedName>
    <definedName name="S_U" localSheetId="3">#REF!</definedName>
    <definedName name="S_U" localSheetId="13">#REF!</definedName>
    <definedName name="S_U" localSheetId="15">#REF!</definedName>
    <definedName name="S_U" localSheetId="17">#REF!</definedName>
    <definedName name="S_U" localSheetId="19">#REF!</definedName>
    <definedName name="S_U" localSheetId="21">#REF!</definedName>
    <definedName name="S_U">#REF!</definedName>
    <definedName name="Sample1" localSheetId="5">[17]Template!#REF!</definedName>
    <definedName name="Sample1" localSheetId="7">[17]Template!#REF!</definedName>
    <definedName name="Sample1" localSheetId="9">[17]Template!#REF!</definedName>
    <definedName name="Sample1" localSheetId="11">[17]Template!#REF!</definedName>
    <definedName name="Sample1" localSheetId="3">[17]Template!#REF!</definedName>
    <definedName name="Sample1" localSheetId="13">[17]Template!#REF!</definedName>
    <definedName name="Sample1" localSheetId="15">[17]Template!#REF!</definedName>
    <definedName name="Sample1" localSheetId="17">[17]Template!#REF!</definedName>
    <definedName name="Sample1" localSheetId="19">[17]Template!#REF!</definedName>
    <definedName name="Sample1" localSheetId="21">[17]Template!#REF!</definedName>
    <definedName name="Sample1" localSheetId="0">[18]Template!#REF!</definedName>
    <definedName name="Sample1" localSheetId="1">[18]Template!#REF!</definedName>
    <definedName name="Sample1">[17]Template!#REF!</definedName>
    <definedName name="sample2" localSheetId="5">[19]Template!#REF!</definedName>
    <definedName name="sample2" localSheetId="7">[19]Template!#REF!</definedName>
    <definedName name="sample2" localSheetId="9">[19]Template!#REF!</definedName>
    <definedName name="sample2" localSheetId="11">[19]Template!#REF!</definedName>
    <definedName name="sample2" localSheetId="3">[19]Template!#REF!</definedName>
    <definedName name="sample2" localSheetId="13">[19]Template!#REF!</definedName>
    <definedName name="sample2" localSheetId="15">[19]Template!#REF!</definedName>
    <definedName name="sample2" localSheetId="17">[19]Template!#REF!</definedName>
    <definedName name="sample2" localSheetId="19">[19]Template!#REF!</definedName>
    <definedName name="sample2" localSheetId="21">[19]Template!#REF!</definedName>
    <definedName name="sample2" localSheetId="0">[20]Template!#REF!</definedName>
    <definedName name="sample2" localSheetId="1">[20]Template!#REF!</definedName>
    <definedName name="sample2">[19]Template!#REF!</definedName>
    <definedName name="sample3" localSheetId="5">[19]Template!#REF!</definedName>
    <definedName name="sample3" localSheetId="7">[19]Template!#REF!</definedName>
    <definedName name="sample3" localSheetId="9">[19]Template!#REF!</definedName>
    <definedName name="sample3" localSheetId="11">[19]Template!#REF!</definedName>
    <definedName name="sample3" localSheetId="3">[19]Template!#REF!</definedName>
    <definedName name="sample3" localSheetId="13">[19]Template!#REF!</definedName>
    <definedName name="sample3" localSheetId="15">[19]Template!#REF!</definedName>
    <definedName name="sample3" localSheetId="17">[19]Template!#REF!</definedName>
    <definedName name="sample3" localSheetId="19">[19]Template!#REF!</definedName>
    <definedName name="sample3" localSheetId="21">[19]Template!#REF!</definedName>
    <definedName name="sample3" localSheetId="0">[20]Template!#REF!</definedName>
    <definedName name="sample3" localSheetId="1">[20]Template!#REF!</definedName>
    <definedName name="sample3">[19]Template!#REF!</definedName>
    <definedName name="sdf" localSheetId="0" hidden="1">{"Assump",#N/A,TRUE,"Proforma";"first",#N/A,TRUE,"Proforma";"second",#N/A,TRUE,"Proforma";"lease1",#N/A,TRUE,"Proforma";"lease2",#N/A,TRUE,"Proforma"}</definedName>
    <definedName name="sdf" localSheetId="1" hidden="1">{"Assump",#N/A,TRUE,"Proforma";"first",#N/A,TRUE,"Proforma";"second",#N/A,TRUE,"Proforma";"lease1",#N/A,TRUE,"Proforma";"lease2",#N/A,TRUE,"Proforma"}</definedName>
    <definedName name="sdf" hidden="1">{"Assump",#N/A,TRUE,"Proforma";"first",#N/A,TRUE,"Proforma";"second",#N/A,TRUE,"Proforma";"lease1",#N/A,TRUE,"Proforma";"lease2",#N/A,TRUE,"Proforma"}</definedName>
    <definedName name="sdfgsfgdsfg" localSheetId="5">[7]Frontsheet!#REF!</definedName>
    <definedName name="sdfgsfgdsfg" localSheetId="7">[7]Frontsheet!#REF!</definedName>
    <definedName name="sdfgsfgdsfg" localSheetId="9">[7]Frontsheet!#REF!</definedName>
    <definedName name="sdfgsfgdsfg" localSheetId="11">[7]Frontsheet!#REF!</definedName>
    <definedName name="sdfgsfgdsfg" localSheetId="3">[7]Frontsheet!#REF!</definedName>
    <definedName name="sdfgsfgdsfg" localSheetId="13">[7]Frontsheet!#REF!</definedName>
    <definedName name="sdfgsfgdsfg" localSheetId="15">[7]Frontsheet!#REF!</definedName>
    <definedName name="sdfgsfgdsfg" localSheetId="17">[7]Frontsheet!#REF!</definedName>
    <definedName name="sdfgsfgdsfg" localSheetId="19">[7]Frontsheet!#REF!</definedName>
    <definedName name="sdfgsfgdsfg" localSheetId="21">[7]Frontsheet!#REF!</definedName>
    <definedName name="sdfgsfgdsfg" localSheetId="0">[8]Frontsheet!#REF!</definedName>
    <definedName name="sdfgsfgdsfg" localSheetId="1">[8]Frontsheet!#REF!</definedName>
    <definedName name="sdfgsfgdsfg">[7]Frontsheet!#REF!</definedName>
    <definedName name="SF" localSheetId="0">'[21]One Pager - Assumptions'!$H$31</definedName>
    <definedName name="SF" localSheetId="1">'[21]One Pager - Assumptions'!$H$31</definedName>
    <definedName name="SF">'[22]One Pager - Assumptions'!$H$31</definedName>
    <definedName name="sg" localSheetId="5">[7]Frontsheet!#REF!</definedName>
    <definedName name="sg" localSheetId="7">[7]Frontsheet!#REF!</definedName>
    <definedName name="sg" localSheetId="9">[7]Frontsheet!#REF!</definedName>
    <definedName name="sg" localSheetId="11">[7]Frontsheet!#REF!</definedName>
    <definedName name="sg" localSheetId="3">[7]Frontsheet!#REF!</definedName>
    <definedName name="sg" localSheetId="13">[7]Frontsheet!#REF!</definedName>
    <definedName name="sg" localSheetId="15">[7]Frontsheet!#REF!</definedName>
    <definedName name="sg" localSheetId="17">[7]Frontsheet!#REF!</definedName>
    <definedName name="sg" localSheetId="19">[7]Frontsheet!#REF!</definedName>
    <definedName name="sg" localSheetId="21">[7]Frontsheet!#REF!</definedName>
    <definedName name="sg" localSheetId="0">[8]Frontsheet!#REF!</definedName>
    <definedName name="sg" localSheetId="1">[8]Frontsheet!#REF!</definedName>
    <definedName name="sg">[7]Frontsheet!#REF!</definedName>
    <definedName name="si" localSheetId="5">[7]Frontsheet!#REF!</definedName>
    <definedName name="si" localSheetId="7">[7]Frontsheet!#REF!</definedName>
    <definedName name="si" localSheetId="9">[7]Frontsheet!#REF!</definedName>
    <definedName name="si" localSheetId="11">[7]Frontsheet!#REF!</definedName>
    <definedName name="si" localSheetId="3">[7]Frontsheet!#REF!</definedName>
    <definedName name="si" localSheetId="13">[7]Frontsheet!#REF!</definedName>
    <definedName name="si" localSheetId="15">[7]Frontsheet!#REF!</definedName>
    <definedName name="si" localSheetId="17">[7]Frontsheet!#REF!</definedName>
    <definedName name="si" localSheetId="19">[7]Frontsheet!#REF!</definedName>
    <definedName name="si" localSheetId="21">[7]Frontsheet!#REF!</definedName>
    <definedName name="si" localSheetId="0">[8]Frontsheet!#REF!</definedName>
    <definedName name="si" localSheetId="1">[8]Frontsheet!#REF!</definedName>
    <definedName name="si">[7]Frontsheet!#REF!</definedName>
    <definedName name="tp" localSheetId="5">[7]Frontsheet!#REF!</definedName>
    <definedName name="tp" localSheetId="7">[7]Frontsheet!#REF!</definedName>
    <definedName name="tp" localSheetId="9">[7]Frontsheet!#REF!</definedName>
    <definedName name="tp" localSheetId="11">[7]Frontsheet!#REF!</definedName>
    <definedName name="tp" localSheetId="3">[7]Frontsheet!#REF!</definedName>
    <definedName name="tp" localSheetId="13">[7]Frontsheet!#REF!</definedName>
    <definedName name="tp" localSheetId="15">[7]Frontsheet!#REF!</definedName>
    <definedName name="tp" localSheetId="17">[7]Frontsheet!#REF!</definedName>
    <definedName name="tp" localSheetId="19">[7]Frontsheet!#REF!</definedName>
    <definedName name="tp" localSheetId="21">[7]Frontsheet!#REF!</definedName>
    <definedName name="tp" localSheetId="0">[8]Frontsheet!#REF!</definedName>
    <definedName name="tp" localSheetId="1">[8]Frontsheet!#REF!</definedName>
    <definedName name="tp">[7]Frontsheet!#REF!</definedName>
    <definedName name="Trended_hard_cost" localSheetId="0">[11]Input!$K$47</definedName>
    <definedName name="Trended_hard_cost" localSheetId="1">[11]Input!$K$47</definedName>
    <definedName name="Trended_hard_cost">[12]Input!$K$47</definedName>
    <definedName name="trended_partner_contributions" localSheetId="5">'[12]Trended Cash Flow'!#REF!</definedName>
    <definedName name="trended_partner_contributions" localSheetId="7">'[12]Trended Cash Flow'!#REF!</definedName>
    <definedName name="trended_partner_contributions" localSheetId="9">'[12]Trended Cash Flow'!#REF!</definedName>
    <definedName name="trended_partner_contributions" localSheetId="11">'[12]Trended Cash Flow'!#REF!</definedName>
    <definedName name="trended_partner_contributions" localSheetId="3">'[12]Trended Cash Flow'!#REF!</definedName>
    <definedName name="trended_partner_contributions" localSheetId="13">'[12]Trended Cash Flow'!#REF!</definedName>
    <definedName name="trended_partner_contributions" localSheetId="15">'[12]Trended Cash Flow'!#REF!</definedName>
    <definedName name="trended_partner_contributions" localSheetId="17">'[12]Trended Cash Flow'!#REF!</definedName>
    <definedName name="trended_partner_contributions" localSheetId="19">'[12]Trended Cash Flow'!#REF!</definedName>
    <definedName name="trended_partner_contributions" localSheetId="21">'[12]Trended Cash Flow'!#REF!</definedName>
    <definedName name="trended_partner_contributions" localSheetId="0">'[11]Trended Cash Flow'!#REF!</definedName>
    <definedName name="trended_partner_contributions" localSheetId="1">'[11]Trended Cash Flow'!#REF!</definedName>
    <definedName name="trended_partner_contributions">'[12]Trended Cash Flow'!#REF!</definedName>
    <definedName name="TT" localSheetId="5">[7]Frontsheet!#REF!</definedName>
    <definedName name="TT" localSheetId="7">[7]Frontsheet!#REF!</definedName>
    <definedName name="TT" localSheetId="9">[7]Frontsheet!#REF!</definedName>
    <definedName name="TT" localSheetId="11">[7]Frontsheet!#REF!</definedName>
    <definedName name="TT" localSheetId="3">[7]Frontsheet!#REF!</definedName>
    <definedName name="TT" localSheetId="13">[7]Frontsheet!#REF!</definedName>
    <definedName name="TT" localSheetId="15">[7]Frontsheet!#REF!</definedName>
    <definedName name="TT" localSheetId="17">[7]Frontsheet!#REF!</definedName>
    <definedName name="TT" localSheetId="19">[7]Frontsheet!#REF!</definedName>
    <definedName name="TT" localSheetId="21">[7]Frontsheet!#REF!</definedName>
    <definedName name="TT" localSheetId="0">[8]Frontsheet!#REF!</definedName>
    <definedName name="TT" localSheetId="1">[8]Frontsheet!#REF!</definedName>
    <definedName name="TT">[7]Frontsheet!#REF!</definedName>
    <definedName name="units" localSheetId="0">'[23]Equity Investor Sheet 2538'!$G$132</definedName>
    <definedName name="units" localSheetId="1">'[23]Equity Investor Sheet 2538'!$G$132</definedName>
    <definedName name="units">'[24]Equity Investor Sheet 2538'!$G$132</definedName>
    <definedName name="untrended_dates" localSheetId="0">'[11]Untrended Cash Flow'!$E$12:$BL$12</definedName>
    <definedName name="untrended_dates" localSheetId="1">'[11]Untrended Cash Flow'!$E$12:$BL$12</definedName>
    <definedName name="untrended_dates">'[12]Untrended Cash Flow'!$E$12:$BL$12</definedName>
    <definedName name="untrended_partner_contributions" localSheetId="0">'[11]Untrended Cash Flow'!$E$154:$BL$154</definedName>
    <definedName name="untrended_partner_contributions" localSheetId="1">'[11]Untrended Cash Flow'!$E$154:$BL$154</definedName>
    <definedName name="untrended_partner_contributions">'[12]Untrended Cash Flow'!$E$154:$BL$154</definedName>
    <definedName name="vital5" localSheetId="0">'[13]Customize Your Invoice'!$E$15</definedName>
    <definedName name="vital5" localSheetId="1">'[13]Customize Your Invoice'!$E$15</definedName>
    <definedName name="vital5">'[14]Customize Your Invoice'!$E$15</definedName>
    <definedName name="wetadf" localSheetId="0" hidden="1">{"Assump",#N/A,TRUE,"Proforma";"first",#N/A,TRUE,"Proforma";"second",#N/A,TRUE,"Proforma";"lease1",#N/A,TRUE,"Proforma";"lease2",#N/A,TRUE,"Proforma"}</definedName>
    <definedName name="wetadf" localSheetId="1" hidden="1">{"Assump",#N/A,TRUE,"Proforma";"first",#N/A,TRUE,"Proforma";"second",#N/A,TRUE,"Proforma";"lease1",#N/A,TRUE,"Proforma";"lease2",#N/A,TRUE,"Proforma"}</definedName>
    <definedName name="wetadf" hidden="1">{"Assump",#N/A,TRUE,"Proforma";"first",#N/A,TRUE,"Proforma";"second",#N/A,TRUE,"Proforma";"lease1",#N/A,TRUE,"Proforma";"lease2",#N/A,TRUE,"Proforma"}</definedName>
    <definedName name="wrn.BlackWhite." localSheetId="0" hidden="1">{#N/A,#N/A,FALSE,"NNN sum";#N/A,#N/A,FALSE,"10-yr Opt. A Sum";#N/A,#N/A,FALSE,"10-yr Opt A Other Costs";#N/A,#N/A,FALSE,"Purchase Sum";#N/A,#N/A,FALSE,"Purchase Other Costs"}</definedName>
    <definedName name="wrn.BlackWhite." localSheetId="1" hidden="1">{#N/A,#N/A,FALSE,"NNN sum";#N/A,#N/A,FALSE,"10-yr Opt. A Sum";#N/A,#N/A,FALSE,"10-yr Opt A Other Costs";#N/A,#N/A,FALSE,"Purchase Sum";#N/A,#N/A,FALSE,"Purchase Other Costs"}</definedName>
    <definedName name="wrn.BlackWhite." hidden="1">{#N/A,#N/A,FALSE,"NNN sum";#N/A,#N/A,FALSE,"10-yr Opt. A Sum";#N/A,#N/A,FALSE,"10-yr Opt A Other Costs";#N/A,#N/A,FALSE,"Purchase Sum";#N/A,#N/A,FALSE,"Purchase Other Costs"}</definedName>
    <definedName name="wrn.Complete._.Review." localSheetId="0" hidden="1">{#N/A,#N/A,FALSE,"Occ and Rate";#N/A,#N/A,FALSE,"PF Input";#N/A,#N/A,FALSE,"Capital Input";#N/A,#N/A,FALSE,"Proforma Five Yr";#N/A,#N/A,FALSE,"Calculations";#N/A,#N/A,FALSE,"Transaction Summary-DTW"}</definedName>
    <definedName name="wrn.Complete._.Review." localSheetId="1" hidden="1">{#N/A,#N/A,FALSE,"Occ and Rate";#N/A,#N/A,FALSE,"PF Input";#N/A,#N/A,FALSE,"Capital Input";#N/A,#N/A,FALSE,"Proforma Five Yr";#N/A,#N/A,FALSE,"Calculations";#N/A,#N/A,FALSE,"Transaction Summary-DTW"}</definedName>
    <definedName name="wrn.Complete._.Review." hidden="1">{#N/A,#N/A,FALSE,"Occ and Rate";#N/A,#N/A,FALSE,"PF Input";#N/A,#N/A,FALSE,"Capital Input";#N/A,#N/A,FALSE,"Proforma Five Yr";#N/A,#N/A,FALSE,"Calculations";#N/A,#N/A,FALSE,"Transaction Summary-DTW"}</definedName>
    <definedName name="wrn.cssa." localSheetId="0" hidden="1">{#N/A,#N/A,FALSE,"WATCHDSC";#N/A,#N/A,FALSE,"2LOSSMOD";#N/A,#N/A,FALSE,"2LOSS";#N/A,#N/A,FALSE,"DSC";#N/A,#N/A,FALSE,"OPERAT";#N/A,#N/A,FALSE,"ADJUST";#N/A,#N/A,FALSE,"LEASE EXPIRE"}</definedName>
    <definedName name="wrn.cssa." localSheetId="1" hidden="1">{#N/A,#N/A,FALSE,"WATCHDSC";#N/A,#N/A,FALSE,"2LOSSMOD";#N/A,#N/A,FALSE,"2LOSS";#N/A,#N/A,FALSE,"DSC";#N/A,#N/A,FALSE,"OPERAT";#N/A,#N/A,FALSE,"ADJUST";#N/A,#N/A,FALSE,"LEASE EXPIRE"}</definedName>
    <definedName name="wrn.cssa." hidden="1">{#N/A,#N/A,FALSE,"WATCHDSC";#N/A,#N/A,FALSE,"2LOSSMOD";#N/A,#N/A,FALSE,"2LOSS";#N/A,#N/A,FALSE,"DSC";#N/A,#N/A,FALSE,"OPERAT";#N/A,#N/A,FALSE,"ADJUST";#N/A,#N/A,FALSE,"LEASE EXPIRE"}</definedName>
    <definedName name="wrn.data." localSheetId="0" hidden="1">{"data",#N/A,FALSE,"INPUT"}</definedName>
    <definedName name="wrn.data." localSheetId="1" hidden="1">{"data",#N/A,FALSE,"INPUT"}</definedName>
    <definedName name="wrn.data." hidden="1">{"data",#N/A,FALSE,"INPUT"}</definedName>
    <definedName name="wrn.GSA._.PRINT." localSheetId="0" hidden="1">{#N/A,#N/A,FALSE,"DEV COSTS";#N/A,#N/A,FALSE,"10-YR C. F."}</definedName>
    <definedName name="wrn.GSA._.PRINT." localSheetId="1" hidden="1">{#N/A,#N/A,FALSE,"DEV COSTS";#N/A,#N/A,FALSE,"10-YR C. F."}</definedName>
    <definedName name="wrn.GSA._.PRINT." hidden="1">{#N/A,#N/A,FALSE,"DEV COSTS";#N/A,#N/A,FALSE,"10-YR C. F."}</definedName>
    <definedName name="wrn.Investment._.Review." localSheetId="0" hidden="1">{#N/A,#N/A,FALSE,"Proforma Five Yr";#N/A,#N/A,FALSE,"Capital Input";#N/A,#N/A,FALSE,"Calculations";#N/A,#N/A,FALSE,"Transaction Summary-DTW"}</definedName>
    <definedName name="wrn.Investment._.Review." localSheetId="1" hidden="1">{#N/A,#N/A,FALSE,"Proforma Five Yr";#N/A,#N/A,FALSE,"Capital Input";#N/A,#N/A,FALSE,"Calculations";#N/A,#N/A,FALSE,"Transaction Summary-DTW"}</definedName>
    <definedName name="wrn.Investment._.Review." hidden="1">{#N/A,#N/A,FALSE,"Proforma Five Yr";#N/A,#N/A,FALSE,"Capital Input";#N/A,#N/A,FALSE,"Calculations";#N/A,#N/A,FALSE,"Transaction Summary-DTW"}</definedName>
    <definedName name="wrn.MODEL." localSheetId="0" hidden="1">{"IS",#N/A,FALSE,"Income Statement";"ISR",#N/A,FALSE,"Income Statement Ratios";"BS",#N/A,FALSE,"Balance Sheet";"BSR",#N/A,FALSE,"Balance Sheet Ratios";"CF",#N/A,FALSE,"Cash Flow";"SALES",#N/A,FALSE,"Sales Analysis";"RR",#N/A,FALSE,"Recent Results"}</definedName>
    <definedName name="wrn.MODEL." localSheetId="1" hidden="1">{"IS",#N/A,FALSE,"Income Statement";"ISR",#N/A,FALSE,"Income Statement Ratios";"BS",#N/A,FALSE,"Balance Sheet";"BSR",#N/A,FALSE,"Balance Sheet Ratios";"CF",#N/A,FALSE,"Cash Flow";"SALES",#N/A,FALSE,"Sales Analysis";"RR",#N/A,FALSE,"Recent Results"}</definedName>
    <definedName name="wrn.MODEL." hidden="1">{"IS",#N/A,FALSE,"Income Statement";"ISR",#N/A,FALSE,"Income Statement Ratios";"BS",#N/A,FALSE,"Balance Sheet";"BSR",#N/A,FALSE,"Balance Sheet Ratios";"CF",#N/A,FALSE,"Cash Flow";"SALES",#N/A,FALSE,"Sales Analysis";"RR",#N/A,FALSE,"Recent Results"}</definedName>
    <definedName name="wrn.Operations._.Review." localSheetId="0" hidden="1">{#N/A,#N/A,FALSE,"Proforma Five Yr";#N/A,#N/A,FALSE,"Occ and Rate";#N/A,#N/A,FALSE,"PF Input";#N/A,#N/A,FALSE,"Hotcomps"}</definedName>
    <definedName name="wrn.Operations._.Review." localSheetId="1" hidden="1">{#N/A,#N/A,FALSE,"Proforma Five Yr";#N/A,#N/A,FALSE,"Occ and Rate";#N/A,#N/A,FALSE,"PF Input";#N/A,#N/A,FALSE,"Hotcomps"}</definedName>
    <definedName name="wrn.Operations._.Review." hidden="1">{#N/A,#N/A,FALSE,"Proforma Five Yr";#N/A,#N/A,FALSE,"Occ and Rate";#N/A,#N/A,FALSE,"PF Input";#N/A,#N/A,FALSE,"Hotcomps"}</definedName>
    <definedName name="wrn.Phase._.I." localSheetId="0" hidden="1">{#N/A,#N/A,FALSE,"Transaction Summary-DTW";#N/A,#N/A,FALSE,"Proforma Five Yr";#N/A,#N/A,FALSE,"Occ and Rate"}</definedName>
    <definedName name="wrn.Phase._.I." localSheetId="1" hidden="1">{#N/A,#N/A,FALSE,"Transaction Summary-DTW";#N/A,#N/A,FALSE,"Proforma Five Yr";#N/A,#N/A,FALSE,"Occ and Rate"}</definedName>
    <definedName name="wrn.Phase._.I." hidden="1">{#N/A,#N/A,FALSE,"Transaction Summary-DTW";#N/A,#N/A,FALSE,"Proforma Five Yr";#N/A,#N/A,FALSE,"Occ and Rate"}</definedName>
    <definedName name="wrn.print." localSheetId="0" hidden="1">{"Assump",#N/A,TRUE,"Proforma";"first",#N/A,TRUE,"Proforma";"second",#N/A,TRUE,"Proforma";"lease1",#N/A,TRUE,"Proforma";"lease2",#N/A,TRUE,"Proforma"}</definedName>
    <definedName name="wrn.print." localSheetId="1" hidden="1">{"Assump",#N/A,TRUE,"Proforma";"first",#N/A,TRUE,"Proforma";"second",#N/A,TRUE,"Proforma";"lease1",#N/A,TRUE,"Proforma";"lease2",#N/A,TRUE,"Proforma"}</definedName>
    <definedName name="wrn.print." hidden="1">{"Assump",#N/A,TRUE,"Proforma";"first",#N/A,TRUE,"Proforma";"second",#N/A,TRUE,"Proforma";"lease1",#N/A,TRUE,"Proforma";"lease2",#N/A,TRUE,"Proforma"}</definedName>
    <definedName name="wrn.Proforma._.Review." localSheetId="0" hidden="1">{#N/A,#N/A,FALSE,"Occ and Rate";#N/A,#N/A,FALSE,"PF Input";#N/A,#N/A,FALSE,"Proforma Five Yr";#N/A,#N/A,FALSE,"Hotcomps"}</definedName>
    <definedName name="wrn.Proforma._.Review." localSheetId="1" hidden="1">{#N/A,#N/A,FALSE,"Occ and Rate";#N/A,#N/A,FALSE,"PF Input";#N/A,#N/A,FALSE,"Proforma Five Yr";#N/A,#N/A,FALSE,"Hotcomps"}</definedName>
    <definedName name="wrn.Proforma._.Review." hidden="1">{#N/A,#N/A,FALSE,"Occ and Rate";#N/A,#N/A,FALSE,"PF Input";#N/A,#N/A,FALSE,"Proforma Five Yr";#N/A,#N/A,FALSE,"Hotcomps"}</definedName>
    <definedName name="wrn.Report." localSheetId="0" hidden="1">{#N/A,#N/A,FALSE,"Summary";#N/A,#N/A,FALSE,"Assumptions";#N/A,#N/A,FALSE,"Cash Flow";#N/A,#N/A,FALSE,"Residual Calculation";#N/A,#N/A,FALSE,"Pricing Matrix";#N/A,#N/A,FALSE,"Pricing Matrix II";#N/A,#N/A,FALSE,"Expiration Schedule"}</definedName>
    <definedName name="wrn.Report." localSheetId="1" hidden="1">{#N/A,#N/A,FALSE,"Summary";#N/A,#N/A,FALSE,"Assumptions";#N/A,#N/A,FALSE,"Cash Flow";#N/A,#N/A,FALSE,"Residual Calculation";#N/A,#N/A,FALSE,"Pricing Matrix";#N/A,#N/A,FALSE,"Pricing Matrix II";#N/A,#N/A,FALSE,"Expiration Schedule"}</definedName>
    <definedName name="wrn.Report." hidden="1">{#N/A,#N/A,FALSE,"Summary";#N/A,#N/A,FALSE,"Assumptions";#N/A,#N/A,FALSE,"Cash Flow";#N/A,#N/A,FALSE,"Residual Calculation";#N/A,#N/A,FALSE,"Pricing Matrix";#N/A,#N/A,FALSE,"Pricing Matrix II";#N/A,#N/A,FALSE,"Expiration Schedule"}</definedName>
    <definedName name="wrn.Total." localSheetId="0" hidden="1">{#N/A,#N/A,FALSE,"Exec Sum";#N/A,#N/A,FALSE,"Rent Rate Comp";#N/A,#N/A,FALSE,"Rate, NPV Comp";#N/A,#N/A,FALSE,"Opt A NNN";#N/A,#N/A,FALSE,"15-yr Opt. A Sum";#N/A,#N/A,FALSE,"15-yr Opt A Other Costs";#N/A,#N/A,FALSE,"10-yr Opt. A Sum";#N/A,#N/A,FALSE,"10-yr Opt A Other Costs";#N/A,#N/A,FALSE,"NPV Calc"}</definedName>
    <definedName name="wrn.Total." localSheetId="1" hidden="1">{#N/A,#N/A,FALSE,"Exec Sum";#N/A,#N/A,FALSE,"Rent Rate Comp";#N/A,#N/A,FALSE,"Rate, NPV Comp";#N/A,#N/A,FALSE,"Opt A NNN";#N/A,#N/A,FALSE,"15-yr Opt. A Sum";#N/A,#N/A,FALSE,"15-yr Opt A Other Costs";#N/A,#N/A,FALSE,"10-yr Opt. A Sum";#N/A,#N/A,FALSE,"10-yr Opt A Other Costs";#N/A,#N/A,FALSE,"NPV Calc"}</definedName>
    <definedName name="wrn.Total." hidden="1">{#N/A,#N/A,FALSE,"Exec Sum";#N/A,#N/A,FALSE,"Rent Rate Comp";#N/A,#N/A,FALSE,"Rate, NPV Comp";#N/A,#N/A,FALSE,"Opt A NNN";#N/A,#N/A,FALSE,"15-yr Opt. A Sum";#N/A,#N/A,FALSE,"15-yr Opt A Other Costs";#N/A,#N/A,FALSE,"10-yr Opt. A Sum";#N/A,#N/A,FALSE,"10-yr Opt A Other Costs";#N/A,#N/A,FALSE,"NPV Calc"}</definedName>
    <definedName name="wrn.TOTAL._.SHEETS." localSheetId="0" hidden="1">{#N/A,#N/A,FALSE,"DEV COSTS";#N/A,#N/A,FALSE,"10-YR C. F."}</definedName>
    <definedName name="wrn.TOTAL._.SHEETS." localSheetId="1" hidden="1">{#N/A,#N/A,FALSE,"DEV COSTS";#N/A,#N/A,FALSE,"10-YR C. F."}</definedName>
    <definedName name="wrn.TOTAL._.SHEETS." hidden="1">{#N/A,#N/A,FALSE,"DEV COSTS";#N/A,#N/A,FALSE,"10-YR C. F."}</definedName>
    <definedName name="wrn.WeeklyStatus." localSheetId="0" hidden="1">{#N/A,#N/A,FALSE,"StatusReport"}</definedName>
    <definedName name="wrn.WeeklyStatus." localSheetId="1" hidden="1">{#N/A,#N/A,FALSE,"StatusReport"}</definedName>
    <definedName name="wrn.WeeklyStatus." hidden="1">{#N/A,#N/A,FALSE,"StatusReport"}</definedName>
    <definedName name="wrn.YTD.Clsngs.Subdiv.Dte." localSheetId="0" hidden="1">{"Smry.sbtl.subdiv.clsdte",#N/A,FALSE,"97clsngs.612"}</definedName>
    <definedName name="wrn.YTD.Clsngs.Subdiv.Dte." localSheetId="1" hidden="1">{"Smry.sbtl.subdiv.clsdte",#N/A,FALSE,"97clsngs.612"}</definedName>
    <definedName name="wrn.YTD.Clsngs.Subdiv.Dte." hidden="1">{"Smry.sbtl.subdiv.clsdte",#N/A,FALSE,"97clsngs.612"}</definedName>
    <definedName name="x" localSheetId="0" hidden="1">{#N/A,#N/A,FALSE,"WATCHDSC";#N/A,#N/A,FALSE,"2LOSSMOD";#N/A,#N/A,FALSE,"2LOSS";#N/A,#N/A,FALSE,"DSC";#N/A,#N/A,FALSE,"OPERAT";#N/A,#N/A,FALSE,"ADJUST";#N/A,#N/A,FALSE,"LEASE EXPIRE"}</definedName>
    <definedName name="x" localSheetId="1" hidden="1">{#N/A,#N/A,FALSE,"WATCHDSC";#N/A,#N/A,FALSE,"2LOSSMOD";#N/A,#N/A,FALSE,"2LOSS";#N/A,#N/A,FALSE,"DSC";#N/A,#N/A,FALSE,"OPERAT";#N/A,#N/A,FALSE,"ADJUST";#N/A,#N/A,FALSE,"LEASE EXPIRE"}</definedName>
    <definedName name="x" hidden="1">{#N/A,#N/A,FALSE,"WATCHDSC";#N/A,#N/A,FALSE,"2LOSSMOD";#N/A,#N/A,FALSE,"2LOSS";#N/A,#N/A,FALSE,"DSC";#N/A,#N/A,FALSE,"OPERAT";#N/A,#N/A,FALSE,"ADJUST";#N/A,#N/A,FALSE,"LEASE EXPIRE"}</definedName>
  </definedNames>
  <calcPr calcId="191028" iterate="1" iterateCount="50"/>
  <fileRecoveryPr autoRecover="0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C14" i="220" l="1"/>
  <c r="C15" i="218"/>
  <c r="G30" i="140"/>
  <c r="G23" i="140"/>
  <c r="F30" i="140"/>
  <c r="F23" i="140"/>
  <c r="G21" i="140"/>
  <c r="F21" i="140"/>
  <c r="G16" i="140"/>
  <c r="F16" i="140"/>
  <c r="G14" i="140"/>
  <c r="F14" i="140"/>
  <c r="G11" i="140"/>
  <c r="F11" i="140"/>
  <c r="O47" i="178"/>
  <c r="Q46" i="178"/>
  <c r="O46" i="178"/>
  <c r="C14" i="214"/>
  <c r="F40" i="140"/>
  <c r="D40" i="140"/>
  <c r="J41" i="140"/>
  <c r="I41" i="140"/>
  <c r="AU56" i="159"/>
  <c r="AT56" i="159"/>
  <c r="AS56" i="159"/>
  <c r="AR56" i="159"/>
  <c r="AQ56" i="159"/>
  <c r="AP56" i="159"/>
  <c r="AO56" i="159"/>
  <c r="AN56" i="159"/>
  <c r="AM56" i="159"/>
  <c r="AL56" i="159"/>
  <c r="AK56" i="159"/>
  <c r="AJ56" i="159"/>
  <c r="AI56" i="159"/>
  <c r="AH56" i="159"/>
  <c r="R56" i="159"/>
  <c r="Q56" i="159"/>
  <c r="P56" i="159"/>
  <c r="O56" i="159"/>
  <c r="N56" i="159"/>
  <c r="M56" i="159"/>
  <c r="L56" i="159"/>
  <c r="K56" i="159"/>
  <c r="J56" i="159"/>
  <c r="I56" i="159"/>
  <c r="H56" i="159"/>
  <c r="G56" i="159"/>
  <c r="F56" i="159"/>
  <c r="E56" i="159"/>
  <c r="D56" i="159"/>
  <c r="C56" i="159"/>
  <c r="AU52" i="159"/>
  <c r="AT52" i="159"/>
  <c r="AS52" i="159"/>
  <c r="AR52" i="159"/>
  <c r="AQ52" i="159"/>
  <c r="AP52" i="159"/>
  <c r="AO52" i="159"/>
  <c r="AN52" i="159"/>
  <c r="AM52" i="159"/>
  <c r="AL52" i="159"/>
  <c r="AK52" i="159"/>
  <c r="AJ52" i="159"/>
  <c r="AI52" i="159"/>
  <c r="AH52" i="159"/>
  <c r="R52" i="159"/>
  <c r="Q52" i="159"/>
  <c r="P52" i="159"/>
  <c r="AU44" i="159"/>
  <c r="AT44" i="159"/>
  <c r="AS44" i="159"/>
  <c r="AR44" i="159"/>
  <c r="AQ44" i="159"/>
  <c r="AP44" i="159"/>
  <c r="AO44" i="159"/>
  <c r="AN44" i="159"/>
  <c r="AM44" i="159"/>
  <c r="AL44" i="159"/>
  <c r="AK44" i="159"/>
  <c r="AJ44" i="159"/>
  <c r="AI44" i="159"/>
  <c r="K44" i="159"/>
  <c r="J44" i="159"/>
  <c r="I44" i="159"/>
  <c r="H44" i="159"/>
  <c r="G44" i="159"/>
  <c r="F44" i="159"/>
  <c r="E44" i="159"/>
  <c r="D44" i="159"/>
  <c r="C44" i="159"/>
  <c r="AU40" i="159"/>
  <c r="AT40" i="159"/>
  <c r="AS40" i="159"/>
  <c r="AR40" i="159"/>
  <c r="AQ40" i="159"/>
  <c r="AP40" i="159"/>
  <c r="AO40" i="159"/>
  <c r="AN40" i="159"/>
  <c r="AM40" i="159"/>
  <c r="AL40" i="159"/>
  <c r="AK40" i="159"/>
  <c r="AJ40" i="159"/>
  <c r="AI40" i="159"/>
  <c r="AU32" i="159"/>
  <c r="AT32" i="159"/>
  <c r="AS32" i="159"/>
  <c r="AR32" i="159"/>
  <c r="AQ32" i="159"/>
  <c r="AP32" i="159"/>
  <c r="AO32" i="159"/>
  <c r="AN32" i="159"/>
  <c r="AM32" i="159"/>
  <c r="AL32" i="159"/>
  <c r="AK32" i="159"/>
  <c r="AJ32" i="159"/>
  <c r="AI32" i="159"/>
  <c r="AH32" i="159"/>
  <c r="AG32" i="159"/>
  <c r="AF32" i="159"/>
  <c r="AE32" i="159"/>
  <c r="AD32" i="159"/>
  <c r="AC32" i="159"/>
  <c r="AB32" i="159"/>
  <c r="AU28" i="159"/>
  <c r="AT28" i="159"/>
  <c r="AS28" i="159"/>
  <c r="AR28" i="159"/>
  <c r="AQ28" i="159"/>
  <c r="AP28" i="159"/>
  <c r="AO28" i="159"/>
  <c r="AN28" i="159"/>
  <c r="AM28" i="159"/>
  <c r="AL28" i="159"/>
  <c r="AK28" i="159"/>
  <c r="AJ28" i="159"/>
  <c r="AI28" i="159"/>
  <c r="AH28" i="159"/>
  <c r="AG28" i="159"/>
  <c r="AF28" i="159"/>
  <c r="AE28" i="159"/>
  <c r="AD28" i="159"/>
  <c r="AC28" i="159"/>
  <c r="AB28" i="159"/>
  <c r="AU20" i="159"/>
  <c r="AT20" i="159"/>
  <c r="AS20" i="159"/>
  <c r="AR20" i="159"/>
  <c r="AQ20" i="159"/>
  <c r="AP20" i="159"/>
  <c r="AO20" i="159"/>
  <c r="AN20" i="159"/>
  <c r="AM20" i="159"/>
  <c r="AL20" i="159"/>
  <c r="AK20" i="159"/>
  <c r="AJ20" i="159"/>
  <c r="AI20" i="159"/>
  <c r="AH20" i="159"/>
  <c r="AG20" i="159"/>
  <c r="AF20" i="159"/>
  <c r="AE20" i="159"/>
  <c r="AD20" i="159"/>
  <c r="AC20" i="159"/>
  <c r="AB20" i="159"/>
  <c r="AA20" i="159"/>
  <c r="Z20" i="159"/>
  <c r="Y20" i="159"/>
  <c r="X20" i="159"/>
  <c r="W20" i="159"/>
  <c r="U20" i="159"/>
  <c r="AU16" i="159"/>
  <c r="AT16" i="159"/>
  <c r="AS16" i="159"/>
  <c r="AR16" i="159"/>
  <c r="AQ16" i="159"/>
  <c r="AP16" i="159"/>
  <c r="AO16" i="159"/>
  <c r="AN16" i="159"/>
  <c r="AM16" i="159"/>
  <c r="AL16" i="159"/>
  <c r="AK16" i="159"/>
  <c r="AJ16" i="159"/>
  <c r="AI16" i="159"/>
  <c r="AH16" i="159"/>
  <c r="AG16" i="159"/>
  <c r="AF16" i="159"/>
  <c r="AE16" i="159"/>
  <c r="AD16" i="159"/>
  <c r="AC16" i="159"/>
  <c r="AB16" i="159"/>
  <c r="AA16" i="159"/>
  <c r="Z16" i="159"/>
  <c r="Y16" i="159"/>
  <c r="X16" i="159"/>
  <c r="W16" i="159"/>
  <c r="D51" i="159"/>
  <c r="E51" i="159" s="1"/>
  <c r="F51" i="159" s="1"/>
  <c r="G51" i="159" s="1"/>
  <c r="H51" i="159" s="1"/>
  <c r="I51" i="159" s="1"/>
  <c r="J51" i="159" s="1"/>
  <c r="K51" i="159" s="1"/>
  <c r="L51" i="159" s="1"/>
  <c r="M51" i="159" s="1"/>
  <c r="N51" i="159" s="1"/>
  <c r="O51" i="159" s="1"/>
  <c r="P51" i="159" s="1"/>
  <c r="Q51" i="159" s="1"/>
  <c r="R51" i="159" s="1"/>
  <c r="S51" i="159" s="1"/>
  <c r="T51" i="159" s="1"/>
  <c r="U51" i="159" s="1"/>
  <c r="V51" i="159" s="1"/>
  <c r="W51" i="159" s="1"/>
  <c r="X51" i="159" s="1"/>
  <c r="Y51" i="159" s="1"/>
  <c r="Z51" i="159" s="1"/>
  <c r="AA51" i="159" s="1"/>
  <c r="AB51" i="159" s="1"/>
  <c r="AC51" i="159" s="1"/>
  <c r="AD51" i="159" s="1"/>
  <c r="AE51" i="159" s="1"/>
  <c r="AF51" i="159" s="1"/>
  <c r="AG51" i="159" s="1"/>
  <c r="AH51" i="159" s="1"/>
  <c r="AI51" i="159" s="1"/>
  <c r="AJ51" i="159" s="1"/>
  <c r="AK51" i="159" s="1"/>
  <c r="AL51" i="159" s="1"/>
  <c r="AM51" i="159" s="1"/>
  <c r="AN51" i="159" s="1"/>
  <c r="AO51" i="159" s="1"/>
  <c r="AP51" i="159" s="1"/>
  <c r="AQ51" i="159" s="1"/>
  <c r="AR51" i="159" s="1"/>
  <c r="AS51" i="159" s="1"/>
  <c r="AT51" i="159" s="1"/>
  <c r="D39" i="159"/>
  <c r="E39" i="159" s="1"/>
  <c r="F39" i="159" s="1"/>
  <c r="G39" i="159" s="1"/>
  <c r="H39" i="159" s="1"/>
  <c r="I39" i="159" s="1"/>
  <c r="J39" i="159" s="1"/>
  <c r="K39" i="159" s="1"/>
  <c r="L39" i="159" s="1"/>
  <c r="M39" i="159" s="1"/>
  <c r="N39" i="159" s="1"/>
  <c r="O39" i="159" s="1"/>
  <c r="P39" i="159" s="1"/>
  <c r="Q39" i="159" s="1"/>
  <c r="R39" i="159" s="1"/>
  <c r="S39" i="159" s="1"/>
  <c r="T39" i="159" s="1"/>
  <c r="U39" i="159" s="1"/>
  <c r="V39" i="159" s="1"/>
  <c r="W39" i="159" s="1"/>
  <c r="X39" i="159" s="1"/>
  <c r="Y39" i="159" s="1"/>
  <c r="Z39" i="159" s="1"/>
  <c r="AA39" i="159" s="1"/>
  <c r="AB39" i="159" s="1"/>
  <c r="AC39" i="159" s="1"/>
  <c r="AD39" i="159" s="1"/>
  <c r="AE39" i="159" s="1"/>
  <c r="AF39" i="159" s="1"/>
  <c r="AG39" i="159" s="1"/>
  <c r="AH39" i="159" s="1"/>
  <c r="AI39" i="159" s="1"/>
  <c r="AJ39" i="159" s="1"/>
  <c r="AK39" i="159" s="1"/>
  <c r="AL39" i="159" s="1"/>
  <c r="AM39" i="159" s="1"/>
  <c r="AN39" i="159" s="1"/>
  <c r="AO39" i="159" s="1"/>
  <c r="AP39" i="159" s="1"/>
  <c r="AQ39" i="159" s="1"/>
  <c r="AR39" i="159" s="1"/>
  <c r="AS39" i="159" s="1"/>
  <c r="AT39" i="159" s="1"/>
  <c r="D27" i="159"/>
  <c r="E27" i="159" s="1"/>
  <c r="F27" i="159" s="1"/>
  <c r="G27" i="159" s="1"/>
  <c r="H27" i="159" s="1"/>
  <c r="I27" i="159" s="1"/>
  <c r="J27" i="159" s="1"/>
  <c r="K27" i="159" s="1"/>
  <c r="L27" i="159" s="1"/>
  <c r="M27" i="159" s="1"/>
  <c r="N27" i="159" s="1"/>
  <c r="O27" i="159" s="1"/>
  <c r="P27" i="159" s="1"/>
  <c r="Q27" i="159" s="1"/>
  <c r="R27" i="159" s="1"/>
  <c r="S27" i="159" s="1"/>
  <c r="T27" i="159" s="1"/>
  <c r="U27" i="159" s="1"/>
  <c r="V27" i="159" s="1"/>
  <c r="W27" i="159" s="1"/>
  <c r="X27" i="159" s="1"/>
  <c r="Y27" i="159" s="1"/>
  <c r="Z27" i="159" s="1"/>
  <c r="AA27" i="159" s="1"/>
  <c r="AB27" i="159" s="1"/>
  <c r="AC27" i="159" s="1"/>
  <c r="AD27" i="159" s="1"/>
  <c r="AE27" i="159" s="1"/>
  <c r="AF27" i="159" s="1"/>
  <c r="AG27" i="159" s="1"/>
  <c r="AH27" i="159" s="1"/>
  <c r="AI27" i="159" s="1"/>
  <c r="AJ27" i="159" s="1"/>
  <c r="AK27" i="159" s="1"/>
  <c r="AL27" i="159" s="1"/>
  <c r="AM27" i="159" s="1"/>
  <c r="AN27" i="159" s="1"/>
  <c r="AO27" i="159" s="1"/>
  <c r="AP27" i="159" s="1"/>
  <c r="AQ27" i="159" s="1"/>
  <c r="AR27" i="159" s="1"/>
  <c r="AS27" i="159" s="1"/>
  <c r="AT27" i="159" s="1"/>
  <c r="D15" i="159"/>
  <c r="E15" i="159" s="1"/>
  <c r="F15" i="159" s="1"/>
  <c r="G15" i="159" s="1"/>
  <c r="H15" i="159" s="1"/>
  <c r="I15" i="159" s="1"/>
  <c r="J15" i="159" s="1"/>
  <c r="K15" i="159" s="1"/>
  <c r="L15" i="159" s="1"/>
  <c r="M15" i="159" s="1"/>
  <c r="N15" i="159" s="1"/>
  <c r="O15" i="159" s="1"/>
  <c r="P15" i="159" s="1"/>
  <c r="Q15" i="159" s="1"/>
  <c r="R15" i="159" s="1"/>
  <c r="S15" i="159" s="1"/>
  <c r="T15" i="159" s="1"/>
  <c r="U15" i="159" s="1"/>
  <c r="V15" i="159" s="1"/>
  <c r="W15" i="159" s="1"/>
  <c r="X15" i="159" s="1"/>
  <c r="Y15" i="159" s="1"/>
  <c r="Z15" i="159" s="1"/>
  <c r="AA15" i="159" s="1"/>
  <c r="AB15" i="159" s="1"/>
  <c r="AC15" i="159" s="1"/>
  <c r="AD15" i="159" s="1"/>
  <c r="AE15" i="159" s="1"/>
  <c r="AF15" i="159" s="1"/>
  <c r="AG15" i="159" s="1"/>
  <c r="AH15" i="159" s="1"/>
  <c r="AI15" i="159" s="1"/>
  <c r="AJ15" i="159" s="1"/>
  <c r="AK15" i="159" s="1"/>
  <c r="AL15" i="159" s="1"/>
  <c r="AM15" i="159" s="1"/>
  <c r="AN15" i="159" s="1"/>
  <c r="AO15" i="159" s="1"/>
  <c r="AP15" i="159" s="1"/>
  <c r="AQ15" i="159" s="1"/>
  <c r="AR15" i="159" s="1"/>
  <c r="AS15" i="159" s="1"/>
  <c r="AT15" i="159" s="1"/>
  <c r="AU8" i="159"/>
  <c r="AT8" i="159"/>
  <c r="AS8" i="159"/>
  <c r="AR8" i="159"/>
  <c r="AQ8" i="159"/>
  <c r="AP8" i="159"/>
  <c r="AO8" i="159"/>
  <c r="AN8" i="159"/>
  <c r="AM8" i="159"/>
  <c r="AL8" i="159"/>
  <c r="AK8" i="159"/>
  <c r="AJ8" i="159"/>
  <c r="AI8" i="159"/>
  <c r="AU4" i="159"/>
  <c r="AT4" i="159"/>
  <c r="AS4" i="159"/>
  <c r="AR4" i="159"/>
  <c r="AQ4" i="159"/>
  <c r="AP4" i="159"/>
  <c r="AO4" i="159"/>
  <c r="AN4" i="159"/>
  <c r="AM4" i="159"/>
  <c r="AL4" i="159"/>
  <c r="AK4" i="159"/>
  <c r="AJ4" i="159"/>
  <c r="AI4" i="159"/>
  <c r="AU25" i="230"/>
  <c r="AT25" i="230"/>
  <c r="AS25" i="230"/>
  <c r="AR25" i="230"/>
  <c r="AQ25" i="230"/>
  <c r="AP25" i="230"/>
  <c r="AO25" i="230"/>
  <c r="AN25" i="230"/>
  <c r="AM25" i="230"/>
  <c r="AL25" i="230"/>
  <c r="AK25" i="230"/>
  <c r="AJ25" i="230"/>
  <c r="AI25" i="230"/>
  <c r="AA130" i="229"/>
  <c r="Y162" i="229"/>
  <c r="Y163" i="229" s="1"/>
  <c r="AA158" i="229"/>
  <c r="Z152" i="229"/>
  <c r="Z145" i="229"/>
  <c r="Z144" i="229"/>
  <c r="Z143" i="229"/>
  <c r="Z142" i="229"/>
  <c r="Z141" i="229"/>
  <c r="Z139" i="229"/>
  <c r="Z138" i="229"/>
  <c r="Z134" i="229"/>
  <c r="Z133" i="229"/>
  <c r="AA133" i="229" s="1"/>
  <c r="AA125" i="229"/>
  <c r="AA107" i="229"/>
  <c r="AB105" i="229"/>
  <c r="AB104" i="229"/>
  <c r="Z97" i="229"/>
  <c r="Z100" i="229" s="1"/>
  <c r="AA100" i="229" s="1"/>
  <c r="Z92" i="229"/>
  <c r="Z94" i="229" s="1"/>
  <c r="Z87" i="229"/>
  <c r="Z89" i="229" s="1"/>
  <c r="AB84" i="229"/>
  <c r="AA84" i="229"/>
  <c r="Z84" i="229"/>
  <c r="AB83" i="229"/>
  <c r="AA83" i="229"/>
  <c r="Z83" i="229"/>
  <c r="AB82" i="229"/>
  <c r="AA82" i="229"/>
  <c r="Z82" i="229"/>
  <c r="AB81" i="229"/>
  <c r="AA81" i="229"/>
  <c r="Z81" i="229"/>
  <c r="AC78" i="229"/>
  <c r="AB75" i="229"/>
  <c r="Z75" i="229"/>
  <c r="AB74" i="229"/>
  <c r="Z74" i="229"/>
  <c r="AC71" i="229"/>
  <c r="Z68" i="229"/>
  <c r="Z67" i="229"/>
  <c r="Z66" i="229"/>
  <c r="Z65" i="229"/>
  <c r="AC62" i="229"/>
  <c r="AB59" i="229"/>
  <c r="Z59" i="229"/>
  <c r="AB58" i="229"/>
  <c r="Z58" i="229"/>
  <c r="AC55" i="229"/>
  <c r="Z52" i="229"/>
  <c r="Z51" i="229"/>
  <c r="Z50" i="229"/>
  <c r="Z49" i="229"/>
  <c r="AC46" i="229"/>
  <c r="AB43" i="229"/>
  <c r="Z103" i="229" s="1"/>
  <c r="Z105" i="229" s="1"/>
  <c r="AA105" i="229" s="1"/>
  <c r="Z43" i="229"/>
  <c r="AB42" i="229"/>
  <c r="Z42" i="229"/>
  <c r="Z41" i="229"/>
  <c r="AB41" i="229" s="1"/>
  <c r="Z40" i="229"/>
  <c r="AB40" i="229" s="1"/>
  <c r="Z39" i="229"/>
  <c r="Z78" i="229" s="1"/>
  <c r="Z38" i="229"/>
  <c r="Z71" i="229" s="1"/>
  <c r="Z37" i="229"/>
  <c r="AB37" i="229" s="1"/>
  <c r="Z36" i="229"/>
  <c r="Z55" i="229" s="1"/>
  <c r="Z35" i="229"/>
  <c r="Z46" i="229" s="1"/>
  <c r="AB34" i="229"/>
  <c r="C130" i="229"/>
  <c r="I130" i="229"/>
  <c r="O130" i="229"/>
  <c r="U130" i="229"/>
  <c r="T78" i="229"/>
  <c r="N78" i="229"/>
  <c r="H78" i="229"/>
  <c r="B78" i="229"/>
  <c r="B46" i="229"/>
  <c r="U130" i="227"/>
  <c r="I130" i="227"/>
  <c r="C130" i="227"/>
  <c r="O130" i="225"/>
  <c r="I130" i="225"/>
  <c r="O130" i="220"/>
  <c r="C130" i="220"/>
  <c r="M3" i="219"/>
  <c r="C130" i="216"/>
  <c r="O130" i="179"/>
  <c r="I130" i="179"/>
  <c r="C130" i="179"/>
  <c r="C130" i="214"/>
  <c r="Z76" i="229" l="1"/>
  <c r="AC82" i="229"/>
  <c r="AB62" i="229"/>
  <c r="AC105" i="229"/>
  <c r="AC116" i="229" s="1"/>
  <c r="AC83" i="229"/>
  <c r="AC84" i="229"/>
  <c r="Z60" i="229"/>
  <c r="AA85" i="229"/>
  <c r="Z53" i="229"/>
  <c r="AB38" i="229"/>
  <c r="AB71" i="229" s="1"/>
  <c r="AB36" i="229"/>
  <c r="AB55" i="229" s="1"/>
  <c r="AA134" i="229"/>
  <c r="AA89" i="229"/>
  <c r="AB100" i="229"/>
  <c r="AC100" i="229" s="1"/>
  <c r="Z96" i="229"/>
  <c r="AB96" i="229" s="1"/>
  <c r="AA94" i="229"/>
  <c r="Z69" i="229"/>
  <c r="Z99" i="229"/>
  <c r="AA103" i="229"/>
  <c r="Z62" i="229"/>
  <c r="Z90" i="229"/>
  <c r="AA90" i="229" s="1"/>
  <c r="Z104" i="229"/>
  <c r="AA104" i="229" s="1"/>
  <c r="AC104" i="229" s="1"/>
  <c r="AC115" i="229" s="1"/>
  <c r="AB35" i="229"/>
  <c r="AB46" i="229" s="1"/>
  <c r="AC81" i="229"/>
  <c r="Z95" i="229"/>
  <c r="AA95" i="229" s="1"/>
  <c r="Z85" i="229"/>
  <c r="AB39" i="229"/>
  <c r="AB78" i="229" s="1"/>
  <c r="AA79" i="229" l="1"/>
  <c r="AA86" i="229"/>
  <c r="AC85" i="229"/>
  <c r="AB86" i="229" s="1"/>
  <c r="AB90" i="229"/>
  <c r="AC90" i="229" s="1"/>
  <c r="AA96" i="229"/>
  <c r="AB94" i="229"/>
  <c r="AC94" i="229" s="1"/>
  <c r="AA139" i="229"/>
  <c r="AA141" i="229"/>
  <c r="AA91" i="229"/>
  <c r="AB89" i="229"/>
  <c r="AC89" i="229" s="1"/>
  <c r="AA145" i="229"/>
  <c r="Z91" i="229"/>
  <c r="AB91" i="229" s="1"/>
  <c r="Z101" i="229"/>
  <c r="AB101" i="229" s="1"/>
  <c r="AA99" i="229"/>
  <c r="AB95" i="229"/>
  <c r="AC95" i="229" s="1"/>
  <c r="AA143" i="229"/>
  <c r="AA138" i="229"/>
  <c r="AA142" i="229"/>
  <c r="AC91" i="229" l="1"/>
  <c r="AA148" i="229"/>
  <c r="AC96" i="229"/>
  <c r="AA101" i="229"/>
  <c r="AB99" i="229"/>
  <c r="AC99" i="229" s="1"/>
  <c r="AC101" i="229" s="1"/>
  <c r="AC111" i="229" s="1"/>
  <c r="AA149" i="229" l="1"/>
  <c r="AC110" i="229"/>
  <c r="E172" i="230" l="1"/>
  <c r="D172" i="230"/>
  <c r="E171" i="230"/>
  <c r="E173" i="230" s="1"/>
  <c r="C171" i="230"/>
  <c r="B171" i="230"/>
  <c r="C169" i="230"/>
  <c r="P40" i="230"/>
  <c r="N40" i="230"/>
  <c r="B32" i="230"/>
  <c r="P25" i="230"/>
  <c r="O25" i="230"/>
  <c r="O40" i="230" s="1"/>
  <c r="N25" i="230"/>
  <c r="M25" i="230"/>
  <c r="M40" i="230" s="1"/>
  <c r="L25" i="230"/>
  <c r="L40" i="230" s="1"/>
  <c r="K25" i="230"/>
  <c r="K40" i="230" s="1"/>
  <c r="J25" i="230"/>
  <c r="J40" i="230" s="1"/>
  <c r="I25" i="230"/>
  <c r="I40" i="230" s="1"/>
  <c r="H25" i="230"/>
  <c r="H40" i="230" s="1"/>
  <c r="G25" i="230"/>
  <c r="G40" i="230" s="1"/>
  <c r="F25" i="230"/>
  <c r="F40" i="230" s="1"/>
  <c r="E25" i="230"/>
  <c r="E40" i="230" s="1"/>
  <c r="D25" i="230"/>
  <c r="D40" i="230" s="1"/>
  <c r="C25" i="230"/>
  <c r="C28" i="230" s="1"/>
  <c r="A25" i="230"/>
  <c r="A24" i="230"/>
  <c r="A23" i="230"/>
  <c r="A22" i="230"/>
  <c r="AV21" i="230"/>
  <c r="A21" i="230"/>
  <c r="AV20" i="230"/>
  <c r="A20" i="230"/>
  <c r="A19" i="230"/>
  <c r="AG18" i="230"/>
  <c r="A18" i="230"/>
  <c r="A17" i="230"/>
  <c r="A16" i="230"/>
  <c r="A15" i="230"/>
  <c r="A14" i="230"/>
  <c r="A13" i="230"/>
  <c r="AV12" i="230"/>
  <c r="A12" i="230"/>
  <c r="A11" i="230"/>
  <c r="A10" i="230"/>
  <c r="A9" i="230"/>
  <c r="A8" i="230"/>
  <c r="AV7" i="230"/>
  <c r="A7" i="230"/>
  <c r="A6" i="230"/>
  <c r="A5" i="230"/>
  <c r="AV4" i="230"/>
  <c r="K3" i="230"/>
  <c r="L3" i="230" s="1"/>
  <c r="M3" i="230" s="1"/>
  <c r="N3" i="230" s="1"/>
  <c r="O3" i="230" s="1"/>
  <c r="P3" i="230" s="1"/>
  <c r="Q3" i="230" s="1"/>
  <c r="R3" i="230" s="1"/>
  <c r="S3" i="230" s="1"/>
  <c r="T3" i="230" s="1"/>
  <c r="U3" i="230" s="1"/>
  <c r="V3" i="230" s="1"/>
  <c r="W3" i="230" s="1"/>
  <c r="X3" i="230" s="1"/>
  <c r="Y3" i="230" s="1"/>
  <c r="Z3" i="230" s="1"/>
  <c r="AA3" i="230" s="1"/>
  <c r="AB3" i="230" s="1"/>
  <c r="AC3" i="230" s="1"/>
  <c r="AD3" i="230" s="1"/>
  <c r="AE3" i="230" s="1"/>
  <c r="AF3" i="230" s="1"/>
  <c r="AG3" i="230" s="1"/>
  <c r="AH3" i="230" s="1"/>
  <c r="AI3" i="230" s="1"/>
  <c r="AJ3" i="230" s="1"/>
  <c r="AK3" i="230" s="1"/>
  <c r="AL3" i="230" s="1"/>
  <c r="AM3" i="230" s="1"/>
  <c r="AN3" i="230" s="1"/>
  <c r="AO3" i="230" s="1"/>
  <c r="AP3" i="230" s="1"/>
  <c r="AQ3" i="230" s="1"/>
  <c r="AR3" i="230" s="1"/>
  <c r="AS3" i="230" s="1"/>
  <c r="AT3" i="230" s="1"/>
  <c r="AU3" i="230" s="1"/>
  <c r="J3" i="230"/>
  <c r="E3" i="230"/>
  <c r="F3" i="230" s="1"/>
  <c r="G3" i="230" s="1"/>
  <c r="E1" i="230"/>
  <c r="D1" i="230"/>
  <c r="C1" i="230"/>
  <c r="S162" i="229"/>
  <c r="M162" i="229"/>
  <c r="G162" i="229"/>
  <c r="A162" i="229"/>
  <c r="A163" i="229" s="1"/>
  <c r="U158" i="229"/>
  <c r="O158" i="229"/>
  <c r="I158" i="229"/>
  <c r="C158" i="229"/>
  <c r="T152" i="229"/>
  <c r="N152" i="229"/>
  <c r="H152" i="229"/>
  <c r="B152" i="229"/>
  <c r="T145" i="229"/>
  <c r="N145" i="229"/>
  <c r="H145" i="229"/>
  <c r="B145" i="229"/>
  <c r="T144" i="229"/>
  <c r="N144" i="229"/>
  <c r="H144" i="229"/>
  <c r="B144" i="229"/>
  <c r="T143" i="229"/>
  <c r="N143" i="229"/>
  <c r="H143" i="229"/>
  <c r="B143" i="229"/>
  <c r="T142" i="229"/>
  <c r="N142" i="229"/>
  <c r="H142" i="229"/>
  <c r="B142" i="229"/>
  <c r="T141" i="229"/>
  <c r="N141" i="229"/>
  <c r="H141" i="229"/>
  <c r="B141" i="229"/>
  <c r="T139" i="229"/>
  <c r="N139" i="229"/>
  <c r="H139" i="229"/>
  <c r="B139" i="229"/>
  <c r="T138" i="229"/>
  <c r="N138" i="229"/>
  <c r="H138" i="229"/>
  <c r="B138" i="229"/>
  <c r="T134" i="229"/>
  <c r="N134" i="229"/>
  <c r="H134" i="229"/>
  <c r="B134" i="229"/>
  <c r="T133" i="229"/>
  <c r="N133" i="229"/>
  <c r="H133" i="229"/>
  <c r="I133" i="229" s="1"/>
  <c r="B133" i="229"/>
  <c r="U125" i="229"/>
  <c r="O125" i="229"/>
  <c r="I125" i="229"/>
  <c r="C125" i="229"/>
  <c r="U107" i="229"/>
  <c r="O107" i="229"/>
  <c r="I107" i="229"/>
  <c r="C107" i="229"/>
  <c r="V105" i="229"/>
  <c r="P105" i="229"/>
  <c r="J105" i="229"/>
  <c r="D105" i="229"/>
  <c r="V104" i="229"/>
  <c r="P104" i="229"/>
  <c r="J104" i="229"/>
  <c r="D104" i="229"/>
  <c r="H97" i="229"/>
  <c r="N95" i="229"/>
  <c r="O95" i="229" s="1"/>
  <c r="N87" i="229"/>
  <c r="V84" i="229"/>
  <c r="U84" i="229"/>
  <c r="T84" i="229"/>
  <c r="P84" i="229"/>
  <c r="O84" i="229"/>
  <c r="N84" i="229"/>
  <c r="J84" i="229"/>
  <c r="I84" i="229"/>
  <c r="H84" i="229"/>
  <c r="D84" i="229"/>
  <c r="C84" i="229"/>
  <c r="B84" i="229"/>
  <c r="V83" i="229"/>
  <c r="U83" i="229"/>
  <c r="T83" i="229"/>
  <c r="P83" i="229"/>
  <c r="O83" i="229"/>
  <c r="N83" i="229"/>
  <c r="J83" i="229"/>
  <c r="I83" i="229"/>
  <c r="H83" i="229"/>
  <c r="D83" i="229"/>
  <c r="C83" i="229"/>
  <c r="B83" i="229"/>
  <c r="V82" i="229"/>
  <c r="U82" i="229"/>
  <c r="T82" i="229"/>
  <c r="P82" i="229"/>
  <c r="O82" i="229"/>
  <c r="N82" i="229"/>
  <c r="J82" i="229"/>
  <c r="I82" i="229"/>
  <c r="H82" i="229"/>
  <c r="D82" i="229"/>
  <c r="C82" i="229"/>
  <c r="B82" i="229"/>
  <c r="V81" i="229"/>
  <c r="U81" i="229"/>
  <c r="T81" i="229"/>
  <c r="P81" i="229"/>
  <c r="O81" i="229"/>
  <c r="N81" i="229"/>
  <c r="J81" i="229"/>
  <c r="I81" i="229"/>
  <c r="H81" i="229"/>
  <c r="D81" i="229"/>
  <c r="C81" i="229"/>
  <c r="B81" i="229"/>
  <c r="W78" i="229"/>
  <c r="Q78" i="229"/>
  <c r="K78" i="229"/>
  <c r="E78" i="229"/>
  <c r="V75" i="229"/>
  <c r="T75" i="229"/>
  <c r="P75" i="229"/>
  <c r="N75" i="229"/>
  <c r="J75" i="229"/>
  <c r="H75" i="229"/>
  <c r="D75" i="229"/>
  <c r="B75" i="229"/>
  <c r="V74" i="229"/>
  <c r="T74" i="229"/>
  <c r="P74" i="229"/>
  <c r="N74" i="229"/>
  <c r="J74" i="229"/>
  <c r="H74" i="229"/>
  <c r="D74" i="229"/>
  <c r="B74" i="229"/>
  <c r="W71" i="229"/>
  <c r="T71" i="229"/>
  <c r="Q71" i="229"/>
  <c r="K71" i="229"/>
  <c r="E71" i="229"/>
  <c r="T68" i="229"/>
  <c r="N68" i="229"/>
  <c r="H68" i="229"/>
  <c r="B68" i="229"/>
  <c r="T67" i="229"/>
  <c r="N67" i="229"/>
  <c r="H67" i="229"/>
  <c r="B67" i="229"/>
  <c r="T66" i="229"/>
  <c r="N66" i="229"/>
  <c r="H66" i="229"/>
  <c r="B66" i="229"/>
  <c r="T65" i="229"/>
  <c r="N65" i="229"/>
  <c r="H65" i="229"/>
  <c r="B65" i="229"/>
  <c r="W62" i="229"/>
  <c r="Q62" i="229"/>
  <c r="K62" i="229"/>
  <c r="E62" i="229"/>
  <c r="B62" i="229"/>
  <c r="V59" i="229"/>
  <c r="T59" i="229"/>
  <c r="P59" i="229"/>
  <c r="N59" i="229"/>
  <c r="J59" i="229"/>
  <c r="H59" i="229"/>
  <c r="D59" i="229"/>
  <c r="B59" i="229"/>
  <c r="V58" i="229"/>
  <c r="T58" i="229"/>
  <c r="P58" i="229"/>
  <c r="N58" i="229"/>
  <c r="J58" i="229"/>
  <c r="H58" i="229"/>
  <c r="D58" i="229"/>
  <c r="B58" i="229"/>
  <c r="W55" i="229"/>
  <c r="Q55" i="229"/>
  <c r="K55" i="229"/>
  <c r="E55" i="229"/>
  <c r="T52" i="229"/>
  <c r="N52" i="229"/>
  <c r="H52" i="229"/>
  <c r="B52" i="229"/>
  <c r="T51" i="229"/>
  <c r="N51" i="229"/>
  <c r="H51" i="229"/>
  <c r="B51" i="229"/>
  <c r="T50" i="229"/>
  <c r="N50" i="229"/>
  <c r="H50" i="229"/>
  <c r="B50" i="229"/>
  <c r="T49" i="229"/>
  <c r="N49" i="229"/>
  <c r="H49" i="229"/>
  <c r="B49" i="229"/>
  <c r="W46" i="229"/>
  <c r="Q46" i="229"/>
  <c r="K46" i="229"/>
  <c r="E46" i="229"/>
  <c r="V43" i="229"/>
  <c r="T103" i="229" s="1"/>
  <c r="T104" i="229" s="1"/>
  <c r="U104" i="229" s="1"/>
  <c r="T43" i="229"/>
  <c r="P43" i="229"/>
  <c r="N103" i="229" s="1"/>
  <c r="N105" i="229" s="1"/>
  <c r="O105" i="229" s="1"/>
  <c r="N43" i="229"/>
  <c r="J43" i="229"/>
  <c r="H103" i="229" s="1"/>
  <c r="H104" i="229" s="1"/>
  <c r="I104" i="229" s="1"/>
  <c r="H43" i="229"/>
  <c r="D43" i="229"/>
  <c r="B103" i="229" s="1"/>
  <c r="B104" i="229" s="1"/>
  <c r="C104" i="229" s="1"/>
  <c r="B43" i="229"/>
  <c r="T42" i="229"/>
  <c r="N42" i="229"/>
  <c r="N97" i="229" s="1"/>
  <c r="N100" i="229" s="1"/>
  <c r="O100" i="229" s="1"/>
  <c r="H42" i="229"/>
  <c r="J42" i="229" s="1"/>
  <c r="B42" i="229"/>
  <c r="D42" i="229" s="1"/>
  <c r="T41" i="229"/>
  <c r="N41" i="229"/>
  <c r="N92" i="229" s="1"/>
  <c r="N94" i="229" s="1"/>
  <c r="O94" i="229" s="1"/>
  <c r="H41" i="229"/>
  <c r="D41" i="229"/>
  <c r="B41" i="229"/>
  <c r="B92" i="229" s="1"/>
  <c r="B95" i="229" s="1"/>
  <c r="C95" i="229" s="1"/>
  <c r="T40" i="229"/>
  <c r="T87" i="229" s="1"/>
  <c r="N40" i="229"/>
  <c r="P40" i="229" s="1"/>
  <c r="H40" i="229"/>
  <c r="J40" i="229" s="1"/>
  <c r="B40" i="229"/>
  <c r="B87" i="229" s="1"/>
  <c r="T39" i="229"/>
  <c r="V39" i="229" s="1"/>
  <c r="N39" i="229"/>
  <c r="P39" i="229" s="1"/>
  <c r="H39" i="229"/>
  <c r="J39" i="229" s="1"/>
  <c r="B39" i="229"/>
  <c r="D39" i="229" s="1"/>
  <c r="T38" i="229"/>
  <c r="V38" i="229" s="1"/>
  <c r="N38" i="229"/>
  <c r="N71" i="229" s="1"/>
  <c r="H38" i="229"/>
  <c r="J38" i="229" s="1"/>
  <c r="B38" i="229"/>
  <c r="B71" i="229" s="1"/>
  <c r="T37" i="229"/>
  <c r="V37" i="229" s="1"/>
  <c r="N37" i="229"/>
  <c r="P37" i="229" s="1"/>
  <c r="H37" i="229"/>
  <c r="B37" i="229"/>
  <c r="D37" i="229" s="1"/>
  <c r="T36" i="229"/>
  <c r="N36" i="229"/>
  <c r="N55" i="229" s="1"/>
  <c r="H36" i="229"/>
  <c r="H55" i="229" s="1"/>
  <c r="B36" i="229"/>
  <c r="D36" i="229" s="1"/>
  <c r="T35" i="229"/>
  <c r="N35" i="229"/>
  <c r="P35" i="229" s="1"/>
  <c r="H35" i="229"/>
  <c r="B35" i="229"/>
  <c r="V34" i="229"/>
  <c r="P34" i="229"/>
  <c r="J34" i="229"/>
  <c r="D34" i="229"/>
  <c r="B20" i="229"/>
  <c r="B18" i="230" s="1"/>
  <c r="AW18" i="230" s="1"/>
  <c r="C14" i="229"/>
  <c r="C15" i="229" s="1"/>
  <c r="B14" i="229"/>
  <c r="B12" i="230" s="1"/>
  <c r="AW12" i="230" s="1"/>
  <c r="B9" i="229"/>
  <c r="B7" i="230" s="1"/>
  <c r="AW7" i="230" s="1"/>
  <c r="AX7" i="230" s="1"/>
  <c r="AH18" i="228"/>
  <c r="AI18" i="228"/>
  <c r="E172" i="228"/>
  <c r="D172" i="228"/>
  <c r="E171" i="228"/>
  <c r="E173" i="228" s="1"/>
  <c r="C169" i="228"/>
  <c r="C40" i="228"/>
  <c r="B32" i="228"/>
  <c r="C28" i="228"/>
  <c r="AU25" i="228"/>
  <c r="AT25" i="228"/>
  <c r="AS25" i="228"/>
  <c r="AR25" i="228"/>
  <c r="AQ25" i="228"/>
  <c r="AP25" i="228"/>
  <c r="AO25" i="228"/>
  <c r="AN25" i="228"/>
  <c r="AM25" i="228"/>
  <c r="AL25" i="228"/>
  <c r="AK25" i="228"/>
  <c r="AJ25" i="228"/>
  <c r="L25" i="228"/>
  <c r="L40" i="228" s="1"/>
  <c r="K25" i="228"/>
  <c r="K40" i="228" s="1"/>
  <c r="J25" i="228"/>
  <c r="J40" i="228" s="1"/>
  <c r="I25" i="228"/>
  <c r="I40" i="228" s="1"/>
  <c r="H25" i="228"/>
  <c r="H40" i="228" s="1"/>
  <c r="G25" i="228"/>
  <c r="G40" i="228" s="1"/>
  <c r="F25" i="228"/>
  <c r="F40" i="228" s="1"/>
  <c r="E25" i="228"/>
  <c r="E40" i="228" s="1"/>
  <c r="D25" i="228"/>
  <c r="D40" i="228" s="1"/>
  <c r="C25" i="228"/>
  <c r="A25" i="228"/>
  <c r="A24" i="228"/>
  <c r="A23" i="228"/>
  <c r="A22" i="228"/>
  <c r="A21" i="228"/>
  <c r="A20" i="228"/>
  <c r="A19" i="228"/>
  <c r="A18" i="228"/>
  <c r="A17" i="228"/>
  <c r="A16" i="228"/>
  <c r="A15" i="228"/>
  <c r="A14" i="228"/>
  <c r="A13" i="228"/>
  <c r="AV12" i="228"/>
  <c r="B12" i="228"/>
  <c r="AW12" i="228" s="1"/>
  <c r="A12" i="228"/>
  <c r="A11" i="228"/>
  <c r="A10" i="228"/>
  <c r="A9" i="228"/>
  <c r="AV8" i="228"/>
  <c r="A8" i="228"/>
  <c r="AV7" i="228"/>
  <c r="A7" i="228"/>
  <c r="A6" i="228"/>
  <c r="A5" i="228"/>
  <c r="AV4" i="228"/>
  <c r="K3" i="228"/>
  <c r="L3" i="228" s="1"/>
  <c r="M3" i="228" s="1"/>
  <c r="N3" i="228" s="1"/>
  <c r="O3" i="228" s="1"/>
  <c r="P3" i="228" s="1"/>
  <c r="Q3" i="228" s="1"/>
  <c r="R3" i="228" s="1"/>
  <c r="S3" i="228" s="1"/>
  <c r="T3" i="228" s="1"/>
  <c r="U3" i="228" s="1"/>
  <c r="V3" i="228" s="1"/>
  <c r="W3" i="228" s="1"/>
  <c r="X3" i="228" s="1"/>
  <c r="Y3" i="228" s="1"/>
  <c r="Z3" i="228" s="1"/>
  <c r="AA3" i="228" s="1"/>
  <c r="AB3" i="228" s="1"/>
  <c r="AC3" i="228" s="1"/>
  <c r="AD3" i="228" s="1"/>
  <c r="AE3" i="228" s="1"/>
  <c r="AF3" i="228" s="1"/>
  <c r="AG3" i="228" s="1"/>
  <c r="AH3" i="228" s="1"/>
  <c r="AI3" i="228" s="1"/>
  <c r="AJ3" i="228" s="1"/>
  <c r="AK3" i="228" s="1"/>
  <c r="AL3" i="228" s="1"/>
  <c r="AM3" i="228" s="1"/>
  <c r="AN3" i="228" s="1"/>
  <c r="AO3" i="228" s="1"/>
  <c r="AP3" i="228" s="1"/>
  <c r="AQ3" i="228" s="1"/>
  <c r="AR3" i="228" s="1"/>
  <c r="AS3" i="228" s="1"/>
  <c r="AT3" i="228" s="1"/>
  <c r="AU3" i="228" s="1"/>
  <c r="J3" i="228"/>
  <c r="E3" i="228"/>
  <c r="F3" i="228" s="1"/>
  <c r="G3" i="228" s="1"/>
  <c r="E1" i="228"/>
  <c r="D1" i="228"/>
  <c r="C1" i="228"/>
  <c r="S162" i="227"/>
  <c r="S163" i="227" s="1"/>
  <c r="M162" i="227"/>
  <c r="M163" i="227" s="1"/>
  <c r="G162" i="227"/>
  <c r="A162" i="227"/>
  <c r="A163" i="227" s="1"/>
  <c r="U158" i="227"/>
  <c r="O158" i="227"/>
  <c r="I158" i="227"/>
  <c r="C158" i="227"/>
  <c r="T152" i="227"/>
  <c r="N152" i="227"/>
  <c r="H152" i="227"/>
  <c r="B152" i="227"/>
  <c r="T145" i="227"/>
  <c r="N145" i="227"/>
  <c r="H145" i="227"/>
  <c r="B145" i="227"/>
  <c r="T144" i="227"/>
  <c r="N144" i="227"/>
  <c r="H144" i="227"/>
  <c r="B144" i="227"/>
  <c r="T143" i="227"/>
  <c r="N143" i="227"/>
  <c r="H143" i="227"/>
  <c r="B143" i="227"/>
  <c r="T142" i="227"/>
  <c r="N142" i="227"/>
  <c r="H142" i="227"/>
  <c r="B142" i="227"/>
  <c r="T141" i="227"/>
  <c r="N141" i="227"/>
  <c r="H141" i="227"/>
  <c r="B141" i="227"/>
  <c r="T139" i="227"/>
  <c r="N139" i="227"/>
  <c r="H139" i="227"/>
  <c r="B139" i="227"/>
  <c r="T138" i="227"/>
  <c r="N138" i="227"/>
  <c r="H138" i="227"/>
  <c r="B138" i="227"/>
  <c r="T134" i="227"/>
  <c r="N134" i="227"/>
  <c r="H134" i="227"/>
  <c r="B134" i="227"/>
  <c r="T133" i="227"/>
  <c r="N133" i="227"/>
  <c r="O133" i="227" s="1"/>
  <c r="H133" i="227"/>
  <c r="B133" i="227"/>
  <c r="O130" i="227"/>
  <c r="U125" i="227"/>
  <c r="O125" i="227"/>
  <c r="I125" i="227"/>
  <c r="C125" i="227"/>
  <c r="U107" i="227"/>
  <c r="O107" i="227"/>
  <c r="I107" i="227"/>
  <c r="C107" i="227"/>
  <c r="V105" i="227"/>
  <c r="P105" i="227"/>
  <c r="J105" i="227"/>
  <c r="D105" i="227"/>
  <c r="V104" i="227"/>
  <c r="P104" i="227"/>
  <c r="J104" i="227"/>
  <c r="D104" i="227"/>
  <c r="B103" i="227"/>
  <c r="N97" i="227"/>
  <c r="N99" i="227" s="1"/>
  <c r="H97" i="227"/>
  <c r="H99" i="227" s="1"/>
  <c r="I99" i="227" s="1"/>
  <c r="V84" i="227"/>
  <c r="U84" i="227"/>
  <c r="T84" i="227"/>
  <c r="P84" i="227"/>
  <c r="O84" i="227"/>
  <c r="N84" i="227"/>
  <c r="J84" i="227"/>
  <c r="I84" i="227"/>
  <c r="H84" i="227"/>
  <c r="D84" i="227"/>
  <c r="C84" i="227"/>
  <c r="B84" i="227"/>
  <c r="V83" i="227"/>
  <c r="U83" i="227"/>
  <c r="T83" i="227"/>
  <c r="P83" i="227"/>
  <c r="O83" i="227"/>
  <c r="N83" i="227"/>
  <c r="J83" i="227"/>
  <c r="I83" i="227"/>
  <c r="H83" i="227"/>
  <c r="D83" i="227"/>
  <c r="C83" i="227"/>
  <c r="B83" i="227"/>
  <c r="V82" i="227"/>
  <c r="U82" i="227"/>
  <c r="T82" i="227"/>
  <c r="P82" i="227"/>
  <c r="O82" i="227"/>
  <c r="N82" i="227"/>
  <c r="J82" i="227"/>
  <c r="I82" i="227"/>
  <c r="H82" i="227"/>
  <c r="D82" i="227"/>
  <c r="C82" i="227"/>
  <c r="B82" i="227"/>
  <c r="V81" i="227"/>
  <c r="U81" i="227"/>
  <c r="T81" i="227"/>
  <c r="P81" i="227"/>
  <c r="O81" i="227"/>
  <c r="N81" i="227"/>
  <c r="J81" i="227"/>
  <c r="I81" i="227"/>
  <c r="H81" i="227"/>
  <c r="D81" i="227"/>
  <c r="C81" i="227"/>
  <c r="B81" i="227"/>
  <c r="W78" i="227"/>
  <c r="Q78" i="227"/>
  <c r="K78" i="227"/>
  <c r="E78" i="227"/>
  <c r="V75" i="227"/>
  <c r="T75" i="227"/>
  <c r="P75" i="227"/>
  <c r="N75" i="227"/>
  <c r="J75" i="227"/>
  <c r="H75" i="227"/>
  <c r="D75" i="227"/>
  <c r="B75" i="227"/>
  <c r="V74" i="227"/>
  <c r="T74" i="227"/>
  <c r="P74" i="227"/>
  <c r="N74" i="227"/>
  <c r="J74" i="227"/>
  <c r="H74" i="227"/>
  <c r="D74" i="227"/>
  <c r="B74" i="227"/>
  <c r="W71" i="227"/>
  <c r="Q71" i="227"/>
  <c r="K71" i="227"/>
  <c r="E71" i="227"/>
  <c r="T68" i="227"/>
  <c r="N68" i="227"/>
  <c r="H68" i="227"/>
  <c r="B68" i="227"/>
  <c r="T67" i="227"/>
  <c r="N67" i="227"/>
  <c r="H67" i="227"/>
  <c r="B67" i="227"/>
  <c r="T66" i="227"/>
  <c r="N66" i="227"/>
  <c r="H66" i="227"/>
  <c r="B66" i="227"/>
  <c r="T65" i="227"/>
  <c r="N65" i="227"/>
  <c r="H65" i="227"/>
  <c r="B65" i="227"/>
  <c r="W62" i="227"/>
  <c r="Q62" i="227"/>
  <c r="K62" i="227"/>
  <c r="E62" i="227"/>
  <c r="V59" i="227"/>
  <c r="T59" i="227"/>
  <c r="P59" i="227"/>
  <c r="N59" i="227"/>
  <c r="J59" i="227"/>
  <c r="H59" i="227"/>
  <c r="D59" i="227"/>
  <c r="B59" i="227"/>
  <c r="V58" i="227"/>
  <c r="T58" i="227"/>
  <c r="P58" i="227"/>
  <c r="N58" i="227"/>
  <c r="J58" i="227"/>
  <c r="H58" i="227"/>
  <c r="D58" i="227"/>
  <c r="B58" i="227"/>
  <c r="W55" i="227"/>
  <c r="Q55" i="227"/>
  <c r="K55" i="227"/>
  <c r="E55" i="227"/>
  <c r="T52" i="227"/>
  <c r="N52" i="227"/>
  <c r="H52" i="227"/>
  <c r="B52" i="227"/>
  <c r="T51" i="227"/>
  <c r="N51" i="227"/>
  <c r="H51" i="227"/>
  <c r="B51" i="227"/>
  <c r="T50" i="227"/>
  <c r="N50" i="227"/>
  <c r="H50" i="227"/>
  <c r="B50" i="227"/>
  <c r="T49" i="227"/>
  <c r="N49" i="227"/>
  <c r="H49" i="227"/>
  <c r="B49" i="227"/>
  <c r="W46" i="227"/>
  <c r="Q46" i="227"/>
  <c r="K46" i="227"/>
  <c r="E46" i="227"/>
  <c r="V43" i="227"/>
  <c r="T103" i="227" s="1"/>
  <c r="U103" i="227" s="1"/>
  <c r="T43" i="227"/>
  <c r="P43" i="227"/>
  <c r="N103" i="227" s="1"/>
  <c r="N105" i="227" s="1"/>
  <c r="O105" i="227" s="1"/>
  <c r="N43" i="227"/>
  <c r="J43" i="227"/>
  <c r="H103" i="227" s="1"/>
  <c r="H43" i="227"/>
  <c r="D43" i="227"/>
  <c r="B43" i="227"/>
  <c r="T42" i="227"/>
  <c r="V42" i="227" s="1"/>
  <c r="N42" i="227"/>
  <c r="P42" i="227" s="1"/>
  <c r="H42" i="227"/>
  <c r="J42" i="227" s="1"/>
  <c r="B42" i="227"/>
  <c r="B97" i="227" s="1"/>
  <c r="B100" i="227" s="1"/>
  <c r="C100" i="227" s="1"/>
  <c r="V41" i="227"/>
  <c r="T41" i="227"/>
  <c r="T92" i="227" s="1"/>
  <c r="N41" i="227"/>
  <c r="N92" i="227" s="1"/>
  <c r="H41" i="227"/>
  <c r="B41" i="227"/>
  <c r="B92" i="227" s="1"/>
  <c r="T40" i="227"/>
  <c r="T87" i="227" s="1"/>
  <c r="T89" i="227" s="1"/>
  <c r="U89" i="227" s="1"/>
  <c r="N40" i="227"/>
  <c r="N87" i="227" s="1"/>
  <c r="N89" i="227" s="1"/>
  <c r="H40" i="227"/>
  <c r="H87" i="227" s="1"/>
  <c r="H89" i="227" s="1"/>
  <c r="B40" i="227"/>
  <c r="B87" i="227" s="1"/>
  <c r="T39" i="227"/>
  <c r="V39" i="227" s="1"/>
  <c r="N39" i="227"/>
  <c r="P39" i="227" s="1"/>
  <c r="H39" i="227"/>
  <c r="J39" i="227" s="1"/>
  <c r="B39" i="227"/>
  <c r="D39" i="227" s="1"/>
  <c r="T38" i="227"/>
  <c r="T71" i="227" s="1"/>
  <c r="N38" i="227"/>
  <c r="N71" i="227" s="1"/>
  <c r="H38" i="227"/>
  <c r="B38" i="227"/>
  <c r="B71" i="227" s="1"/>
  <c r="V37" i="227"/>
  <c r="T37" i="227"/>
  <c r="T78" i="227" s="1"/>
  <c r="N37" i="227"/>
  <c r="H37" i="227"/>
  <c r="H62" i="227" s="1"/>
  <c r="B37" i="227"/>
  <c r="B78" i="227" s="1"/>
  <c r="T36" i="227"/>
  <c r="N36" i="227"/>
  <c r="N55" i="227" s="1"/>
  <c r="H36" i="227"/>
  <c r="H55" i="227" s="1"/>
  <c r="B36" i="227"/>
  <c r="D36" i="227" s="1"/>
  <c r="T35" i="227"/>
  <c r="T46" i="227" s="1"/>
  <c r="N35" i="227"/>
  <c r="N46" i="227" s="1"/>
  <c r="H35" i="227"/>
  <c r="B35" i="227"/>
  <c r="D35" i="227" s="1"/>
  <c r="V34" i="227"/>
  <c r="P34" i="227"/>
  <c r="J34" i="227"/>
  <c r="D34" i="227"/>
  <c r="B20" i="227"/>
  <c r="B18" i="228" s="1"/>
  <c r="C14" i="227"/>
  <c r="C15" i="227" s="1"/>
  <c r="B14" i="227"/>
  <c r="B9" i="227"/>
  <c r="B7" i="228" s="1"/>
  <c r="AW7" i="228" s="1"/>
  <c r="V3" i="224"/>
  <c r="W3" i="224" s="1"/>
  <c r="X3" i="224" s="1"/>
  <c r="Y3" i="224" s="1"/>
  <c r="Z3" i="224" s="1"/>
  <c r="AA3" i="224" s="1"/>
  <c r="AB3" i="224" s="1"/>
  <c r="AC3" i="224" s="1"/>
  <c r="AD3" i="224" s="1"/>
  <c r="AE3" i="224" s="1"/>
  <c r="AF3" i="224" s="1"/>
  <c r="AG3" i="224" s="1"/>
  <c r="AH3" i="224" s="1"/>
  <c r="AI3" i="224" s="1"/>
  <c r="AJ3" i="224" s="1"/>
  <c r="AK3" i="224" s="1"/>
  <c r="AL3" i="224" s="1"/>
  <c r="AM3" i="224" s="1"/>
  <c r="AN3" i="224" s="1"/>
  <c r="AO3" i="224" s="1"/>
  <c r="AP3" i="224" s="1"/>
  <c r="AQ3" i="224" s="1"/>
  <c r="AR3" i="224" s="1"/>
  <c r="AS3" i="224" s="1"/>
  <c r="AT3" i="224" s="1"/>
  <c r="AU3" i="224" s="1"/>
  <c r="V3" i="226"/>
  <c r="W3" i="226" s="1"/>
  <c r="X3" i="226" s="1"/>
  <c r="Y3" i="226" s="1"/>
  <c r="Z3" i="226" s="1"/>
  <c r="AA3" i="226" s="1"/>
  <c r="AB3" i="226" s="1"/>
  <c r="AC3" i="226" s="1"/>
  <c r="AD3" i="226" s="1"/>
  <c r="AE3" i="226" s="1"/>
  <c r="AF3" i="226" s="1"/>
  <c r="AG3" i="226" s="1"/>
  <c r="AH3" i="226" s="1"/>
  <c r="AI3" i="226" s="1"/>
  <c r="AJ3" i="226" s="1"/>
  <c r="AK3" i="226" s="1"/>
  <c r="AL3" i="226" s="1"/>
  <c r="AM3" i="226" s="1"/>
  <c r="AN3" i="226" s="1"/>
  <c r="AO3" i="226" s="1"/>
  <c r="AP3" i="226" s="1"/>
  <c r="AQ3" i="226" s="1"/>
  <c r="AR3" i="226" s="1"/>
  <c r="AS3" i="226" s="1"/>
  <c r="AT3" i="226" s="1"/>
  <c r="AU3" i="226" s="1"/>
  <c r="H46" i="225"/>
  <c r="E172" i="226"/>
  <c r="D172" i="226"/>
  <c r="E171" i="226"/>
  <c r="E173" i="226" s="1"/>
  <c r="C171" i="226"/>
  <c r="B171" i="226"/>
  <c r="C169" i="226"/>
  <c r="I40" i="226"/>
  <c r="B32" i="226"/>
  <c r="AU25" i="226"/>
  <c r="AT25" i="226"/>
  <c r="AS25" i="226"/>
  <c r="AR25" i="226"/>
  <c r="AQ25" i="226"/>
  <c r="AP25" i="226"/>
  <c r="AO25" i="226"/>
  <c r="AN25" i="226"/>
  <c r="AM25" i="226"/>
  <c r="AL25" i="226"/>
  <c r="AK25" i="226"/>
  <c r="AJ25" i="226"/>
  <c r="AI25" i="226"/>
  <c r="AH25" i="226"/>
  <c r="AG25" i="226"/>
  <c r="AF25" i="226"/>
  <c r="L25" i="226"/>
  <c r="L40" i="226" s="1"/>
  <c r="K25" i="226"/>
  <c r="K40" i="226" s="1"/>
  <c r="J25" i="226"/>
  <c r="J40" i="226" s="1"/>
  <c r="I25" i="226"/>
  <c r="H25" i="226"/>
  <c r="H40" i="226" s="1"/>
  <c r="G25" i="226"/>
  <c r="G40" i="226" s="1"/>
  <c r="F25" i="226"/>
  <c r="F40" i="226" s="1"/>
  <c r="E25" i="226"/>
  <c r="E40" i="226" s="1"/>
  <c r="D25" i="226"/>
  <c r="D40" i="226" s="1"/>
  <c r="C25" i="226"/>
  <c r="C40" i="226" s="1"/>
  <c r="A25" i="226"/>
  <c r="A24" i="226"/>
  <c r="A23" i="226"/>
  <c r="A22" i="226"/>
  <c r="AV21" i="226"/>
  <c r="A21" i="226"/>
  <c r="AV20" i="226"/>
  <c r="A20" i="226"/>
  <c r="A19" i="226"/>
  <c r="A18" i="226"/>
  <c r="A17" i="226"/>
  <c r="A16" i="226"/>
  <c r="A15" i="226"/>
  <c r="A14" i="226"/>
  <c r="A13" i="226"/>
  <c r="AV12" i="226"/>
  <c r="B12" i="226"/>
  <c r="AW12" i="226" s="1"/>
  <c r="A12" i="226"/>
  <c r="A11" i="226"/>
  <c r="A10" i="226"/>
  <c r="A9" i="226"/>
  <c r="AV8" i="226"/>
  <c r="A8" i="226"/>
  <c r="AV7" i="226"/>
  <c r="B7" i="226"/>
  <c r="AW7" i="226" s="1"/>
  <c r="AX7" i="226" s="1"/>
  <c r="A7" i="226"/>
  <c r="A6" i="226"/>
  <c r="A5" i="226"/>
  <c r="AV4" i="226"/>
  <c r="J3" i="226"/>
  <c r="K3" i="226" s="1"/>
  <c r="L3" i="226" s="1"/>
  <c r="M3" i="226" s="1"/>
  <c r="N3" i="226" s="1"/>
  <c r="O3" i="226" s="1"/>
  <c r="P3" i="226" s="1"/>
  <c r="Q3" i="226" s="1"/>
  <c r="R3" i="226" s="1"/>
  <c r="S3" i="226" s="1"/>
  <c r="T3" i="226" s="1"/>
  <c r="U3" i="226" s="1"/>
  <c r="E3" i="226"/>
  <c r="F3" i="226" s="1"/>
  <c r="G3" i="226" s="1"/>
  <c r="E1" i="226"/>
  <c r="D1" i="226"/>
  <c r="C1" i="226"/>
  <c r="S162" i="225"/>
  <c r="S163" i="225" s="1"/>
  <c r="M162" i="225"/>
  <c r="M163" i="225" s="1"/>
  <c r="G162" i="225"/>
  <c r="A162" i="225"/>
  <c r="U158" i="225"/>
  <c r="O158" i="225"/>
  <c r="I158" i="225"/>
  <c r="C158" i="225"/>
  <c r="T152" i="225"/>
  <c r="N152" i="225"/>
  <c r="H152" i="225"/>
  <c r="B152" i="225"/>
  <c r="T145" i="225"/>
  <c r="N145" i="225"/>
  <c r="H145" i="225"/>
  <c r="B145" i="225"/>
  <c r="T144" i="225"/>
  <c r="N144" i="225"/>
  <c r="H144" i="225"/>
  <c r="B144" i="225"/>
  <c r="T143" i="225"/>
  <c r="N143" i="225"/>
  <c r="H143" i="225"/>
  <c r="B143" i="225"/>
  <c r="T142" i="225"/>
  <c r="N142" i="225"/>
  <c r="H142" i="225"/>
  <c r="B142" i="225"/>
  <c r="T141" i="225"/>
  <c r="N141" i="225"/>
  <c r="H141" i="225"/>
  <c r="B141" i="225"/>
  <c r="T139" i="225"/>
  <c r="N139" i="225"/>
  <c r="H139" i="225"/>
  <c r="B139" i="225"/>
  <c r="T138" i="225"/>
  <c r="N138" i="225"/>
  <c r="H138" i="225"/>
  <c r="B138" i="225"/>
  <c r="T134" i="225"/>
  <c r="N134" i="225"/>
  <c r="H134" i="225"/>
  <c r="B134" i="225"/>
  <c r="T133" i="225"/>
  <c r="N133" i="225"/>
  <c r="H133" i="225"/>
  <c r="I133" i="225" s="1"/>
  <c r="B133" i="225"/>
  <c r="C130" i="225"/>
  <c r="U125" i="225"/>
  <c r="O125" i="225"/>
  <c r="I125" i="225"/>
  <c r="C125" i="225"/>
  <c r="U107" i="225"/>
  <c r="O107" i="225"/>
  <c r="I107" i="225"/>
  <c r="C107" i="225"/>
  <c r="V105" i="225"/>
  <c r="T105" i="225"/>
  <c r="U105" i="225" s="1"/>
  <c r="P105" i="225"/>
  <c r="J105" i="225"/>
  <c r="D105" i="225"/>
  <c r="V104" i="225"/>
  <c r="P104" i="225"/>
  <c r="J104" i="225"/>
  <c r="D104" i="225"/>
  <c r="H87" i="225"/>
  <c r="V84" i="225"/>
  <c r="U84" i="225"/>
  <c r="T84" i="225"/>
  <c r="P84" i="225"/>
  <c r="O84" i="225"/>
  <c r="N84" i="225"/>
  <c r="J84" i="225"/>
  <c r="I84" i="225"/>
  <c r="H84" i="225"/>
  <c r="D84" i="225"/>
  <c r="C84" i="225"/>
  <c r="B84" i="225"/>
  <c r="V83" i="225"/>
  <c r="U83" i="225"/>
  <c r="T83" i="225"/>
  <c r="P83" i="225"/>
  <c r="O83" i="225"/>
  <c r="N83" i="225"/>
  <c r="J83" i="225"/>
  <c r="I83" i="225"/>
  <c r="H83" i="225"/>
  <c r="D83" i="225"/>
  <c r="C83" i="225"/>
  <c r="B83" i="225"/>
  <c r="V82" i="225"/>
  <c r="U82" i="225"/>
  <c r="T82" i="225"/>
  <c r="P82" i="225"/>
  <c r="O82" i="225"/>
  <c r="N82" i="225"/>
  <c r="J82" i="225"/>
  <c r="I82" i="225"/>
  <c r="H82" i="225"/>
  <c r="D82" i="225"/>
  <c r="C82" i="225"/>
  <c r="B82" i="225"/>
  <c r="V81" i="225"/>
  <c r="U81" i="225"/>
  <c r="T81" i="225"/>
  <c r="P81" i="225"/>
  <c r="O81" i="225"/>
  <c r="N81" i="225"/>
  <c r="J81" i="225"/>
  <c r="I81" i="225"/>
  <c r="H81" i="225"/>
  <c r="D81" i="225"/>
  <c r="C81" i="225"/>
  <c r="B81" i="225"/>
  <c r="W78" i="225"/>
  <c r="Q78" i="225"/>
  <c r="K78" i="225"/>
  <c r="E78" i="225"/>
  <c r="V75" i="225"/>
  <c r="T75" i="225"/>
  <c r="P75" i="225"/>
  <c r="N75" i="225"/>
  <c r="J75" i="225"/>
  <c r="H75" i="225"/>
  <c r="D75" i="225"/>
  <c r="B75" i="225"/>
  <c r="V74" i="225"/>
  <c r="T74" i="225"/>
  <c r="P74" i="225"/>
  <c r="N74" i="225"/>
  <c r="J74" i="225"/>
  <c r="H74" i="225"/>
  <c r="D74" i="225"/>
  <c r="B74" i="225"/>
  <c r="W71" i="225"/>
  <c r="Q71" i="225"/>
  <c r="K71" i="225"/>
  <c r="E71" i="225"/>
  <c r="T68" i="225"/>
  <c r="N68" i="225"/>
  <c r="H68" i="225"/>
  <c r="B68" i="225"/>
  <c r="T67" i="225"/>
  <c r="N67" i="225"/>
  <c r="H67" i="225"/>
  <c r="B67" i="225"/>
  <c r="T66" i="225"/>
  <c r="N66" i="225"/>
  <c r="H66" i="225"/>
  <c r="B66" i="225"/>
  <c r="T65" i="225"/>
  <c r="N65" i="225"/>
  <c r="H65" i="225"/>
  <c r="B65" i="225"/>
  <c r="W62" i="225"/>
  <c r="Q62" i="225"/>
  <c r="K62" i="225"/>
  <c r="E62" i="225"/>
  <c r="V59" i="225"/>
  <c r="T59" i="225"/>
  <c r="P59" i="225"/>
  <c r="N59" i="225"/>
  <c r="J59" i="225"/>
  <c r="H59" i="225"/>
  <c r="D59" i="225"/>
  <c r="B59" i="225"/>
  <c r="V58" i="225"/>
  <c r="T58" i="225"/>
  <c r="P58" i="225"/>
  <c r="N58" i="225"/>
  <c r="J58" i="225"/>
  <c r="H58" i="225"/>
  <c r="D58" i="225"/>
  <c r="B58" i="225"/>
  <c r="W55" i="225"/>
  <c r="Q55" i="225"/>
  <c r="K55" i="225"/>
  <c r="E55" i="225"/>
  <c r="T52" i="225"/>
  <c r="N52" i="225"/>
  <c r="H52" i="225"/>
  <c r="B52" i="225"/>
  <c r="T51" i="225"/>
  <c r="N51" i="225"/>
  <c r="H51" i="225"/>
  <c r="B51" i="225"/>
  <c r="T50" i="225"/>
  <c r="N50" i="225"/>
  <c r="H50" i="225"/>
  <c r="B50" i="225"/>
  <c r="T49" i="225"/>
  <c r="N49" i="225"/>
  <c r="H49" i="225"/>
  <c r="B49" i="225"/>
  <c r="W46" i="225"/>
  <c r="Q46" i="225"/>
  <c r="K46" i="225"/>
  <c r="E46" i="225"/>
  <c r="V43" i="225"/>
  <c r="T103" i="225" s="1"/>
  <c r="U103" i="225" s="1"/>
  <c r="T43" i="225"/>
  <c r="P43" i="225"/>
  <c r="N103" i="225" s="1"/>
  <c r="N43" i="225"/>
  <c r="J43" i="225"/>
  <c r="H103" i="225" s="1"/>
  <c r="I103" i="225" s="1"/>
  <c r="H43" i="225"/>
  <c r="D43" i="225"/>
  <c r="B103" i="225" s="1"/>
  <c r="C103" i="225" s="1"/>
  <c r="B43" i="225"/>
  <c r="T42" i="225"/>
  <c r="N42" i="225"/>
  <c r="N97" i="225" s="1"/>
  <c r="H42" i="225"/>
  <c r="B42" i="225"/>
  <c r="D42" i="225" s="1"/>
  <c r="T41" i="225"/>
  <c r="V41" i="225" s="1"/>
  <c r="N41" i="225"/>
  <c r="N92" i="225" s="1"/>
  <c r="N94" i="225" s="1"/>
  <c r="H41" i="225"/>
  <c r="B41" i="225"/>
  <c r="B92" i="225" s="1"/>
  <c r="T40" i="225"/>
  <c r="N40" i="225"/>
  <c r="N87" i="225" s="1"/>
  <c r="N89" i="225" s="1"/>
  <c r="H40" i="225"/>
  <c r="J40" i="225" s="1"/>
  <c r="B40" i="225"/>
  <c r="D40" i="225" s="1"/>
  <c r="T39" i="225"/>
  <c r="V39" i="225" s="1"/>
  <c r="N39" i="225"/>
  <c r="P39" i="225" s="1"/>
  <c r="H39" i="225"/>
  <c r="J39" i="225" s="1"/>
  <c r="B39" i="225"/>
  <c r="D39" i="225" s="1"/>
  <c r="T38" i="225"/>
  <c r="V38" i="225" s="1"/>
  <c r="N38" i="225"/>
  <c r="N71" i="225" s="1"/>
  <c r="H38" i="225"/>
  <c r="B38" i="225"/>
  <c r="B71" i="225" s="1"/>
  <c r="T37" i="225"/>
  <c r="N37" i="225"/>
  <c r="H37" i="225"/>
  <c r="H62" i="225" s="1"/>
  <c r="B37" i="225"/>
  <c r="B62" i="225" s="1"/>
  <c r="T36" i="225"/>
  <c r="N36" i="225"/>
  <c r="N55" i="225" s="1"/>
  <c r="H36" i="225"/>
  <c r="B36" i="225"/>
  <c r="D36" i="225" s="1"/>
  <c r="T35" i="225"/>
  <c r="T46" i="225" s="1"/>
  <c r="N35" i="225"/>
  <c r="N46" i="225" s="1"/>
  <c r="H35" i="225"/>
  <c r="B35" i="225"/>
  <c r="D35" i="225" s="1"/>
  <c r="V34" i="225"/>
  <c r="P34" i="225"/>
  <c r="J34" i="225"/>
  <c r="D34" i="225"/>
  <c r="B20" i="225"/>
  <c r="B18" i="226" s="1"/>
  <c r="C14" i="225"/>
  <c r="C15" i="225" s="1"/>
  <c r="B14" i="225"/>
  <c r="B9" i="225"/>
  <c r="AA18" i="224"/>
  <c r="Z18" i="224"/>
  <c r="I130" i="223"/>
  <c r="C130" i="223"/>
  <c r="E172" i="224"/>
  <c r="D172" i="224" s="1"/>
  <c r="E171" i="224"/>
  <c r="E173" i="224" s="1"/>
  <c r="C171" i="224"/>
  <c r="C169" i="224"/>
  <c r="B32" i="224"/>
  <c r="AU25" i="224"/>
  <c r="AT25" i="224"/>
  <c r="AS25" i="224"/>
  <c r="AR25" i="224"/>
  <c r="AQ25" i="224"/>
  <c r="AP25" i="224"/>
  <c r="AO25" i="224"/>
  <c r="AN25" i="224"/>
  <c r="AM25" i="224"/>
  <c r="AL25" i="224"/>
  <c r="AK25" i="224"/>
  <c r="AJ25" i="224"/>
  <c r="AI25" i="224"/>
  <c r="AH25" i="224"/>
  <c r="AG25" i="224"/>
  <c r="AF25" i="224"/>
  <c r="AE25" i="224"/>
  <c r="AD25" i="224"/>
  <c r="AC25" i="224"/>
  <c r="AB25" i="224"/>
  <c r="A25" i="224"/>
  <c r="A24" i="224"/>
  <c r="A23" i="224"/>
  <c r="A22" i="224"/>
  <c r="A21" i="224"/>
  <c r="A20" i="224"/>
  <c r="A19" i="224"/>
  <c r="A18" i="224"/>
  <c r="A17" i="224"/>
  <c r="A16" i="224"/>
  <c r="A15" i="224"/>
  <c r="A14" i="224"/>
  <c r="A13" i="224"/>
  <c r="AV12" i="224"/>
  <c r="A12" i="224"/>
  <c r="A11" i="224"/>
  <c r="A10" i="224"/>
  <c r="A9" i="224"/>
  <c r="AV8" i="224"/>
  <c r="A8" i="224"/>
  <c r="AV7" i="224"/>
  <c r="A7" i="224"/>
  <c r="A6" i="224"/>
  <c r="A5" i="224"/>
  <c r="AV4" i="224"/>
  <c r="J3" i="224"/>
  <c r="K3" i="224" s="1"/>
  <c r="L3" i="224" s="1"/>
  <c r="M3" i="224" s="1"/>
  <c r="N3" i="224" s="1"/>
  <c r="O3" i="224" s="1"/>
  <c r="P3" i="224" s="1"/>
  <c r="Q3" i="224" s="1"/>
  <c r="R3" i="224" s="1"/>
  <c r="S3" i="224" s="1"/>
  <c r="T3" i="224" s="1"/>
  <c r="U3" i="224" s="1"/>
  <c r="E3" i="224"/>
  <c r="F3" i="224" s="1"/>
  <c r="G3" i="224" s="1"/>
  <c r="E1" i="224"/>
  <c r="D1" i="224"/>
  <c r="C1" i="224"/>
  <c r="S162" i="223"/>
  <c r="S163" i="223" s="1"/>
  <c r="M162" i="223"/>
  <c r="M163" i="223" s="1"/>
  <c r="G162" i="223"/>
  <c r="A162" i="223"/>
  <c r="U158" i="223"/>
  <c r="O158" i="223"/>
  <c r="I158" i="223"/>
  <c r="C158" i="223"/>
  <c r="T152" i="223"/>
  <c r="N152" i="223"/>
  <c r="H152" i="223"/>
  <c r="B152" i="223"/>
  <c r="T145" i="223"/>
  <c r="N145" i="223"/>
  <c r="H145" i="223"/>
  <c r="B145" i="223"/>
  <c r="T144" i="223"/>
  <c r="N144" i="223"/>
  <c r="H144" i="223"/>
  <c r="B144" i="223"/>
  <c r="T143" i="223"/>
  <c r="N143" i="223"/>
  <c r="H143" i="223"/>
  <c r="B143" i="223"/>
  <c r="T142" i="223"/>
  <c r="N142" i="223"/>
  <c r="H142" i="223"/>
  <c r="B142" i="223"/>
  <c r="T141" i="223"/>
  <c r="N141" i="223"/>
  <c r="H141" i="223"/>
  <c r="B141" i="223"/>
  <c r="T139" i="223"/>
  <c r="N139" i="223"/>
  <c r="H139" i="223"/>
  <c r="B139" i="223"/>
  <c r="T138" i="223"/>
  <c r="N138" i="223"/>
  <c r="H138" i="223"/>
  <c r="B138" i="223"/>
  <c r="T134" i="223"/>
  <c r="N134" i="223"/>
  <c r="H134" i="223"/>
  <c r="B134" i="223"/>
  <c r="T133" i="223"/>
  <c r="N133" i="223"/>
  <c r="H133" i="223"/>
  <c r="B133" i="223"/>
  <c r="O130" i="223"/>
  <c r="U125" i="223"/>
  <c r="O125" i="223"/>
  <c r="I125" i="223"/>
  <c r="C125" i="223"/>
  <c r="U107" i="223"/>
  <c r="O107" i="223"/>
  <c r="I107" i="223"/>
  <c r="C107" i="223"/>
  <c r="V105" i="223"/>
  <c r="P105" i="223"/>
  <c r="J105" i="223"/>
  <c r="D105" i="223"/>
  <c r="V104" i="223"/>
  <c r="P104" i="223"/>
  <c r="J104" i="223"/>
  <c r="D104" i="223"/>
  <c r="V84" i="223"/>
  <c r="U84" i="223"/>
  <c r="T84" i="223"/>
  <c r="P84" i="223"/>
  <c r="O84" i="223"/>
  <c r="N84" i="223"/>
  <c r="J84" i="223"/>
  <c r="I84" i="223"/>
  <c r="H84" i="223"/>
  <c r="D84" i="223"/>
  <c r="C84" i="223"/>
  <c r="B84" i="223"/>
  <c r="V83" i="223"/>
  <c r="U83" i="223"/>
  <c r="T83" i="223"/>
  <c r="P83" i="223"/>
  <c r="O83" i="223"/>
  <c r="N83" i="223"/>
  <c r="J83" i="223"/>
  <c r="I83" i="223"/>
  <c r="H83" i="223"/>
  <c r="D83" i="223"/>
  <c r="C83" i="223"/>
  <c r="B83" i="223"/>
  <c r="V82" i="223"/>
  <c r="U82" i="223"/>
  <c r="T82" i="223"/>
  <c r="P82" i="223"/>
  <c r="O82" i="223"/>
  <c r="N82" i="223"/>
  <c r="J82" i="223"/>
  <c r="I82" i="223"/>
  <c r="H82" i="223"/>
  <c r="D82" i="223"/>
  <c r="C82" i="223"/>
  <c r="B82" i="223"/>
  <c r="V81" i="223"/>
  <c r="U81" i="223"/>
  <c r="T81" i="223"/>
  <c r="P81" i="223"/>
  <c r="O81" i="223"/>
  <c r="N81" i="223"/>
  <c r="J81" i="223"/>
  <c r="I81" i="223"/>
  <c r="H81" i="223"/>
  <c r="D81" i="223"/>
  <c r="C81" i="223"/>
  <c r="B81" i="223"/>
  <c r="W78" i="223"/>
  <c r="Q78" i="223"/>
  <c r="K78" i="223"/>
  <c r="E78" i="223"/>
  <c r="V75" i="223"/>
  <c r="T75" i="223"/>
  <c r="P75" i="223"/>
  <c r="N75" i="223"/>
  <c r="J75" i="223"/>
  <c r="H75" i="223"/>
  <c r="D75" i="223"/>
  <c r="B75" i="223"/>
  <c r="V74" i="223"/>
  <c r="T74" i="223"/>
  <c r="P74" i="223"/>
  <c r="N74" i="223"/>
  <c r="J74" i="223"/>
  <c r="H74" i="223"/>
  <c r="D74" i="223"/>
  <c r="B74" i="223"/>
  <c r="W71" i="223"/>
  <c r="Q71" i="223"/>
  <c r="K71" i="223"/>
  <c r="E71" i="223"/>
  <c r="T68" i="223"/>
  <c r="N68" i="223"/>
  <c r="H68" i="223"/>
  <c r="B68" i="223"/>
  <c r="T67" i="223"/>
  <c r="N67" i="223"/>
  <c r="H67" i="223"/>
  <c r="B67" i="223"/>
  <c r="T66" i="223"/>
  <c r="N66" i="223"/>
  <c r="H66" i="223"/>
  <c r="B66" i="223"/>
  <c r="T65" i="223"/>
  <c r="N65" i="223"/>
  <c r="H65" i="223"/>
  <c r="B65" i="223"/>
  <c r="W62" i="223"/>
  <c r="Q62" i="223"/>
  <c r="K62" i="223"/>
  <c r="E62" i="223"/>
  <c r="V59" i="223"/>
  <c r="T59" i="223"/>
  <c r="P59" i="223"/>
  <c r="N59" i="223"/>
  <c r="J59" i="223"/>
  <c r="H59" i="223"/>
  <c r="D59" i="223"/>
  <c r="B59" i="223"/>
  <c r="V58" i="223"/>
  <c r="T58" i="223"/>
  <c r="P58" i="223"/>
  <c r="N58" i="223"/>
  <c r="J58" i="223"/>
  <c r="H58" i="223"/>
  <c r="D58" i="223"/>
  <c r="B58" i="223"/>
  <c r="W55" i="223"/>
  <c r="Q55" i="223"/>
  <c r="K55" i="223"/>
  <c r="E55" i="223"/>
  <c r="T52" i="223"/>
  <c r="N52" i="223"/>
  <c r="H52" i="223"/>
  <c r="B52" i="223"/>
  <c r="T51" i="223"/>
  <c r="N51" i="223"/>
  <c r="H51" i="223"/>
  <c r="B51" i="223"/>
  <c r="T50" i="223"/>
  <c r="N50" i="223"/>
  <c r="H50" i="223"/>
  <c r="B50" i="223"/>
  <c r="T49" i="223"/>
  <c r="N49" i="223"/>
  <c r="H49" i="223"/>
  <c r="B49" i="223"/>
  <c r="W46" i="223"/>
  <c r="Q46" i="223"/>
  <c r="K46" i="223"/>
  <c r="E46" i="223"/>
  <c r="V43" i="223"/>
  <c r="T103" i="223" s="1"/>
  <c r="T43" i="223"/>
  <c r="P43" i="223"/>
  <c r="N103" i="223" s="1"/>
  <c r="N43" i="223"/>
  <c r="J43" i="223"/>
  <c r="H103" i="223" s="1"/>
  <c r="I103" i="223" s="1"/>
  <c r="H43" i="223"/>
  <c r="D43" i="223"/>
  <c r="B103" i="223" s="1"/>
  <c r="B43" i="223"/>
  <c r="T42" i="223"/>
  <c r="V42" i="223" s="1"/>
  <c r="N42" i="223"/>
  <c r="N97" i="223" s="1"/>
  <c r="N99" i="223" s="1"/>
  <c r="O99" i="223" s="1"/>
  <c r="H42" i="223"/>
  <c r="H97" i="223" s="1"/>
  <c r="B42" i="223"/>
  <c r="B97" i="223" s="1"/>
  <c r="B100" i="223" s="1"/>
  <c r="C100" i="223" s="1"/>
  <c r="T41" i="223"/>
  <c r="T92" i="223" s="1"/>
  <c r="T94" i="223" s="1"/>
  <c r="U94" i="223" s="1"/>
  <c r="N41" i="223"/>
  <c r="N92" i="223" s="1"/>
  <c r="N95" i="223" s="1"/>
  <c r="O95" i="223" s="1"/>
  <c r="H41" i="223"/>
  <c r="H92" i="223" s="1"/>
  <c r="H95" i="223" s="1"/>
  <c r="I95" i="223" s="1"/>
  <c r="B41" i="223"/>
  <c r="B92" i="223" s="1"/>
  <c r="T40" i="223"/>
  <c r="T87" i="223" s="1"/>
  <c r="T90" i="223" s="1"/>
  <c r="U90" i="223" s="1"/>
  <c r="N40" i="223"/>
  <c r="N87" i="223" s="1"/>
  <c r="H40" i="223"/>
  <c r="H87" i="223" s="1"/>
  <c r="H90" i="223" s="1"/>
  <c r="I90" i="223" s="1"/>
  <c r="D40" i="223"/>
  <c r="B40" i="223"/>
  <c r="B87" i="223" s="1"/>
  <c r="T39" i="223"/>
  <c r="V39" i="223" s="1"/>
  <c r="N39" i="223"/>
  <c r="P39" i="223" s="1"/>
  <c r="H39" i="223"/>
  <c r="J39" i="223" s="1"/>
  <c r="B39" i="223"/>
  <c r="D39" i="223" s="1"/>
  <c r="T38" i="223"/>
  <c r="V38" i="223" s="1"/>
  <c r="N38" i="223"/>
  <c r="N71" i="223" s="1"/>
  <c r="H38" i="223"/>
  <c r="H71" i="223" s="1"/>
  <c r="B38" i="223"/>
  <c r="B71" i="223" s="1"/>
  <c r="T37" i="223"/>
  <c r="T78" i="223" s="1"/>
  <c r="N37" i="223"/>
  <c r="N78" i="223" s="1"/>
  <c r="H37" i="223"/>
  <c r="J37" i="223" s="1"/>
  <c r="B37" i="223"/>
  <c r="B78" i="223" s="1"/>
  <c r="T36" i="223"/>
  <c r="V36" i="223" s="1"/>
  <c r="N36" i="223"/>
  <c r="N55" i="223" s="1"/>
  <c r="H36" i="223"/>
  <c r="H55" i="223" s="1"/>
  <c r="B36" i="223"/>
  <c r="B55" i="223" s="1"/>
  <c r="T35" i="223"/>
  <c r="V35" i="223" s="1"/>
  <c r="N35" i="223"/>
  <c r="N46" i="223" s="1"/>
  <c r="H35" i="223"/>
  <c r="H46" i="223" s="1"/>
  <c r="B35" i="223"/>
  <c r="D35" i="223" s="1"/>
  <c r="V34" i="223"/>
  <c r="P34" i="223"/>
  <c r="J34" i="223"/>
  <c r="D34" i="223"/>
  <c r="B20" i="223"/>
  <c r="B18" i="224" s="1"/>
  <c r="AW18" i="224" s="1"/>
  <c r="C14" i="223"/>
  <c r="C15" i="223" s="1"/>
  <c r="B14" i="223"/>
  <c r="B12" i="224" s="1"/>
  <c r="AW12" i="224" s="1"/>
  <c r="B9" i="223"/>
  <c r="B7" i="224" s="1"/>
  <c r="AW7" i="224" s="1"/>
  <c r="Z18" i="221"/>
  <c r="X18" i="221"/>
  <c r="Y18" i="221"/>
  <c r="V3" i="221"/>
  <c r="J3" i="221"/>
  <c r="K3" i="221" s="1"/>
  <c r="L3" i="221" s="1"/>
  <c r="M3" i="221" s="1"/>
  <c r="N3" i="221" s="1"/>
  <c r="O3" i="221" s="1"/>
  <c r="P3" i="221" s="1"/>
  <c r="Q3" i="221" s="1"/>
  <c r="R3" i="221" s="1"/>
  <c r="S3" i="221" s="1"/>
  <c r="T3" i="221" s="1"/>
  <c r="U3" i="221" s="1"/>
  <c r="W3" i="221" s="1"/>
  <c r="X3" i="221" s="1"/>
  <c r="Y3" i="221" s="1"/>
  <c r="Z3" i="221" s="1"/>
  <c r="AA3" i="221" s="1"/>
  <c r="AB3" i="221" s="1"/>
  <c r="AC3" i="221" s="1"/>
  <c r="AD3" i="221" s="1"/>
  <c r="AE3" i="221" s="1"/>
  <c r="AF3" i="221" s="1"/>
  <c r="AG3" i="221" s="1"/>
  <c r="AH3" i="221" s="1"/>
  <c r="AI3" i="221" s="1"/>
  <c r="AJ3" i="221" s="1"/>
  <c r="AK3" i="221" s="1"/>
  <c r="AL3" i="221" s="1"/>
  <c r="AM3" i="221" s="1"/>
  <c r="AN3" i="221" s="1"/>
  <c r="AO3" i="221" s="1"/>
  <c r="AP3" i="221" s="1"/>
  <c r="AQ3" i="221" s="1"/>
  <c r="AR3" i="221" s="1"/>
  <c r="AS3" i="221" s="1"/>
  <c r="AT3" i="221" s="1"/>
  <c r="AU3" i="221" s="1"/>
  <c r="E3" i="221"/>
  <c r="F3" i="221"/>
  <c r="G3" i="221" s="1"/>
  <c r="N133" i="220"/>
  <c r="B133" i="220"/>
  <c r="E172" i="221"/>
  <c r="D172" i="221" s="1"/>
  <c r="E171" i="221"/>
  <c r="E173" i="221" s="1"/>
  <c r="C171" i="221"/>
  <c r="B171" i="221"/>
  <c r="C169" i="221"/>
  <c r="B32" i="221"/>
  <c r="AU25" i="221"/>
  <c r="AT25" i="221"/>
  <c r="AS25" i="221"/>
  <c r="AR25" i="221"/>
  <c r="AQ25" i="221"/>
  <c r="AP25" i="221"/>
  <c r="AO25" i="221"/>
  <c r="AN25" i="221"/>
  <c r="AM25" i="221"/>
  <c r="AL25" i="221"/>
  <c r="AK25" i="221"/>
  <c r="AJ25" i="221"/>
  <c r="AI25" i="221"/>
  <c r="AH25" i="221"/>
  <c r="AG25" i="221"/>
  <c r="AF25" i="221"/>
  <c r="AE25" i="221"/>
  <c r="AD25" i="221"/>
  <c r="AC25" i="221"/>
  <c r="A25" i="221"/>
  <c r="A24" i="221"/>
  <c r="A23" i="221"/>
  <c r="A22" i="221"/>
  <c r="A21" i="221"/>
  <c r="A20" i="221"/>
  <c r="A19" i="221"/>
  <c r="A18" i="221"/>
  <c r="A17" i="221"/>
  <c r="A16" i="221"/>
  <c r="A15" i="221"/>
  <c r="A14" i="221"/>
  <c r="A13" i="221"/>
  <c r="AV12" i="221"/>
  <c r="A12" i="221"/>
  <c r="A11" i="221"/>
  <c r="A10" i="221"/>
  <c r="A9" i="221"/>
  <c r="AV8" i="221"/>
  <c r="A8" i="221"/>
  <c r="AV7" i="221"/>
  <c r="A7" i="221"/>
  <c r="A6" i="221"/>
  <c r="A5" i="221"/>
  <c r="AV4" i="221"/>
  <c r="E1" i="221"/>
  <c r="D1" i="221"/>
  <c r="C1" i="221"/>
  <c r="S162" i="220"/>
  <c r="S163" i="220" s="1"/>
  <c r="M162" i="220"/>
  <c r="M163" i="220" s="1"/>
  <c r="G162" i="220"/>
  <c r="A162" i="220"/>
  <c r="U158" i="220"/>
  <c r="O158" i="220"/>
  <c r="I158" i="220"/>
  <c r="C158" i="220"/>
  <c r="T152" i="220"/>
  <c r="N152" i="220"/>
  <c r="H152" i="220"/>
  <c r="B152" i="220"/>
  <c r="T145" i="220"/>
  <c r="N145" i="220"/>
  <c r="H145" i="220"/>
  <c r="B145" i="220"/>
  <c r="T144" i="220"/>
  <c r="N144" i="220"/>
  <c r="H144" i="220"/>
  <c r="B144" i="220"/>
  <c r="T143" i="220"/>
  <c r="N143" i="220"/>
  <c r="H143" i="220"/>
  <c r="B143" i="220"/>
  <c r="T142" i="220"/>
  <c r="N142" i="220"/>
  <c r="H142" i="220"/>
  <c r="B142" i="220"/>
  <c r="T141" i="220"/>
  <c r="N141" i="220"/>
  <c r="H141" i="220"/>
  <c r="B141" i="220"/>
  <c r="T139" i="220"/>
  <c r="N139" i="220"/>
  <c r="H139" i="220"/>
  <c r="B139" i="220"/>
  <c r="T138" i="220"/>
  <c r="N138" i="220"/>
  <c r="H138" i="220"/>
  <c r="B138" i="220"/>
  <c r="T134" i="220"/>
  <c r="N134" i="220"/>
  <c r="H134" i="220"/>
  <c r="B134" i="220"/>
  <c r="T133" i="220"/>
  <c r="H133" i="220"/>
  <c r="U125" i="220"/>
  <c r="O125" i="220"/>
  <c r="I125" i="220"/>
  <c r="C125" i="220"/>
  <c r="U107" i="220"/>
  <c r="O107" i="220"/>
  <c r="I107" i="220"/>
  <c r="C107" i="220"/>
  <c r="V105" i="220"/>
  <c r="P105" i="220"/>
  <c r="J105" i="220"/>
  <c r="D105" i="220"/>
  <c r="V104" i="220"/>
  <c r="P104" i="220"/>
  <c r="J104" i="220"/>
  <c r="D104" i="220"/>
  <c r="V84" i="220"/>
  <c r="U84" i="220"/>
  <c r="T84" i="220"/>
  <c r="P84" i="220"/>
  <c r="O84" i="220"/>
  <c r="N84" i="220"/>
  <c r="J84" i="220"/>
  <c r="I84" i="220"/>
  <c r="H84" i="220"/>
  <c r="D84" i="220"/>
  <c r="C84" i="220"/>
  <c r="B84" i="220"/>
  <c r="V83" i="220"/>
  <c r="U83" i="220"/>
  <c r="T83" i="220"/>
  <c r="P83" i="220"/>
  <c r="O83" i="220"/>
  <c r="N83" i="220"/>
  <c r="J83" i="220"/>
  <c r="I83" i="220"/>
  <c r="H83" i="220"/>
  <c r="D83" i="220"/>
  <c r="C83" i="220"/>
  <c r="B83" i="220"/>
  <c r="V82" i="220"/>
  <c r="U82" i="220"/>
  <c r="T82" i="220"/>
  <c r="P82" i="220"/>
  <c r="O82" i="220"/>
  <c r="N82" i="220"/>
  <c r="J82" i="220"/>
  <c r="I82" i="220"/>
  <c r="H82" i="220"/>
  <c r="D82" i="220"/>
  <c r="C82" i="220"/>
  <c r="B82" i="220"/>
  <c r="V81" i="220"/>
  <c r="U81" i="220"/>
  <c r="T81" i="220"/>
  <c r="P81" i="220"/>
  <c r="O81" i="220"/>
  <c r="N81" i="220"/>
  <c r="J81" i="220"/>
  <c r="I81" i="220"/>
  <c r="H81" i="220"/>
  <c r="D81" i="220"/>
  <c r="C81" i="220"/>
  <c r="B81" i="220"/>
  <c r="W78" i="220"/>
  <c r="Q78" i="220"/>
  <c r="K78" i="220"/>
  <c r="E78" i="220"/>
  <c r="V75" i="220"/>
  <c r="T75" i="220"/>
  <c r="P75" i="220"/>
  <c r="N75" i="220"/>
  <c r="J75" i="220"/>
  <c r="H75" i="220"/>
  <c r="D75" i="220"/>
  <c r="B75" i="220"/>
  <c r="V74" i="220"/>
  <c r="T74" i="220"/>
  <c r="P74" i="220"/>
  <c r="N74" i="220"/>
  <c r="J74" i="220"/>
  <c r="H74" i="220"/>
  <c r="D74" i="220"/>
  <c r="B74" i="220"/>
  <c r="W71" i="220"/>
  <c r="Q71" i="220"/>
  <c r="K71" i="220"/>
  <c r="E71" i="220"/>
  <c r="T68" i="220"/>
  <c r="N68" i="220"/>
  <c r="H68" i="220"/>
  <c r="B68" i="220"/>
  <c r="T67" i="220"/>
  <c r="N67" i="220"/>
  <c r="H67" i="220"/>
  <c r="B67" i="220"/>
  <c r="T66" i="220"/>
  <c r="N66" i="220"/>
  <c r="H66" i="220"/>
  <c r="B66" i="220"/>
  <c r="T65" i="220"/>
  <c r="N65" i="220"/>
  <c r="H65" i="220"/>
  <c r="B65" i="220"/>
  <c r="W62" i="220"/>
  <c r="Q62" i="220"/>
  <c r="K62" i="220"/>
  <c r="E62" i="220"/>
  <c r="V59" i="220"/>
  <c r="T59" i="220"/>
  <c r="P59" i="220"/>
  <c r="N59" i="220"/>
  <c r="J59" i="220"/>
  <c r="H59" i="220"/>
  <c r="D59" i="220"/>
  <c r="B59" i="220"/>
  <c r="V58" i="220"/>
  <c r="T58" i="220"/>
  <c r="P58" i="220"/>
  <c r="N58" i="220"/>
  <c r="J58" i="220"/>
  <c r="H58" i="220"/>
  <c r="D58" i="220"/>
  <c r="B58" i="220"/>
  <c r="W55" i="220"/>
  <c r="Q55" i="220"/>
  <c r="K55" i="220"/>
  <c r="E55" i="220"/>
  <c r="T52" i="220"/>
  <c r="N52" i="220"/>
  <c r="H52" i="220"/>
  <c r="B52" i="220"/>
  <c r="T51" i="220"/>
  <c r="N51" i="220"/>
  <c r="H51" i="220"/>
  <c r="B51" i="220"/>
  <c r="T50" i="220"/>
  <c r="N50" i="220"/>
  <c r="H50" i="220"/>
  <c r="B50" i="220"/>
  <c r="T49" i="220"/>
  <c r="N49" i="220"/>
  <c r="H49" i="220"/>
  <c r="B49" i="220"/>
  <c r="W46" i="220"/>
  <c r="Q46" i="220"/>
  <c r="K46" i="220"/>
  <c r="E46" i="220"/>
  <c r="V43" i="220"/>
  <c r="T103" i="220" s="1"/>
  <c r="T105" i="220" s="1"/>
  <c r="U105" i="220" s="1"/>
  <c r="T43" i="220"/>
  <c r="P43" i="220"/>
  <c r="N103" i="220" s="1"/>
  <c r="N43" i="220"/>
  <c r="J43" i="220"/>
  <c r="H103" i="220" s="1"/>
  <c r="H43" i="220"/>
  <c r="D43" i="220"/>
  <c r="B103" i="220" s="1"/>
  <c r="B43" i="220"/>
  <c r="T42" i="220"/>
  <c r="V42" i="220" s="1"/>
  <c r="N42" i="220"/>
  <c r="N97" i="220" s="1"/>
  <c r="H42" i="220"/>
  <c r="J42" i="220" s="1"/>
  <c r="B42" i="220"/>
  <c r="B97" i="220" s="1"/>
  <c r="B100" i="220" s="1"/>
  <c r="C100" i="220" s="1"/>
  <c r="T41" i="220"/>
  <c r="T92" i="220" s="1"/>
  <c r="T94" i="220" s="1"/>
  <c r="N41" i="220"/>
  <c r="N92" i="220" s="1"/>
  <c r="H41" i="220"/>
  <c r="H92" i="220" s="1"/>
  <c r="H95" i="220" s="1"/>
  <c r="I95" i="220" s="1"/>
  <c r="B41" i="220"/>
  <c r="B92" i="220" s="1"/>
  <c r="B94" i="220" s="1"/>
  <c r="T40" i="220"/>
  <c r="T87" i="220" s="1"/>
  <c r="N40" i="220"/>
  <c r="N87" i="220" s="1"/>
  <c r="H40" i="220"/>
  <c r="H87" i="220" s="1"/>
  <c r="B40" i="220"/>
  <c r="B87" i="220" s="1"/>
  <c r="T39" i="220"/>
  <c r="V39" i="220" s="1"/>
  <c r="N39" i="220"/>
  <c r="P39" i="220" s="1"/>
  <c r="H39" i="220"/>
  <c r="J39" i="220" s="1"/>
  <c r="B39" i="220"/>
  <c r="D39" i="220" s="1"/>
  <c r="T38" i="220"/>
  <c r="T71" i="220" s="1"/>
  <c r="N38" i="220"/>
  <c r="N71" i="220" s="1"/>
  <c r="H38" i="220"/>
  <c r="H71" i="220" s="1"/>
  <c r="B38" i="220"/>
  <c r="D38" i="220" s="1"/>
  <c r="T37" i="220"/>
  <c r="N37" i="220"/>
  <c r="H37" i="220"/>
  <c r="H62" i="220" s="1"/>
  <c r="B37" i="220"/>
  <c r="B62" i="220" s="1"/>
  <c r="T36" i="220"/>
  <c r="T55" i="220" s="1"/>
  <c r="N36" i="220"/>
  <c r="N55" i="220" s="1"/>
  <c r="H36" i="220"/>
  <c r="H55" i="220" s="1"/>
  <c r="B36" i="220"/>
  <c r="B55" i="220" s="1"/>
  <c r="T35" i="220"/>
  <c r="T46" i="220" s="1"/>
  <c r="N35" i="220"/>
  <c r="P35" i="220" s="1"/>
  <c r="H35" i="220"/>
  <c r="H46" i="220" s="1"/>
  <c r="B35" i="220"/>
  <c r="D35" i="220" s="1"/>
  <c r="V34" i="220"/>
  <c r="P34" i="220"/>
  <c r="J34" i="220"/>
  <c r="D34" i="220"/>
  <c r="B20" i="220"/>
  <c r="B18" i="221" s="1"/>
  <c r="C15" i="220"/>
  <c r="B14" i="220"/>
  <c r="B12" i="221" s="1"/>
  <c r="AW12" i="221" s="1"/>
  <c r="AX12" i="221" s="1"/>
  <c r="B9" i="220"/>
  <c r="B7" i="221" s="1"/>
  <c r="AW7" i="221" s="1"/>
  <c r="AX7" i="221" s="1"/>
  <c r="V18" i="219"/>
  <c r="I130" i="218"/>
  <c r="C130" i="218"/>
  <c r="E173" i="219"/>
  <c r="E172" i="219"/>
  <c r="D172" i="219"/>
  <c r="E171" i="219"/>
  <c r="C171" i="219"/>
  <c r="B171" i="219"/>
  <c r="C169" i="219"/>
  <c r="B32" i="219"/>
  <c r="AU25" i="219"/>
  <c r="AT25" i="219"/>
  <c r="AS25" i="219"/>
  <c r="AR25" i="219"/>
  <c r="AQ25" i="219"/>
  <c r="AP25" i="219"/>
  <c r="AO25" i="219"/>
  <c r="AN25" i="219"/>
  <c r="AM25" i="219"/>
  <c r="AL25" i="219"/>
  <c r="AK25" i="219"/>
  <c r="AJ25" i="219"/>
  <c r="AI25" i="219"/>
  <c r="AH25" i="219"/>
  <c r="AG25" i="219"/>
  <c r="AF25" i="219"/>
  <c r="AE25" i="219"/>
  <c r="AD25" i="219"/>
  <c r="AC25" i="219"/>
  <c r="AB25" i="219"/>
  <c r="AA25" i="219"/>
  <c r="Z25" i="219"/>
  <c r="Y25" i="219"/>
  <c r="X25" i="219"/>
  <c r="A25" i="219"/>
  <c r="A24" i="219"/>
  <c r="A23" i="219"/>
  <c r="A22" i="219"/>
  <c r="A21" i="219"/>
  <c r="A20" i="219"/>
  <c r="A19" i="219"/>
  <c r="A18" i="219"/>
  <c r="A17" i="219"/>
  <c r="A16" i="219"/>
  <c r="A15" i="219"/>
  <c r="A14" i="219"/>
  <c r="A13" i="219"/>
  <c r="AV12" i="219"/>
  <c r="A12" i="219"/>
  <c r="A11" i="219"/>
  <c r="A10" i="219"/>
  <c r="A9" i="219"/>
  <c r="AV8" i="219"/>
  <c r="A8" i="219"/>
  <c r="AV7" i="219"/>
  <c r="A7" i="219"/>
  <c r="A6" i="219"/>
  <c r="A5" i="219"/>
  <c r="G4" i="219"/>
  <c r="AV4" i="219" s="1"/>
  <c r="F4" i="219"/>
  <c r="K3" i="219"/>
  <c r="L3" i="219" s="1"/>
  <c r="N3" i="219" s="1"/>
  <c r="O3" i="219" s="1"/>
  <c r="P3" i="219" s="1"/>
  <c r="Q3" i="219" s="1"/>
  <c r="R3" i="219" s="1"/>
  <c r="S3" i="219" s="1"/>
  <c r="T3" i="219" s="1"/>
  <c r="U3" i="219" s="1"/>
  <c r="J3" i="219"/>
  <c r="E3" i="219"/>
  <c r="F3" i="219" s="1"/>
  <c r="G3" i="219" s="1"/>
  <c r="E1" i="219"/>
  <c r="D1" i="219"/>
  <c r="C1" i="219"/>
  <c r="S162" i="218"/>
  <c r="M162" i="218"/>
  <c r="M163" i="218" s="1"/>
  <c r="G162" i="218"/>
  <c r="A162" i="218"/>
  <c r="A163" i="218" s="1"/>
  <c r="U158" i="218"/>
  <c r="O158" i="218"/>
  <c r="I158" i="218"/>
  <c r="C158" i="218"/>
  <c r="T152" i="218"/>
  <c r="N152" i="218"/>
  <c r="H152" i="218"/>
  <c r="B152" i="218"/>
  <c r="T145" i="218"/>
  <c r="N145" i="218"/>
  <c r="H145" i="218"/>
  <c r="B145" i="218"/>
  <c r="T144" i="218"/>
  <c r="N144" i="218"/>
  <c r="H144" i="218"/>
  <c r="B144" i="218"/>
  <c r="T143" i="218"/>
  <c r="N143" i="218"/>
  <c r="H143" i="218"/>
  <c r="B143" i="218"/>
  <c r="T142" i="218"/>
  <c r="N142" i="218"/>
  <c r="H142" i="218"/>
  <c r="B142" i="218"/>
  <c r="T141" i="218"/>
  <c r="N141" i="218"/>
  <c r="H141" i="218"/>
  <c r="B141" i="218"/>
  <c r="T139" i="218"/>
  <c r="N139" i="218"/>
  <c r="H139" i="218"/>
  <c r="B139" i="218"/>
  <c r="T138" i="218"/>
  <c r="N138" i="218"/>
  <c r="H138" i="218"/>
  <c r="B138" i="218"/>
  <c r="T134" i="218"/>
  <c r="N134" i="218"/>
  <c r="H134" i="218"/>
  <c r="B134" i="218"/>
  <c r="T133" i="218"/>
  <c r="N133" i="218"/>
  <c r="H133" i="218"/>
  <c r="B133" i="218"/>
  <c r="O130" i="218"/>
  <c r="U125" i="218"/>
  <c r="O125" i="218"/>
  <c r="I125" i="218"/>
  <c r="C125" i="218"/>
  <c r="U107" i="218"/>
  <c r="O107" i="218"/>
  <c r="I107" i="218"/>
  <c r="C107" i="218"/>
  <c r="V105" i="218"/>
  <c r="P105" i="218"/>
  <c r="J105" i="218"/>
  <c r="D105" i="218"/>
  <c r="V104" i="218"/>
  <c r="P104" i="218"/>
  <c r="J104" i="218"/>
  <c r="D104" i="218"/>
  <c r="V84" i="218"/>
  <c r="U84" i="218"/>
  <c r="T84" i="218"/>
  <c r="P84" i="218"/>
  <c r="O84" i="218"/>
  <c r="N84" i="218"/>
  <c r="J84" i="218"/>
  <c r="I84" i="218"/>
  <c r="H84" i="218"/>
  <c r="D84" i="218"/>
  <c r="C84" i="218"/>
  <c r="B84" i="218"/>
  <c r="V83" i="218"/>
  <c r="U83" i="218"/>
  <c r="T83" i="218"/>
  <c r="P83" i="218"/>
  <c r="O83" i="218"/>
  <c r="N83" i="218"/>
  <c r="J83" i="218"/>
  <c r="I83" i="218"/>
  <c r="H83" i="218"/>
  <c r="D83" i="218"/>
  <c r="C83" i="218"/>
  <c r="B83" i="218"/>
  <c r="V82" i="218"/>
  <c r="U82" i="218"/>
  <c r="T82" i="218"/>
  <c r="P82" i="218"/>
  <c r="O82" i="218"/>
  <c r="N82" i="218"/>
  <c r="J82" i="218"/>
  <c r="I82" i="218"/>
  <c r="H82" i="218"/>
  <c r="D82" i="218"/>
  <c r="C82" i="218"/>
  <c r="B82" i="218"/>
  <c r="V81" i="218"/>
  <c r="U81" i="218"/>
  <c r="T81" i="218"/>
  <c r="P81" i="218"/>
  <c r="O81" i="218"/>
  <c r="N81" i="218"/>
  <c r="J81" i="218"/>
  <c r="I81" i="218"/>
  <c r="H81" i="218"/>
  <c r="D81" i="218"/>
  <c r="C81" i="218"/>
  <c r="B81" i="218"/>
  <c r="W78" i="218"/>
  <c r="Q78" i="218"/>
  <c r="K78" i="218"/>
  <c r="E78" i="218"/>
  <c r="V75" i="218"/>
  <c r="T75" i="218"/>
  <c r="P75" i="218"/>
  <c r="N75" i="218"/>
  <c r="J75" i="218"/>
  <c r="H75" i="218"/>
  <c r="D75" i="218"/>
  <c r="B75" i="218"/>
  <c r="V74" i="218"/>
  <c r="T74" i="218"/>
  <c r="P74" i="218"/>
  <c r="N74" i="218"/>
  <c r="J74" i="218"/>
  <c r="H74" i="218"/>
  <c r="D74" i="218"/>
  <c r="B74" i="218"/>
  <c r="W71" i="218"/>
  <c r="Q71" i="218"/>
  <c r="K71" i="218"/>
  <c r="E71" i="218"/>
  <c r="T68" i="218"/>
  <c r="N68" i="218"/>
  <c r="H68" i="218"/>
  <c r="B68" i="218"/>
  <c r="T67" i="218"/>
  <c r="N67" i="218"/>
  <c r="H67" i="218"/>
  <c r="B67" i="218"/>
  <c r="T66" i="218"/>
  <c r="N66" i="218"/>
  <c r="H66" i="218"/>
  <c r="B66" i="218"/>
  <c r="T65" i="218"/>
  <c r="N65" i="218"/>
  <c r="H65" i="218"/>
  <c r="B65" i="218"/>
  <c r="W62" i="218"/>
  <c r="Q62" i="218"/>
  <c r="K62" i="218"/>
  <c r="E62" i="218"/>
  <c r="V59" i="218"/>
  <c r="T59" i="218"/>
  <c r="P59" i="218"/>
  <c r="N59" i="218"/>
  <c r="J59" i="218"/>
  <c r="H59" i="218"/>
  <c r="D59" i="218"/>
  <c r="B59" i="218"/>
  <c r="V58" i="218"/>
  <c r="T58" i="218"/>
  <c r="P58" i="218"/>
  <c r="N58" i="218"/>
  <c r="J58" i="218"/>
  <c r="H58" i="218"/>
  <c r="D58" i="218"/>
  <c r="B58" i="218"/>
  <c r="W55" i="218"/>
  <c r="Q55" i="218"/>
  <c r="K55" i="218"/>
  <c r="E55" i="218"/>
  <c r="T52" i="218"/>
  <c r="N52" i="218"/>
  <c r="H52" i="218"/>
  <c r="B52" i="218"/>
  <c r="T51" i="218"/>
  <c r="N51" i="218"/>
  <c r="H51" i="218"/>
  <c r="B51" i="218"/>
  <c r="T50" i="218"/>
  <c r="N50" i="218"/>
  <c r="H50" i="218"/>
  <c r="B50" i="218"/>
  <c r="T49" i="218"/>
  <c r="N49" i="218"/>
  <c r="H49" i="218"/>
  <c r="B49" i="218"/>
  <c r="W46" i="218"/>
  <c r="Q46" i="218"/>
  <c r="K46" i="218"/>
  <c r="E46" i="218"/>
  <c r="V43" i="218"/>
  <c r="T103" i="218" s="1"/>
  <c r="T43" i="218"/>
  <c r="P43" i="218"/>
  <c r="N103" i="218" s="1"/>
  <c r="N105" i="218" s="1"/>
  <c r="O105" i="218" s="1"/>
  <c r="N43" i="218"/>
  <c r="J43" i="218"/>
  <c r="H103" i="218" s="1"/>
  <c r="H43" i="218"/>
  <c r="D43" i="218"/>
  <c r="B103" i="218" s="1"/>
  <c r="B43" i="218"/>
  <c r="T42" i="218"/>
  <c r="V42" i="218" s="1"/>
  <c r="N42" i="218"/>
  <c r="N97" i="218" s="1"/>
  <c r="N100" i="218" s="1"/>
  <c r="O100" i="218" s="1"/>
  <c r="H42" i="218"/>
  <c r="J42" i="218" s="1"/>
  <c r="B42" i="218"/>
  <c r="D42" i="218" s="1"/>
  <c r="T41" i="218"/>
  <c r="T92" i="218" s="1"/>
  <c r="T95" i="218" s="1"/>
  <c r="U95" i="218" s="1"/>
  <c r="N41" i="218"/>
  <c r="N92" i="218" s="1"/>
  <c r="N94" i="218" s="1"/>
  <c r="H41" i="218"/>
  <c r="H92" i="218" s="1"/>
  <c r="B41" i="218"/>
  <c r="B92" i="218" s="1"/>
  <c r="B95" i="218" s="1"/>
  <c r="C95" i="218" s="1"/>
  <c r="T40" i="218"/>
  <c r="T87" i="218" s="1"/>
  <c r="T89" i="218" s="1"/>
  <c r="N40" i="218"/>
  <c r="N87" i="218" s="1"/>
  <c r="N90" i="218" s="1"/>
  <c r="O90" i="218" s="1"/>
  <c r="H40" i="218"/>
  <c r="H87" i="218" s="1"/>
  <c r="B40" i="218"/>
  <c r="B87" i="218" s="1"/>
  <c r="T39" i="218"/>
  <c r="V39" i="218" s="1"/>
  <c r="N39" i="218"/>
  <c r="P39" i="218" s="1"/>
  <c r="H39" i="218"/>
  <c r="J39" i="218" s="1"/>
  <c r="B39" i="218"/>
  <c r="D39" i="218" s="1"/>
  <c r="T38" i="218"/>
  <c r="V38" i="218" s="1"/>
  <c r="N38" i="218"/>
  <c r="P38" i="218" s="1"/>
  <c r="H38" i="218"/>
  <c r="H71" i="218" s="1"/>
  <c r="B38" i="218"/>
  <c r="D38" i="218" s="1"/>
  <c r="T37" i="218"/>
  <c r="T78" i="218" s="1"/>
  <c r="N37" i="218"/>
  <c r="N78" i="218" s="1"/>
  <c r="H37" i="218"/>
  <c r="J37" i="218" s="1"/>
  <c r="B37" i="218"/>
  <c r="D37" i="218" s="1"/>
  <c r="T36" i="218"/>
  <c r="T55" i="218" s="1"/>
  <c r="N36" i="218"/>
  <c r="P36" i="218" s="1"/>
  <c r="H36" i="218"/>
  <c r="H55" i="218" s="1"/>
  <c r="B36" i="218"/>
  <c r="B55" i="218" s="1"/>
  <c r="T35" i="218"/>
  <c r="V35" i="218" s="1"/>
  <c r="N35" i="218"/>
  <c r="N46" i="218" s="1"/>
  <c r="H35" i="218"/>
  <c r="H46" i="218" s="1"/>
  <c r="B35" i="218"/>
  <c r="D35" i="218" s="1"/>
  <c r="V34" i="218"/>
  <c r="P34" i="218"/>
  <c r="J34" i="218"/>
  <c r="D34" i="218"/>
  <c r="B20" i="218"/>
  <c r="B18" i="219" s="1"/>
  <c r="B14" i="218"/>
  <c r="B12" i="219" s="1"/>
  <c r="AW12" i="219" s="1"/>
  <c r="B9" i="218"/>
  <c r="B7" i="219" s="1"/>
  <c r="AW7" i="219" s="1"/>
  <c r="AX7" i="219" s="1"/>
  <c r="E172" i="217"/>
  <c r="D172" i="217"/>
  <c r="E171" i="217"/>
  <c r="B171" i="217" s="1"/>
  <c r="C169" i="217"/>
  <c r="B32" i="217"/>
  <c r="AU25" i="217"/>
  <c r="AT25" i="217"/>
  <c r="AS25" i="217"/>
  <c r="AR25" i="217"/>
  <c r="AQ25" i="217"/>
  <c r="AP25" i="217"/>
  <c r="AO25" i="217"/>
  <c r="AN25" i="217"/>
  <c r="AM25" i="217"/>
  <c r="AL25" i="217"/>
  <c r="AK25" i="217"/>
  <c r="AJ25" i="217"/>
  <c r="AI25" i="217"/>
  <c r="AH25" i="217"/>
  <c r="AG25" i="217"/>
  <c r="AF25" i="217"/>
  <c r="AE25" i="217"/>
  <c r="AD25" i="217"/>
  <c r="AC25" i="217"/>
  <c r="AB25" i="217"/>
  <c r="AA25" i="217"/>
  <c r="Z25" i="217"/>
  <c r="Y25" i="217"/>
  <c r="X25" i="217"/>
  <c r="W25" i="217"/>
  <c r="V25" i="217"/>
  <c r="V40" i="217" s="1"/>
  <c r="U25" i="217"/>
  <c r="U40" i="217" s="1"/>
  <c r="T25" i="217"/>
  <c r="T40" i="217" s="1"/>
  <c r="A25" i="217"/>
  <c r="A24" i="217"/>
  <c r="A23" i="217"/>
  <c r="A22" i="217"/>
  <c r="A21" i="217"/>
  <c r="A20" i="217"/>
  <c r="A19" i="217"/>
  <c r="A18" i="217"/>
  <c r="A17" i="217"/>
  <c r="A16" i="217"/>
  <c r="A15" i="217"/>
  <c r="A14" i="217"/>
  <c r="A13" i="217"/>
  <c r="AV12" i="217"/>
  <c r="A12" i="217"/>
  <c r="A11" i="217"/>
  <c r="A10" i="217"/>
  <c r="A9" i="217"/>
  <c r="AV8" i="217"/>
  <c r="A8" i="217"/>
  <c r="AV7" i="217"/>
  <c r="A7" i="217"/>
  <c r="A6" i="217"/>
  <c r="A5" i="217"/>
  <c r="F4" i="217"/>
  <c r="J3" i="217"/>
  <c r="K3" i="217" s="1"/>
  <c r="L3" i="217" s="1"/>
  <c r="M3" i="217" s="1"/>
  <c r="N3" i="217" s="1"/>
  <c r="O3" i="217" s="1"/>
  <c r="P3" i="217" s="1"/>
  <c r="Q3" i="217" s="1"/>
  <c r="E3" i="217"/>
  <c r="F3" i="217" s="1"/>
  <c r="G3" i="217" s="1"/>
  <c r="E1" i="217"/>
  <c r="D1" i="217"/>
  <c r="C1" i="217"/>
  <c r="S162" i="216"/>
  <c r="S163" i="216" s="1"/>
  <c r="M162" i="216"/>
  <c r="M163" i="216" s="1"/>
  <c r="G162" i="216"/>
  <c r="A162" i="216"/>
  <c r="A163" i="216" s="1"/>
  <c r="U158" i="216"/>
  <c r="O158" i="216"/>
  <c r="I158" i="216"/>
  <c r="C158" i="216"/>
  <c r="T152" i="216"/>
  <c r="N152" i="216"/>
  <c r="H152" i="216"/>
  <c r="B152" i="216"/>
  <c r="T145" i="216"/>
  <c r="N145" i="216"/>
  <c r="H145" i="216"/>
  <c r="B145" i="216"/>
  <c r="T144" i="216"/>
  <c r="N144" i="216"/>
  <c r="H144" i="216"/>
  <c r="B144" i="216"/>
  <c r="T143" i="216"/>
  <c r="N143" i="216"/>
  <c r="H143" i="216"/>
  <c r="B143" i="216"/>
  <c r="T142" i="216"/>
  <c r="N142" i="216"/>
  <c r="H142" i="216"/>
  <c r="B142" i="216"/>
  <c r="T141" i="216"/>
  <c r="N141" i="216"/>
  <c r="H141" i="216"/>
  <c r="B141" i="216"/>
  <c r="T139" i="216"/>
  <c r="N139" i="216"/>
  <c r="H139" i="216"/>
  <c r="B139" i="216"/>
  <c r="T138" i="216"/>
  <c r="N138" i="216"/>
  <c r="H138" i="216"/>
  <c r="B138" i="216"/>
  <c r="T134" i="216"/>
  <c r="N134" i="216"/>
  <c r="H134" i="216"/>
  <c r="B134" i="216"/>
  <c r="T133" i="216"/>
  <c r="N133" i="216"/>
  <c r="H133" i="216"/>
  <c r="B133" i="216"/>
  <c r="O130" i="216"/>
  <c r="I130" i="216"/>
  <c r="U125" i="216"/>
  <c r="O125" i="216"/>
  <c r="I125" i="216"/>
  <c r="C125" i="216"/>
  <c r="U107" i="216"/>
  <c r="O107" i="216"/>
  <c r="I107" i="216"/>
  <c r="C107" i="216"/>
  <c r="V105" i="216"/>
  <c r="P105" i="216"/>
  <c r="J105" i="216"/>
  <c r="D105" i="216"/>
  <c r="V104" i="216"/>
  <c r="P104" i="216"/>
  <c r="J104" i="216"/>
  <c r="D104" i="216"/>
  <c r="V84" i="216"/>
  <c r="U84" i="216"/>
  <c r="T84" i="216"/>
  <c r="P84" i="216"/>
  <c r="O84" i="216"/>
  <c r="N84" i="216"/>
  <c r="J84" i="216"/>
  <c r="I84" i="216"/>
  <c r="H84" i="216"/>
  <c r="D84" i="216"/>
  <c r="C84" i="216"/>
  <c r="B84" i="216"/>
  <c r="V83" i="216"/>
  <c r="U83" i="216"/>
  <c r="T83" i="216"/>
  <c r="P83" i="216"/>
  <c r="O83" i="216"/>
  <c r="N83" i="216"/>
  <c r="J83" i="216"/>
  <c r="I83" i="216"/>
  <c r="H83" i="216"/>
  <c r="D83" i="216"/>
  <c r="C83" i="216"/>
  <c r="B83" i="216"/>
  <c r="V82" i="216"/>
  <c r="U82" i="216"/>
  <c r="T82" i="216"/>
  <c r="P82" i="216"/>
  <c r="O82" i="216"/>
  <c r="N82" i="216"/>
  <c r="J82" i="216"/>
  <c r="I82" i="216"/>
  <c r="H82" i="216"/>
  <c r="D82" i="216"/>
  <c r="C82" i="216"/>
  <c r="B82" i="216"/>
  <c r="V81" i="216"/>
  <c r="U81" i="216"/>
  <c r="T81" i="216"/>
  <c r="P81" i="216"/>
  <c r="O81" i="216"/>
  <c r="N81" i="216"/>
  <c r="J81" i="216"/>
  <c r="I81" i="216"/>
  <c r="H81" i="216"/>
  <c r="D81" i="216"/>
  <c r="C81" i="216"/>
  <c r="B81" i="216"/>
  <c r="W78" i="216"/>
  <c r="Q78" i="216"/>
  <c r="K78" i="216"/>
  <c r="E78" i="216"/>
  <c r="V75" i="216"/>
  <c r="T75" i="216"/>
  <c r="P75" i="216"/>
  <c r="N75" i="216"/>
  <c r="J75" i="216"/>
  <c r="H75" i="216"/>
  <c r="D75" i="216"/>
  <c r="B75" i="216"/>
  <c r="V74" i="216"/>
  <c r="T74" i="216"/>
  <c r="P74" i="216"/>
  <c r="N74" i="216"/>
  <c r="J74" i="216"/>
  <c r="H74" i="216"/>
  <c r="D74" i="216"/>
  <c r="B74" i="216"/>
  <c r="W71" i="216"/>
  <c r="Q71" i="216"/>
  <c r="K71" i="216"/>
  <c r="E71" i="216"/>
  <c r="T68" i="216"/>
  <c r="N68" i="216"/>
  <c r="H68" i="216"/>
  <c r="B68" i="216"/>
  <c r="T67" i="216"/>
  <c r="N67" i="216"/>
  <c r="H67" i="216"/>
  <c r="B67" i="216"/>
  <c r="T66" i="216"/>
  <c r="N66" i="216"/>
  <c r="H66" i="216"/>
  <c r="B66" i="216"/>
  <c r="T65" i="216"/>
  <c r="N65" i="216"/>
  <c r="H65" i="216"/>
  <c r="B65" i="216"/>
  <c r="W62" i="216"/>
  <c r="Q62" i="216"/>
  <c r="K62" i="216"/>
  <c r="E62" i="216"/>
  <c r="V59" i="216"/>
  <c r="T59" i="216"/>
  <c r="P59" i="216"/>
  <c r="N59" i="216"/>
  <c r="J59" i="216"/>
  <c r="H59" i="216"/>
  <c r="D59" i="216"/>
  <c r="B59" i="216"/>
  <c r="V58" i="216"/>
  <c r="T58" i="216"/>
  <c r="P58" i="216"/>
  <c r="N58" i="216"/>
  <c r="J58" i="216"/>
  <c r="H58" i="216"/>
  <c r="D58" i="216"/>
  <c r="B58" i="216"/>
  <c r="W55" i="216"/>
  <c r="Q55" i="216"/>
  <c r="K55" i="216"/>
  <c r="E55" i="216"/>
  <c r="T52" i="216"/>
  <c r="N52" i="216"/>
  <c r="H52" i="216"/>
  <c r="B52" i="216"/>
  <c r="T51" i="216"/>
  <c r="N51" i="216"/>
  <c r="H51" i="216"/>
  <c r="B51" i="216"/>
  <c r="T50" i="216"/>
  <c r="N50" i="216"/>
  <c r="H50" i="216"/>
  <c r="B50" i="216"/>
  <c r="T49" i="216"/>
  <c r="N49" i="216"/>
  <c r="H49" i="216"/>
  <c r="B49" i="216"/>
  <c r="W46" i="216"/>
  <c r="Q46" i="216"/>
  <c r="K46" i="216"/>
  <c r="E46" i="216"/>
  <c r="V43" i="216"/>
  <c r="T103" i="216" s="1"/>
  <c r="U103" i="216" s="1"/>
  <c r="T43" i="216"/>
  <c r="P43" i="216"/>
  <c r="N103" i="216" s="1"/>
  <c r="N43" i="216"/>
  <c r="J43" i="216"/>
  <c r="H103" i="216" s="1"/>
  <c r="I103" i="216" s="1"/>
  <c r="H43" i="216"/>
  <c r="D43" i="216"/>
  <c r="B103" i="216" s="1"/>
  <c r="B104" i="216" s="1"/>
  <c r="C104" i="216" s="1"/>
  <c r="B43" i="216"/>
  <c r="T42" i="216"/>
  <c r="V42" i="216" s="1"/>
  <c r="N42" i="216"/>
  <c r="N97" i="216" s="1"/>
  <c r="H42" i="216"/>
  <c r="H97" i="216" s="1"/>
  <c r="H99" i="216" s="1"/>
  <c r="I99" i="216" s="1"/>
  <c r="B42" i="216"/>
  <c r="T41" i="216"/>
  <c r="T92" i="216" s="1"/>
  <c r="T95" i="216" s="1"/>
  <c r="U95" i="216" s="1"/>
  <c r="N41" i="216"/>
  <c r="N92" i="216" s="1"/>
  <c r="N94" i="216" s="1"/>
  <c r="O94" i="216" s="1"/>
  <c r="H41" i="216"/>
  <c r="H92" i="216" s="1"/>
  <c r="H95" i="216" s="1"/>
  <c r="I95" i="216" s="1"/>
  <c r="B41" i="216"/>
  <c r="B92" i="216" s="1"/>
  <c r="B95" i="216" s="1"/>
  <c r="C95" i="216" s="1"/>
  <c r="D95" i="216" s="1"/>
  <c r="E95" i="216" s="1"/>
  <c r="T40" i="216"/>
  <c r="T87" i="216" s="1"/>
  <c r="N40" i="216"/>
  <c r="H40" i="216"/>
  <c r="H87" i="216" s="1"/>
  <c r="B40" i="216"/>
  <c r="D40" i="216" s="1"/>
  <c r="T39" i="216"/>
  <c r="V39" i="216" s="1"/>
  <c r="N39" i="216"/>
  <c r="P39" i="216" s="1"/>
  <c r="H39" i="216"/>
  <c r="J39" i="216" s="1"/>
  <c r="B39" i="216"/>
  <c r="D39" i="216" s="1"/>
  <c r="T38" i="216"/>
  <c r="T71" i="216" s="1"/>
  <c r="N38" i="216"/>
  <c r="N71" i="216" s="1"/>
  <c r="H38" i="216"/>
  <c r="J38" i="216" s="1"/>
  <c r="B38" i="216"/>
  <c r="B71" i="216" s="1"/>
  <c r="T37" i="216"/>
  <c r="T78" i="216" s="1"/>
  <c r="N37" i="216"/>
  <c r="H37" i="216"/>
  <c r="H62" i="216" s="1"/>
  <c r="B37" i="216"/>
  <c r="D37" i="216" s="1"/>
  <c r="T36" i="216"/>
  <c r="T55" i="216" s="1"/>
  <c r="N36" i="216"/>
  <c r="N55" i="216" s="1"/>
  <c r="H36" i="216"/>
  <c r="H55" i="216" s="1"/>
  <c r="B36" i="216"/>
  <c r="T35" i="216"/>
  <c r="T46" i="216" s="1"/>
  <c r="N35" i="216"/>
  <c r="N46" i="216" s="1"/>
  <c r="H35" i="216"/>
  <c r="H46" i="216" s="1"/>
  <c r="B35" i="216"/>
  <c r="B46" i="216" s="1"/>
  <c r="V34" i="216"/>
  <c r="P34" i="216"/>
  <c r="J34" i="216"/>
  <c r="D34" i="216"/>
  <c r="B20" i="216"/>
  <c r="B18" i="217" s="1"/>
  <c r="C15" i="216"/>
  <c r="B14" i="216"/>
  <c r="B12" i="217" s="1"/>
  <c r="AW12" i="217" s="1"/>
  <c r="B9" i="216"/>
  <c r="B7" i="217" s="1"/>
  <c r="AW7" i="217" s="1"/>
  <c r="AX7" i="217" s="1"/>
  <c r="B133" i="214"/>
  <c r="K81" i="225" l="1"/>
  <c r="K82" i="225"/>
  <c r="K84" i="225"/>
  <c r="N85" i="225"/>
  <c r="J71" i="229"/>
  <c r="N85" i="229"/>
  <c r="V55" i="223"/>
  <c r="P71" i="218"/>
  <c r="V71" i="218"/>
  <c r="V62" i="227"/>
  <c r="H76" i="229"/>
  <c r="H76" i="216"/>
  <c r="P36" i="229"/>
  <c r="P55" i="229" s="1"/>
  <c r="P42" i="229"/>
  <c r="N46" i="229"/>
  <c r="D38" i="229"/>
  <c r="B105" i="229"/>
  <c r="C105" i="229" s="1"/>
  <c r="E105" i="229" s="1"/>
  <c r="E116" i="229" s="1"/>
  <c r="D35" i="229"/>
  <c r="D46" i="229"/>
  <c r="B55" i="229"/>
  <c r="N96" i="229"/>
  <c r="P96" i="229" s="1"/>
  <c r="T95" i="227"/>
  <c r="U95" i="227" s="1"/>
  <c r="V95" i="227" s="1"/>
  <c r="W95" i="227" s="1"/>
  <c r="T94" i="227"/>
  <c r="U94" i="227" s="1"/>
  <c r="V94" i="227" s="1"/>
  <c r="W94" i="227" s="1"/>
  <c r="V40" i="227"/>
  <c r="V38" i="227"/>
  <c r="V71" i="227" s="1"/>
  <c r="V35" i="227"/>
  <c r="V46" i="227" s="1"/>
  <c r="J40" i="227"/>
  <c r="J37" i="227"/>
  <c r="J62" i="227" s="1"/>
  <c r="H78" i="227"/>
  <c r="J36" i="227"/>
  <c r="J55" i="227" s="1"/>
  <c r="I133" i="227"/>
  <c r="I134" i="227" s="1"/>
  <c r="I139" i="227" s="1"/>
  <c r="B62" i="227"/>
  <c r="C133" i="227"/>
  <c r="C134" i="227" s="1"/>
  <c r="AX12" i="226"/>
  <c r="K82" i="229"/>
  <c r="K83" i="229"/>
  <c r="H60" i="216"/>
  <c r="V3" i="219"/>
  <c r="W3" i="219" s="1"/>
  <c r="X3" i="219" s="1"/>
  <c r="Y3" i="219" s="1"/>
  <c r="Z3" i="219" s="1"/>
  <c r="AA3" i="219" s="1"/>
  <c r="AB3" i="219" s="1"/>
  <c r="AC3" i="219" s="1"/>
  <c r="AD3" i="219" s="1"/>
  <c r="AE3" i="219" s="1"/>
  <c r="AF3" i="219" s="1"/>
  <c r="AG3" i="219" s="1"/>
  <c r="AH3" i="219" s="1"/>
  <c r="AI3" i="219" s="1"/>
  <c r="AJ3" i="219" s="1"/>
  <c r="AK3" i="219" s="1"/>
  <c r="AL3" i="219" s="1"/>
  <c r="AM3" i="219" s="1"/>
  <c r="AN3" i="219" s="1"/>
  <c r="AO3" i="219" s="1"/>
  <c r="AP3" i="219" s="1"/>
  <c r="AQ3" i="219" s="1"/>
  <c r="AR3" i="219" s="1"/>
  <c r="AS3" i="219" s="1"/>
  <c r="AT3" i="219" s="1"/>
  <c r="AU3" i="219" s="1"/>
  <c r="K82" i="220"/>
  <c r="K83" i="220"/>
  <c r="K84" i="220"/>
  <c r="N69" i="218"/>
  <c r="T53" i="220"/>
  <c r="T76" i="223"/>
  <c r="E104" i="229"/>
  <c r="E115" i="229" s="1"/>
  <c r="B69" i="218"/>
  <c r="H53" i="220"/>
  <c r="D78" i="229"/>
  <c r="N53" i="229"/>
  <c r="H76" i="218"/>
  <c r="D55" i="225"/>
  <c r="C133" i="216"/>
  <c r="C134" i="216" s="1"/>
  <c r="O133" i="216"/>
  <c r="O134" i="216" s="1"/>
  <c r="O139" i="216" s="1"/>
  <c r="N76" i="218"/>
  <c r="V46" i="218"/>
  <c r="V78" i="225"/>
  <c r="B76" i="218"/>
  <c r="K104" i="229"/>
  <c r="K115" i="229" s="1"/>
  <c r="K82" i="218"/>
  <c r="K84" i="218"/>
  <c r="P78" i="229"/>
  <c r="P46" i="220"/>
  <c r="W82" i="223"/>
  <c r="W83" i="223"/>
  <c r="W84" i="223"/>
  <c r="T85" i="229"/>
  <c r="Q84" i="218"/>
  <c r="K83" i="216"/>
  <c r="K84" i="216"/>
  <c r="B85" i="225"/>
  <c r="T53" i="218"/>
  <c r="T76" i="218"/>
  <c r="H60" i="220"/>
  <c r="B69" i="220"/>
  <c r="Q81" i="223"/>
  <c r="C133" i="218"/>
  <c r="C134" i="218" s="1"/>
  <c r="C142" i="218" s="1"/>
  <c r="T76" i="220"/>
  <c r="C133" i="223"/>
  <c r="C134" i="223" s="1"/>
  <c r="V78" i="216"/>
  <c r="I133" i="220"/>
  <c r="I134" i="220" s="1"/>
  <c r="I143" i="220" s="1"/>
  <c r="W82" i="229"/>
  <c r="W83" i="229"/>
  <c r="U133" i="216"/>
  <c r="U134" i="216" s="1"/>
  <c r="U139" i="216" s="1"/>
  <c r="P78" i="220"/>
  <c r="D62" i="216"/>
  <c r="D71" i="218"/>
  <c r="E83" i="218"/>
  <c r="E84" i="218"/>
  <c r="V46" i="223"/>
  <c r="V71" i="223"/>
  <c r="Q105" i="229"/>
  <c r="Q116" i="229" s="1"/>
  <c r="E104" i="216"/>
  <c r="E115" i="216" s="1"/>
  <c r="W83" i="216"/>
  <c r="W84" i="216"/>
  <c r="D71" i="229"/>
  <c r="Q81" i="220"/>
  <c r="Q82" i="220"/>
  <c r="Q83" i="220"/>
  <c r="E82" i="223"/>
  <c r="E83" i="223"/>
  <c r="E84" i="223"/>
  <c r="E81" i="229"/>
  <c r="E82" i="229"/>
  <c r="E83" i="229"/>
  <c r="E84" i="229"/>
  <c r="Q81" i="227"/>
  <c r="Q82" i="227"/>
  <c r="Q83" i="227"/>
  <c r="W82" i="220"/>
  <c r="W83" i="220"/>
  <c r="W84" i="220"/>
  <c r="D71" i="220"/>
  <c r="W83" i="225"/>
  <c r="O134" i="227"/>
  <c r="O143" i="227" s="1"/>
  <c r="D55" i="227"/>
  <c r="E82" i="220"/>
  <c r="E83" i="220"/>
  <c r="V71" i="225"/>
  <c r="W82" i="227"/>
  <c r="W105" i="220"/>
  <c r="W116" i="220" s="1"/>
  <c r="Q84" i="223"/>
  <c r="D78" i="225"/>
  <c r="E83" i="227"/>
  <c r="P46" i="229"/>
  <c r="Q81" i="229"/>
  <c r="Q82" i="229"/>
  <c r="I85" i="216"/>
  <c r="P55" i="218"/>
  <c r="D78" i="220"/>
  <c r="J78" i="225"/>
  <c r="D78" i="216"/>
  <c r="J78" i="216"/>
  <c r="J78" i="220"/>
  <c r="P78" i="225"/>
  <c r="E82" i="227"/>
  <c r="D55" i="229"/>
  <c r="P78" i="216"/>
  <c r="K83" i="227"/>
  <c r="K84" i="227"/>
  <c r="Q82" i="216"/>
  <c r="Q83" i="216"/>
  <c r="Q84" i="216"/>
  <c r="W82" i="218"/>
  <c r="W83" i="218"/>
  <c r="W84" i="218"/>
  <c r="V78" i="220"/>
  <c r="C133" i="225"/>
  <c r="C134" i="225" s="1"/>
  <c r="C141" i="225" s="1"/>
  <c r="Q81" i="225"/>
  <c r="Q83" i="225"/>
  <c r="Q84" i="225"/>
  <c r="U133" i="227"/>
  <c r="K81" i="227"/>
  <c r="I85" i="225"/>
  <c r="E83" i="216"/>
  <c r="B60" i="223"/>
  <c r="W84" i="229"/>
  <c r="P78" i="218"/>
  <c r="Q105" i="227"/>
  <c r="Q116" i="227" s="1"/>
  <c r="V71" i="229"/>
  <c r="K82" i="216"/>
  <c r="V78" i="218"/>
  <c r="P78" i="223"/>
  <c r="D46" i="227"/>
  <c r="P78" i="227"/>
  <c r="Q84" i="227"/>
  <c r="C133" i="229"/>
  <c r="C134" i="229" s="1"/>
  <c r="C142" i="229" s="1"/>
  <c r="B76" i="225"/>
  <c r="D78" i="227"/>
  <c r="J78" i="218"/>
  <c r="T76" i="216"/>
  <c r="D62" i="218"/>
  <c r="C133" i="220"/>
  <c r="C134" i="220" s="1"/>
  <c r="C139" i="220" s="1"/>
  <c r="V78" i="223"/>
  <c r="V78" i="227"/>
  <c r="D78" i="223"/>
  <c r="J71" i="216"/>
  <c r="Q81" i="216"/>
  <c r="J62" i="218"/>
  <c r="T60" i="225"/>
  <c r="W82" i="225"/>
  <c r="W83" i="227"/>
  <c r="O133" i="229"/>
  <c r="D62" i="229"/>
  <c r="T60" i="229"/>
  <c r="U85" i="216"/>
  <c r="K83" i="218"/>
  <c r="O133" i="220"/>
  <c r="O134" i="220" s="1"/>
  <c r="O139" i="220" s="1"/>
  <c r="J62" i="223"/>
  <c r="K82" i="223"/>
  <c r="K83" i="223"/>
  <c r="K84" i="223"/>
  <c r="W84" i="225"/>
  <c r="W84" i="227"/>
  <c r="U133" i="229"/>
  <c r="U134" i="229" s="1"/>
  <c r="U139" i="229" s="1"/>
  <c r="H53" i="229"/>
  <c r="K84" i="229"/>
  <c r="J78" i="227"/>
  <c r="U133" i="218"/>
  <c r="U134" i="218" s="1"/>
  <c r="U138" i="218" s="1"/>
  <c r="O133" i="223"/>
  <c r="O134" i="223" s="1"/>
  <c r="O145" i="223" s="1"/>
  <c r="D46" i="225"/>
  <c r="P62" i="229"/>
  <c r="W104" i="229"/>
  <c r="W115" i="229" s="1"/>
  <c r="D46" i="218"/>
  <c r="N85" i="218"/>
  <c r="Q82" i="218"/>
  <c r="D46" i="220"/>
  <c r="U133" i="223"/>
  <c r="E82" i="225"/>
  <c r="E83" i="225"/>
  <c r="E84" i="225"/>
  <c r="W105" i="225"/>
  <c r="W116" i="225" s="1"/>
  <c r="E84" i="227"/>
  <c r="V78" i="229"/>
  <c r="B60" i="229"/>
  <c r="D78" i="218"/>
  <c r="Q84" i="220"/>
  <c r="J78" i="223"/>
  <c r="N60" i="229"/>
  <c r="B53" i="216"/>
  <c r="B69" i="216"/>
  <c r="B85" i="216"/>
  <c r="Q105" i="218"/>
  <c r="Q116" i="218" s="1"/>
  <c r="Q83" i="218"/>
  <c r="D46" i="223"/>
  <c r="Q82" i="223"/>
  <c r="Q83" i="223"/>
  <c r="I85" i="227"/>
  <c r="V62" i="229"/>
  <c r="Q83" i="229"/>
  <c r="Q84" i="229"/>
  <c r="AX12" i="230"/>
  <c r="D95" i="229"/>
  <c r="E95" i="229" s="1"/>
  <c r="P100" i="229"/>
  <c r="Q100" i="229" s="1"/>
  <c r="C29" i="230"/>
  <c r="C35" i="230"/>
  <c r="T89" i="229"/>
  <c r="T90" i="229"/>
  <c r="U90" i="229" s="1"/>
  <c r="T97" i="229"/>
  <c r="V42" i="229"/>
  <c r="N99" i="229"/>
  <c r="C103" i="229"/>
  <c r="J36" i="229"/>
  <c r="J55" i="229" s="1"/>
  <c r="V40" i="229"/>
  <c r="T46" i="229"/>
  <c r="V35" i="229"/>
  <c r="V46" i="229" s="1"/>
  <c r="H69" i="229"/>
  <c r="O85" i="229"/>
  <c r="S163" i="229"/>
  <c r="H99" i="229"/>
  <c r="H100" i="229"/>
  <c r="I100" i="229" s="1"/>
  <c r="P95" i="229"/>
  <c r="Q95" i="229" s="1"/>
  <c r="T55" i="229"/>
  <c r="V36" i="229"/>
  <c r="V55" i="229" s="1"/>
  <c r="H92" i="229"/>
  <c r="J41" i="229"/>
  <c r="H105" i="229"/>
  <c r="I105" i="229" s="1"/>
  <c r="K105" i="229" s="1"/>
  <c r="K116" i="229" s="1"/>
  <c r="I103" i="229"/>
  <c r="H87" i="229"/>
  <c r="AH18" i="230"/>
  <c r="AV18" i="230" s="1"/>
  <c r="AX18" i="230" s="1"/>
  <c r="J78" i="229"/>
  <c r="N69" i="229"/>
  <c r="B76" i="229"/>
  <c r="U85" i="229"/>
  <c r="N90" i="229"/>
  <c r="O90" i="229" s="1"/>
  <c r="N89" i="229"/>
  <c r="B89" i="229"/>
  <c r="B90" i="229"/>
  <c r="C90" i="229" s="1"/>
  <c r="H85" i="229"/>
  <c r="K81" i="229"/>
  <c r="I85" i="229"/>
  <c r="H62" i="229"/>
  <c r="J37" i="229"/>
  <c r="J62" i="229" s="1"/>
  <c r="T92" i="229"/>
  <c r="V41" i="229"/>
  <c r="B53" i="229"/>
  <c r="T53" i="229"/>
  <c r="W81" i="229"/>
  <c r="B69" i="229"/>
  <c r="H71" i="229"/>
  <c r="C85" i="229"/>
  <c r="B85" i="229"/>
  <c r="C40" i="230"/>
  <c r="H46" i="229"/>
  <c r="J35" i="229"/>
  <c r="J46" i="229" s="1"/>
  <c r="T62" i="229"/>
  <c r="U103" i="229"/>
  <c r="T105" i="229"/>
  <c r="U105" i="229" s="1"/>
  <c r="W105" i="229" s="1"/>
  <c r="W116" i="229" s="1"/>
  <c r="O96" i="229"/>
  <c r="N62" i="229"/>
  <c r="T76" i="229"/>
  <c r="I134" i="229"/>
  <c r="I139" i="229" s="1"/>
  <c r="H60" i="229"/>
  <c r="T69" i="229"/>
  <c r="P94" i="229"/>
  <c r="Q94" i="229" s="1"/>
  <c r="M163" i="229"/>
  <c r="P38" i="229"/>
  <c r="P71" i="229" s="1"/>
  <c r="D40" i="229"/>
  <c r="P41" i="229"/>
  <c r="B97" i="229"/>
  <c r="N76" i="229"/>
  <c r="O103" i="229"/>
  <c r="N104" i="229"/>
  <c r="O104" i="229" s="1"/>
  <c r="Q104" i="229" s="1"/>
  <c r="Q115" i="229" s="1"/>
  <c r="B94" i="229"/>
  <c r="G163" i="229"/>
  <c r="AX12" i="228"/>
  <c r="AX7" i="228"/>
  <c r="D100" i="227"/>
  <c r="E100" i="227" s="1"/>
  <c r="H92" i="227"/>
  <c r="J41" i="227"/>
  <c r="B69" i="227"/>
  <c r="AW18" i="228"/>
  <c r="AV18" i="228"/>
  <c r="N94" i="227"/>
  <c r="N95" i="227"/>
  <c r="O95" i="227" s="1"/>
  <c r="T53" i="227"/>
  <c r="C103" i="227"/>
  <c r="B105" i="227"/>
  <c r="C105" i="227" s="1"/>
  <c r="E105" i="227" s="1"/>
  <c r="E116" i="227" s="1"/>
  <c r="B104" i="227"/>
  <c r="C104" i="227" s="1"/>
  <c r="E104" i="227" s="1"/>
  <c r="E115" i="227" s="1"/>
  <c r="B53" i="227"/>
  <c r="O89" i="227"/>
  <c r="O99" i="227"/>
  <c r="T104" i="227"/>
  <c r="U104" i="227" s="1"/>
  <c r="W104" i="227" s="1"/>
  <c r="W115" i="227" s="1"/>
  <c r="H71" i="227"/>
  <c r="J38" i="227"/>
  <c r="J71" i="227" s="1"/>
  <c r="B46" i="227"/>
  <c r="T97" i="227"/>
  <c r="H46" i="227"/>
  <c r="J35" i="227"/>
  <c r="J46" i="227" s="1"/>
  <c r="C35" i="228"/>
  <c r="C29" i="228"/>
  <c r="D38" i="227"/>
  <c r="D71" i="227" s="1"/>
  <c r="B99" i="227"/>
  <c r="B89" i="227"/>
  <c r="I89" i="227"/>
  <c r="P36" i="227"/>
  <c r="P55" i="227" s="1"/>
  <c r="H69" i="227"/>
  <c r="B76" i="227"/>
  <c r="T55" i="227"/>
  <c r="V36" i="227"/>
  <c r="V55" i="227" s="1"/>
  <c r="T60" i="227"/>
  <c r="B94" i="227"/>
  <c r="B95" i="227"/>
  <c r="C95" i="227" s="1"/>
  <c r="N69" i="227"/>
  <c r="H76" i="227"/>
  <c r="N85" i="227"/>
  <c r="N100" i="227"/>
  <c r="O100" i="227" s="1"/>
  <c r="D41" i="227"/>
  <c r="H53" i="227"/>
  <c r="T69" i="227"/>
  <c r="O85" i="227"/>
  <c r="T105" i="227"/>
  <c r="U105" i="227" s="1"/>
  <c r="W105" i="227" s="1"/>
  <c r="W116" i="227" s="1"/>
  <c r="B55" i="227"/>
  <c r="T96" i="227"/>
  <c r="V96" i="227" s="1"/>
  <c r="P35" i="227"/>
  <c r="P46" i="227" s="1"/>
  <c r="D37" i="227"/>
  <c r="D62" i="227" s="1"/>
  <c r="P38" i="227"/>
  <c r="P71" i="227" s="1"/>
  <c r="D40" i="227"/>
  <c r="B90" i="227" s="1"/>
  <c r="C90" i="227" s="1"/>
  <c r="P41" i="227"/>
  <c r="T76" i="227"/>
  <c r="H60" i="227"/>
  <c r="N76" i="227"/>
  <c r="B60" i="227"/>
  <c r="H105" i="227"/>
  <c r="I105" i="227" s="1"/>
  <c r="K105" i="227" s="1"/>
  <c r="K116" i="227" s="1"/>
  <c r="I103" i="227"/>
  <c r="N53" i="227"/>
  <c r="K82" i="227"/>
  <c r="H90" i="227"/>
  <c r="I90" i="227" s="1"/>
  <c r="H104" i="227"/>
  <c r="I104" i="227" s="1"/>
  <c r="K104" i="227" s="1"/>
  <c r="K115" i="227" s="1"/>
  <c r="N78" i="227"/>
  <c r="N62" i="227"/>
  <c r="N60" i="227"/>
  <c r="H85" i="227"/>
  <c r="P37" i="227"/>
  <c r="P62" i="227" s="1"/>
  <c r="P40" i="227"/>
  <c r="N90" i="227" s="1"/>
  <c r="D42" i="227"/>
  <c r="O103" i="227"/>
  <c r="N104" i="227"/>
  <c r="O104" i="227" s="1"/>
  <c r="Q104" i="227" s="1"/>
  <c r="Q115" i="227" s="1"/>
  <c r="W81" i="227"/>
  <c r="U85" i="227"/>
  <c r="T85" i="227"/>
  <c r="T90" i="227"/>
  <c r="U90" i="227" s="1"/>
  <c r="U91" i="227" s="1"/>
  <c r="H100" i="227"/>
  <c r="I100" i="227" s="1"/>
  <c r="I101" i="227" s="1"/>
  <c r="V89" i="227"/>
  <c r="W89" i="227" s="1"/>
  <c r="C85" i="227"/>
  <c r="B85" i="227"/>
  <c r="E81" i="227"/>
  <c r="J99" i="227"/>
  <c r="K99" i="227" s="1"/>
  <c r="B171" i="228"/>
  <c r="C171" i="228"/>
  <c r="T62" i="227"/>
  <c r="G163" i="227"/>
  <c r="N53" i="225"/>
  <c r="H53" i="225"/>
  <c r="B69" i="225"/>
  <c r="N90" i="225"/>
  <c r="O90" i="225" s="1"/>
  <c r="P90" i="225" s="1"/>
  <c r="B55" i="225"/>
  <c r="B78" i="225"/>
  <c r="B104" i="225"/>
  <c r="C104" i="225" s="1"/>
  <c r="E104" i="225" s="1"/>
  <c r="E115" i="225" s="1"/>
  <c r="P42" i="225"/>
  <c r="T71" i="225"/>
  <c r="T104" i="225"/>
  <c r="U104" i="225" s="1"/>
  <c r="W104" i="225" s="1"/>
  <c r="W115" i="225" s="1"/>
  <c r="B105" i="225"/>
  <c r="C105" i="225" s="1"/>
  <c r="E105" i="225" s="1"/>
  <c r="E116" i="225" s="1"/>
  <c r="B87" i="225"/>
  <c r="B90" i="225" s="1"/>
  <c r="C90" i="225" s="1"/>
  <c r="N100" i="225"/>
  <c r="O100" i="225" s="1"/>
  <c r="N99" i="225"/>
  <c r="B94" i="225"/>
  <c r="B95" i="225"/>
  <c r="C95" i="225" s="1"/>
  <c r="H71" i="225"/>
  <c r="J38" i="225"/>
  <c r="J71" i="225" s="1"/>
  <c r="N69" i="225"/>
  <c r="H76" i="225"/>
  <c r="C85" i="225"/>
  <c r="E81" i="225"/>
  <c r="D41" i="225"/>
  <c r="H55" i="225"/>
  <c r="J36" i="225"/>
  <c r="J55" i="225" s="1"/>
  <c r="P36" i="225"/>
  <c r="P55" i="225" s="1"/>
  <c r="T69" i="225"/>
  <c r="N76" i="225"/>
  <c r="H92" i="225"/>
  <c r="J41" i="225"/>
  <c r="T55" i="225"/>
  <c r="V36" i="225"/>
  <c r="V55" i="225" s="1"/>
  <c r="B60" i="225"/>
  <c r="H97" i="225"/>
  <c r="J42" i="225"/>
  <c r="B46" i="225"/>
  <c r="Q82" i="225"/>
  <c r="O85" i="225"/>
  <c r="O103" i="225"/>
  <c r="N105" i="225"/>
  <c r="O105" i="225" s="1"/>
  <c r="Q105" i="225" s="1"/>
  <c r="Q116" i="225" s="1"/>
  <c r="N104" i="225"/>
  <c r="O104" i="225" s="1"/>
  <c r="Q104" i="225" s="1"/>
  <c r="Q115" i="225" s="1"/>
  <c r="I134" i="225"/>
  <c r="O94" i="225"/>
  <c r="H90" i="225"/>
  <c r="I90" i="225" s="1"/>
  <c r="H89" i="225"/>
  <c r="O133" i="225"/>
  <c r="T78" i="225"/>
  <c r="T62" i="225"/>
  <c r="V37" i="225"/>
  <c r="V62" i="225" s="1"/>
  <c r="V42" i="225"/>
  <c r="T97" i="225"/>
  <c r="B89" i="225"/>
  <c r="J35" i="225"/>
  <c r="J46" i="225" s="1"/>
  <c r="O89" i="225"/>
  <c r="N91" i="225"/>
  <c r="P91" i="225" s="1"/>
  <c r="H69" i="225"/>
  <c r="AW18" i="226"/>
  <c r="AE18" i="226"/>
  <c r="AD18" i="226"/>
  <c r="D38" i="225"/>
  <c r="D71" i="225" s="1"/>
  <c r="T87" i="225"/>
  <c r="V40" i="225"/>
  <c r="W81" i="225"/>
  <c r="U85" i="225"/>
  <c r="H85" i="225"/>
  <c r="T92" i="225"/>
  <c r="C28" i="226"/>
  <c r="H78" i="225"/>
  <c r="T53" i="225"/>
  <c r="H60" i="225"/>
  <c r="N95" i="225"/>
  <c r="O95" i="225" s="1"/>
  <c r="H104" i="225"/>
  <c r="I104" i="225" s="1"/>
  <c r="K104" i="225" s="1"/>
  <c r="K115" i="225" s="1"/>
  <c r="P35" i="225"/>
  <c r="P46" i="225" s="1"/>
  <c r="D37" i="225"/>
  <c r="D62" i="225" s="1"/>
  <c r="P38" i="225"/>
  <c r="P71" i="225" s="1"/>
  <c r="P41" i="225"/>
  <c r="T76" i="225"/>
  <c r="T85" i="225"/>
  <c r="H105" i="225"/>
  <c r="I105" i="225" s="1"/>
  <c r="K105" i="225" s="1"/>
  <c r="K116" i="225" s="1"/>
  <c r="U133" i="225"/>
  <c r="V35" i="225"/>
  <c r="V46" i="225" s="1"/>
  <c r="J37" i="225"/>
  <c r="J62" i="225" s="1"/>
  <c r="N78" i="225"/>
  <c r="N62" i="225"/>
  <c r="B53" i="225"/>
  <c r="N60" i="225"/>
  <c r="B97" i="225"/>
  <c r="P37" i="225"/>
  <c r="P62" i="225" s="1"/>
  <c r="P40" i="225"/>
  <c r="K83" i="225"/>
  <c r="A163" i="225"/>
  <c r="G163" i="225"/>
  <c r="AX12" i="224"/>
  <c r="AX7" i="224"/>
  <c r="N53" i="223"/>
  <c r="P41" i="223"/>
  <c r="P35" i="223"/>
  <c r="P46" i="223" s="1"/>
  <c r="H53" i="223"/>
  <c r="B53" i="223"/>
  <c r="D37" i="223"/>
  <c r="D62" i="223" s="1"/>
  <c r="P38" i="223"/>
  <c r="P71" i="223" s="1"/>
  <c r="N89" i="223"/>
  <c r="O89" i="223" s="1"/>
  <c r="P40" i="223"/>
  <c r="N46" i="220"/>
  <c r="H94" i="223"/>
  <c r="I94" i="223" s="1"/>
  <c r="T46" i="223"/>
  <c r="T95" i="220"/>
  <c r="U95" i="220" s="1"/>
  <c r="V95" i="220" s="1"/>
  <c r="W95" i="220" s="1"/>
  <c r="N100" i="223"/>
  <c r="O100" i="223" s="1"/>
  <c r="P100" i="223" s="1"/>
  <c r="Q100" i="223" s="1"/>
  <c r="D36" i="223"/>
  <c r="D55" i="223" s="1"/>
  <c r="T55" i="223"/>
  <c r="P37" i="223"/>
  <c r="P62" i="223" s="1"/>
  <c r="D42" i="223"/>
  <c r="J95" i="223"/>
  <c r="K95" i="223" s="1"/>
  <c r="B104" i="223"/>
  <c r="C104" i="223" s="1"/>
  <c r="E104" i="223" s="1"/>
  <c r="E115" i="223" s="1"/>
  <c r="C103" i="223"/>
  <c r="B105" i="223"/>
  <c r="C105" i="223" s="1"/>
  <c r="E105" i="223" s="1"/>
  <c r="E116" i="223" s="1"/>
  <c r="B94" i="223"/>
  <c r="B95" i="223"/>
  <c r="C95" i="223" s="1"/>
  <c r="P95" i="223"/>
  <c r="Q95" i="223" s="1"/>
  <c r="N105" i="223"/>
  <c r="O105" i="223" s="1"/>
  <c r="Q105" i="223" s="1"/>
  <c r="Q116" i="223" s="1"/>
  <c r="O103" i="223"/>
  <c r="N104" i="223"/>
  <c r="O104" i="223" s="1"/>
  <c r="Q104" i="223" s="1"/>
  <c r="Q115" i="223" s="1"/>
  <c r="V90" i="223"/>
  <c r="W90" i="223" s="1"/>
  <c r="V94" i="223"/>
  <c r="W94" i="223" s="1"/>
  <c r="D100" i="223"/>
  <c r="E100" i="223" s="1"/>
  <c r="B90" i="223"/>
  <c r="C90" i="223" s="1"/>
  <c r="B89" i="223"/>
  <c r="H100" i="223"/>
  <c r="I100" i="223" s="1"/>
  <c r="H99" i="223"/>
  <c r="P99" i="223"/>
  <c r="Q99" i="223" s="1"/>
  <c r="N90" i="223"/>
  <c r="O90" i="223" s="1"/>
  <c r="N94" i="223"/>
  <c r="H104" i="223"/>
  <c r="I104" i="223" s="1"/>
  <c r="K104" i="223" s="1"/>
  <c r="K115" i="223" s="1"/>
  <c r="I133" i="223"/>
  <c r="I134" i="223" s="1"/>
  <c r="J36" i="223"/>
  <c r="J55" i="223" s="1"/>
  <c r="V37" i="223"/>
  <c r="V62" i="223" s="1"/>
  <c r="V40" i="223"/>
  <c r="J42" i="223"/>
  <c r="T104" i="223"/>
  <c r="U104" i="223" s="1"/>
  <c r="W104" i="223" s="1"/>
  <c r="W115" i="223" s="1"/>
  <c r="U103" i="223"/>
  <c r="B62" i="223"/>
  <c r="T69" i="223"/>
  <c r="N76" i="223"/>
  <c r="W81" i="223"/>
  <c r="U85" i="223"/>
  <c r="T85" i="223"/>
  <c r="B46" i="223"/>
  <c r="T71" i="223"/>
  <c r="T97" i="223"/>
  <c r="T105" i="223"/>
  <c r="U105" i="223" s="1"/>
  <c r="W105" i="223" s="1"/>
  <c r="W116" i="223" s="1"/>
  <c r="P36" i="223"/>
  <c r="P55" i="223" s="1"/>
  <c r="D38" i="223"/>
  <c r="D71" i="223" s="1"/>
  <c r="D41" i="223"/>
  <c r="P42" i="223"/>
  <c r="N60" i="223"/>
  <c r="C85" i="223"/>
  <c r="E81" i="223"/>
  <c r="B99" i="223"/>
  <c r="H62" i="223"/>
  <c r="J35" i="223"/>
  <c r="J46" i="223" s="1"/>
  <c r="J38" i="223"/>
  <c r="J71" i="223" s="1"/>
  <c r="J41" i="223"/>
  <c r="T53" i="223"/>
  <c r="T60" i="223"/>
  <c r="H69" i="223"/>
  <c r="I85" i="223"/>
  <c r="H85" i="223"/>
  <c r="K81" i="223"/>
  <c r="N69" i="223"/>
  <c r="N62" i="223"/>
  <c r="H78" i="223"/>
  <c r="T95" i="223"/>
  <c r="U95" i="223" s="1"/>
  <c r="U96" i="223" s="1"/>
  <c r="B69" i="223"/>
  <c r="B85" i="223"/>
  <c r="T89" i="223"/>
  <c r="J90" i="223"/>
  <c r="K90" i="223" s="1"/>
  <c r="J40" i="223"/>
  <c r="H89" i="223" s="1"/>
  <c r="V41" i="223"/>
  <c r="H60" i="223"/>
  <c r="T62" i="223"/>
  <c r="H76" i="223"/>
  <c r="B76" i="223"/>
  <c r="N85" i="223"/>
  <c r="H105" i="223"/>
  <c r="I105" i="223" s="1"/>
  <c r="K105" i="223" s="1"/>
  <c r="K116" i="223" s="1"/>
  <c r="O85" i="223"/>
  <c r="A163" i="223"/>
  <c r="B171" i="224"/>
  <c r="G163" i="223"/>
  <c r="P41" i="220"/>
  <c r="D37" i="220"/>
  <c r="D62" i="220" s="1"/>
  <c r="V36" i="218"/>
  <c r="V55" i="218" s="1"/>
  <c r="B78" i="220"/>
  <c r="D40" i="220"/>
  <c r="B89" i="220" s="1"/>
  <c r="V35" i="220"/>
  <c r="V46" i="220" s="1"/>
  <c r="J40" i="220"/>
  <c r="H89" i="220" s="1"/>
  <c r="J37" i="220"/>
  <c r="J62" i="220" s="1"/>
  <c r="I133" i="216"/>
  <c r="N55" i="218"/>
  <c r="T97" i="218"/>
  <c r="T100" i="218" s="1"/>
  <c r="U100" i="218" s="1"/>
  <c r="P38" i="220"/>
  <c r="P71" i="220" s="1"/>
  <c r="N99" i="218"/>
  <c r="N101" i="218" s="1"/>
  <c r="P101" i="218" s="1"/>
  <c r="V41" i="220"/>
  <c r="V38" i="220"/>
  <c r="V71" i="220" s="1"/>
  <c r="B71" i="220"/>
  <c r="H94" i="220"/>
  <c r="H96" i="220" s="1"/>
  <c r="J96" i="220" s="1"/>
  <c r="H76" i="220"/>
  <c r="B104" i="220"/>
  <c r="C104" i="220" s="1"/>
  <c r="E104" i="220" s="1"/>
  <c r="E115" i="220" s="1"/>
  <c r="C103" i="220"/>
  <c r="B105" i="220"/>
  <c r="C105" i="220" s="1"/>
  <c r="E105" i="220" s="1"/>
  <c r="E116" i="220" s="1"/>
  <c r="H105" i="220"/>
  <c r="I105" i="220" s="1"/>
  <c r="K105" i="220" s="1"/>
  <c r="K116" i="220" s="1"/>
  <c r="I103" i="220"/>
  <c r="H104" i="220"/>
  <c r="I104" i="220" s="1"/>
  <c r="K104" i="220" s="1"/>
  <c r="K115" i="220" s="1"/>
  <c r="T85" i="220"/>
  <c r="N99" i="220"/>
  <c r="N100" i="220"/>
  <c r="O100" i="220" s="1"/>
  <c r="T60" i="220"/>
  <c r="H90" i="220"/>
  <c r="I90" i="220" s="1"/>
  <c r="C85" i="220"/>
  <c r="B85" i="220"/>
  <c r="E81" i="220"/>
  <c r="B76" i="220"/>
  <c r="B90" i="220"/>
  <c r="C90" i="220" s="1"/>
  <c r="AW18" i="221"/>
  <c r="H78" i="220"/>
  <c r="N78" i="220"/>
  <c r="N62" i="220"/>
  <c r="D100" i="220"/>
  <c r="E100" i="220" s="1"/>
  <c r="B53" i="220"/>
  <c r="N69" i="220"/>
  <c r="I85" i="220"/>
  <c r="H85" i="220"/>
  <c r="K81" i="220"/>
  <c r="D36" i="220"/>
  <c r="D55" i="220" s="1"/>
  <c r="P37" i="220"/>
  <c r="P62" i="220" s="1"/>
  <c r="P40" i="220"/>
  <c r="N89" i="220" s="1"/>
  <c r="D42" i="220"/>
  <c r="B99" i="220" s="1"/>
  <c r="N105" i="220"/>
  <c r="O105" i="220" s="1"/>
  <c r="Q105" i="220" s="1"/>
  <c r="Q116" i="220" s="1"/>
  <c r="O103" i="220"/>
  <c r="N104" i="220"/>
  <c r="O104" i="220" s="1"/>
  <c r="Q104" i="220" s="1"/>
  <c r="Q115" i="220" s="1"/>
  <c r="E84" i="220"/>
  <c r="U94" i="220"/>
  <c r="J36" i="220"/>
  <c r="J55" i="220" s="1"/>
  <c r="N85" i="220"/>
  <c r="T104" i="220"/>
  <c r="U104" i="220" s="1"/>
  <c r="W104" i="220" s="1"/>
  <c r="W115" i="220" s="1"/>
  <c r="U103" i="220"/>
  <c r="N76" i="220"/>
  <c r="B46" i="220"/>
  <c r="N53" i="220"/>
  <c r="B60" i="220"/>
  <c r="O85" i="220"/>
  <c r="B95" i="220"/>
  <c r="C95" i="220" s="1"/>
  <c r="H97" i="220"/>
  <c r="T78" i="220"/>
  <c r="T62" i="220"/>
  <c r="V40" i="220"/>
  <c r="P36" i="220"/>
  <c r="P55" i="220" s="1"/>
  <c r="D41" i="220"/>
  <c r="P42" i="220"/>
  <c r="J95" i="220"/>
  <c r="K95" i="220" s="1"/>
  <c r="T97" i="220"/>
  <c r="U133" i="220"/>
  <c r="V37" i="220"/>
  <c r="V62" i="220" s="1"/>
  <c r="T69" i="220"/>
  <c r="J35" i="220"/>
  <c r="J46" i="220" s="1"/>
  <c r="V36" i="220"/>
  <c r="V55" i="220" s="1"/>
  <c r="J38" i="220"/>
  <c r="J71" i="220" s="1"/>
  <c r="J41" i="220"/>
  <c r="H69" i="220"/>
  <c r="W81" i="220"/>
  <c r="U85" i="220"/>
  <c r="T90" i="220"/>
  <c r="U90" i="220" s="1"/>
  <c r="T89" i="220"/>
  <c r="N95" i="220"/>
  <c r="O95" i="220" s="1"/>
  <c r="N94" i="220"/>
  <c r="N60" i="220"/>
  <c r="C94" i="220"/>
  <c r="A163" i="220"/>
  <c r="G163" i="220"/>
  <c r="AX12" i="219"/>
  <c r="H60" i="218"/>
  <c r="B60" i="218"/>
  <c r="H97" i="218"/>
  <c r="H99" i="218" s="1"/>
  <c r="I99" i="218" s="1"/>
  <c r="T62" i="218"/>
  <c r="J35" i="218"/>
  <c r="J46" i="218" s="1"/>
  <c r="B71" i="218"/>
  <c r="B94" i="218"/>
  <c r="J38" i="218"/>
  <c r="J71" i="218" s="1"/>
  <c r="N62" i="218"/>
  <c r="B97" i="218"/>
  <c r="B100" i="218" s="1"/>
  <c r="C100" i="218" s="1"/>
  <c r="B90" i="218"/>
  <c r="C90" i="218" s="1"/>
  <c r="O94" i="218"/>
  <c r="H78" i="218"/>
  <c r="H85" i="218"/>
  <c r="K81" i="218"/>
  <c r="P35" i="218"/>
  <c r="P46" i="218" s="1"/>
  <c r="P41" i="218"/>
  <c r="D40" i="218"/>
  <c r="B89" i="218" s="1"/>
  <c r="I85" i="218"/>
  <c r="H90" i="218"/>
  <c r="I90" i="218" s="1"/>
  <c r="C103" i="218"/>
  <c r="B105" i="218"/>
  <c r="C105" i="218" s="1"/>
  <c r="E105" i="218" s="1"/>
  <c r="E116" i="218" s="1"/>
  <c r="V41" i="218"/>
  <c r="T94" i="218"/>
  <c r="N71" i="218"/>
  <c r="B62" i="218"/>
  <c r="T69" i="218"/>
  <c r="T71" i="218"/>
  <c r="Q81" i="218"/>
  <c r="T90" i="218"/>
  <c r="U90" i="218" s="1"/>
  <c r="N95" i="218"/>
  <c r="O95" i="218" s="1"/>
  <c r="H100" i="218"/>
  <c r="I100" i="218" s="1"/>
  <c r="S163" i="218"/>
  <c r="P90" i="218"/>
  <c r="Q90" i="218" s="1"/>
  <c r="B53" i="218"/>
  <c r="U89" i="218"/>
  <c r="J36" i="218"/>
  <c r="J55" i="218" s="1"/>
  <c r="V37" i="218"/>
  <c r="V62" i="218" s="1"/>
  <c r="V40" i="218"/>
  <c r="U103" i="218"/>
  <c r="T105" i="218"/>
  <c r="U105" i="218" s="1"/>
  <c r="W105" i="218" s="1"/>
  <c r="W116" i="218" s="1"/>
  <c r="H53" i="218"/>
  <c r="W81" i="218"/>
  <c r="U85" i="218"/>
  <c r="T85" i="218"/>
  <c r="I133" i="218"/>
  <c r="I134" i="218" s="1"/>
  <c r="I139" i="218" s="1"/>
  <c r="V95" i="218"/>
  <c r="W95" i="218" s="1"/>
  <c r="O103" i="218"/>
  <c r="N104" i="218"/>
  <c r="O104" i="218" s="1"/>
  <c r="Q104" i="218" s="1"/>
  <c r="Q115" i="218" s="1"/>
  <c r="D95" i="218"/>
  <c r="E95" i="218" s="1"/>
  <c r="O133" i="218"/>
  <c r="H105" i="218"/>
  <c r="I105" i="218" s="1"/>
  <c r="K105" i="218" s="1"/>
  <c r="K116" i="218" s="1"/>
  <c r="I103" i="218"/>
  <c r="H104" i="218"/>
  <c r="I104" i="218" s="1"/>
  <c r="K104" i="218" s="1"/>
  <c r="K115" i="218" s="1"/>
  <c r="P37" i="218"/>
  <c r="P62" i="218" s="1"/>
  <c r="T46" i="218"/>
  <c r="P100" i="218"/>
  <c r="Q100" i="218" s="1"/>
  <c r="B46" i="218"/>
  <c r="D41" i="218"/>
  <c r="P42" i="218"/>
  <c r="N60" i="218"/>
  <c r="H62" i="218"/>
  <c r="B78" i="218"/>
  <c r="C85" i="218"/>
  <c r="B85" i="218"/>
  <c r="E81" i="218"/>
  <c r="T104" i="218"/>
  <c r="U104" i="218" s="1"/>
  <c r="W104" i="218" s="1"/>
  <c r="W115" i="218" s="1"/>
  <c r="J40" i="218"/>
  <c r="H89" i="218" s="1"/>
  <c r="B104" i="218"/>
  <c r="C104" i="218" s="1"/>
  <c r="E104" i="218" s="1"/>
  <c r="E115" i="218" s="1"/>
  <c r="D36" i="218"/>
  <c r="D55" i="218" s="1"/>
  <c r="P40" i="218"/>
  <c r="N89" i="218" s="1"/>
  <c r="H95" i="218"/>
  <c r="I95" i="218" s="1"/>
  <c r="H94" i="218"/>
  <c r="N53" i="218"/>
  <c r="E82" i="218"/>
  <c r="T99" i="218"/>
  <c r="O85" i="218"/>
  <c r="AW18" i="219"/>
  <c r="W18" i="219"/>
  <c r="J41" i="218"/>
  <c r="T60" i="218"/>
  <c r="H69" i="218"/>
  <c r="G163" i="218"/>
  <c r="E173" i="217"/>
  <c r="AX12" i="217"/>
  <c r="R3" i="217"/>
  <c r="S3" i="217" s="1"/>
  <c r="T3" i="217" s="1"/>
  <c r="U3" i="217" s="1"/>
  <c r="V3" i="217" s="1"/>
  <c r="W3" i="217" s="1"/>
  <c r="X3" i="217" s="1"/>
  <c r="Y3" i="217" s="1"/>
  <c r="Z3" i="217" s="1"/>
  <c r="AA3" i="217" s="1"/>
  <c r="AB3" i="217" s="1"/>
  <c r="AC3" i="217" s="1"/>
  <c r="AD3" i="217" s="1"/>
  <c r="AE3" i="217" s="1"/>
  <c r="AF3" i="217" s="1"/>
  <c r="AG3" i="217" s="1"/>
  <c r="AH3" i="217" s="1"/>
  <c r="AI3" i="217" s="1"/>
  <c r="AJ3" i="217" s="1"/>
  <c r="AK3" i="217" s="1"/>
  <c r="AL3" i="217" s="1"/>
  <c r="AM3" i="217" s="1"/>
  <c r="AN3" i="217" s="1"/>
  <c r="AO3" i="217" s="1"/>
  <c r="AP3" i="217" s="1"/>
  <c r="AQ3" i="217" s="1"/>
  <c r="AR3" i="217" s="1"/>
  <c r="AS3" i="217" s="1"/>
  <c r="AT3" i="217" s="1"/>
  <c r="AU3" i="217" s="1"/>
  <c r="H94" i="216"/>
  <c r="I94" i="216" s="1"/>
  <c r="J94" i="216" s="1"/>
  <c r="K94" i="216" s="1"/>
  <c r="T97" i="216"/>
  <c r="T100" i="216" s="1"/>
  <c r="U100" i="216" s="1"/>
  <c r="J37" i="216"/>
  <c r="J62" i="216" s="1"/>
  <c r="V35" i="216"/>
  <c r="V46" i="216" s="1"/>
  <c r="D38" i="216"/>
  <c r="D71" i="216" s="1"/>
  <c r="J40" i="216"/>
  <c r="P42" i="216"/>
  <c r="B62" i="216"/>
  <c r="D35" i="216"/>
  <c r="D46" i="216" s="1"/>
  <c r="V41" i="216"/>
  <c r="B78" i="216"/>
  <c r="P36" i="216"/>
  <c r="P55" i="216" s="1"/>
  <c r="V38" i="216"/>
  <c r="V71" i="216" s="1"/>
  <c r="D41" i="216"/>
  <c r="J99" i="216"/>
  <c r="K99" i="216" s="1"/>
  <c r="AW18" i="217"/>
  <c r="O18" i="217"/>
  <c r="N18" i="217"/>
  <c r="H90" i="216"/>
  <c r="I90" i="216" s="1"/>
  <c r="H89" i="216"/>
  <c r="N100" i="216"/>
  <c r="O100" i="216" s="1"/>
  <c r="N99" i="216"/>
  <c r="N60" i="216"/>
  <c r="D36" i="216"/>
  <c r="D55" i="216" s="1"/>
  <c r="B55" i="216"/>
  <c r="P40" i="216"/>
  <c r="N87" i="216"/>
  <c r="N53" i="216"/>
  <c r="T89" i="216"/>
  <c r="T90" i="216"/>
  <c r="U90" i="216" s="1"/>
  <c r="AV4" i="217"/>
  <c r="C103" i="216"/>
  <c r="B105" i="216"/>
  <c r="C105" i="216" s="1"/>
  <c r="E105" i="216" s="1"/>
  <c r="E116" i="216" s="1"/>
  <c r="T53" i="216"/>
  <c r="C85" i="216"/>
  <c r="E84" i="216"/>
  <c r="H105" i="216"/>
  <c r="I105" i="216" s="1"/>
  <c r="K105" i="216" s="1"/>
  <c r="K116" i="216" s="1"/>
  <c r="H104" i="216"/>
  <c r="I104" i="216" s="1"/>
  <c r="K104" i="216" s="1"/>
  <c r="K115" i="216" s="1"/>
  <c r="O85" i="216"/>
  <c r="J95" i="216"/>
  <c r="K95" i="216" s="1"/>
  <c r="P94" i="216"/>
  <c r="Q94" i="216" s="1"/>
  <c r="V95" i="216"/>
  <c r="W95" i="216" s="1"/>
  <c r="H53" i="216"/>
  <c r="N76" i="216"/>
  <c r="H100" i="216"/>
  <c r="I100" i="216" s="1"/>
  <c r="I101" i="216" s="1"/>
  <c r="N78" i="216"/>
  <c r="N62" i="216"/>
  <c r="P37" i="216"/>
  <c r="P62" i="216" s="1"/>
  <c r="B97" i="216"/>
  <c r="D42" i="216"/>
  <c r="N69" i="216"/>
  <c r="O103" i="216"/>
  <c r="N104" i="216"/>
  <c r="O104" i="216" s="1"/>
  <c r="Q104" i="216" s="1"/>
  <c r="Q115" i="216" s="1"/>
  <c r="H78" i="216"/>
  <c r="N95" i="216"/>
  <c r="O95" i="216" s="1"/>
  <c r="O96" i="216" s="1"/>
  <c r="T60" i="216"/>
  <c r="B87" i="216"/>
  <c r="J36" i="216"/>
  <c r="J55" i="216" s="1"/>
  <c r="V37" i="216"/>
  <c r="V62" i="216" s="1"/>
  <c r="V40" i="216"/>
  <c r="J42" i="216"/>
  <c r="W81" i="216"/>
  <c r="W82" i="216"/>
  <c r="N85" i="216"/>
  <c r="E81" i="216"/>
  <c r="E82" i="216"/>
  <c r="T94" i="216"/>
  <c r="N105" i="216"/>
  <c r="O105" i="216" s="1"/>
  <c r="Q105" i="216" s="1"/>
  <c r="Q116" i="216" s="1"/>
  <c r="H69" i="216"/>
  <c r="H71" i="216"/>
  <c r="H85" i="216"/>
  <c r="J35" i="216"/>
  <c r="J46" i="216" s="1"/>
  <c r="V36" i="216"/>
  <c r="V55" i="216" s="1"/>
  <c r="J41" i="216"/>
  <c r="T69" i="216"/>
  <c r="T85" i="216"/>
  <c r="G4" i="217"/>
  <c r="B94" i="216"/>
  <c r="T62" i="216"/>
  <c r="P35" i="216"/>
  <c r="P46" i="216" s="1"/>
  <c r="P38" i="216"/>
  <c r="P71" i="216" s="1"/>
  <c r="P41" i="216"/>
  <c r="B60" i="216"/>
  <c r="B76" i="216"/>
  <c r="T104" i="216"/>
  <c r="U104" i="216" s="1"/>
  <c r="W104" i="216" s="1"/>
  <c r="W115" i="216" s="1"/>
  <c r="T105" i="216"/>
  <c r="U105" i="216" s="1"/>
  <c r="W105" i="216" s="1"/>
  <c r="W116" i="216" s="1"/>
  <c r="C171" i="217"/>
  <c r="G163" i="216"/>
  <c r="K81" i="216"/>
  <c r="U96" i="227" l="1"/>
  <c r="K85" i="225"/>
  <c r="B7" i="227"/>
  <c r="B5" i="228" s="1"/>
  <c r="B7" i="216"/>
  <c r="B5" i="217" s="1"/>
  <c r="K85" i="220"/>
  <c r="J86" i="220" s="1"/>
  <c r="U86" i="216"/>
  <c r="W85" i="218"/>
  <c r="V86" i="218" s="1"/>
  <c r="I79" i="227"/>
  <c r="O139" i="227"/>
  <c r="O90" i="227"/>
  <c r="O91" i="227" s="1"/>
  <c r="N91" i="227"/>
  <c r="H91" i="227"/>
  <c r="H101" i="227"/>
  <c r="J101" i="227" s="1"/>
  <c r="U79" i="216"/>
  <c r="O142" i="227"/>
  <c r="Q85" i="218"/>
  <c r="P86" i="218" s="1"/>
  <c r="U134" i="227"/>
  <c r="U145" i="227" s="1"/>
  <c r="K85" i="227"/>
  <c r="J86" i="227" s="1"/>
  <c r="I86" i="216"/>
  <c r="O141" i="227"/>
  <c r="W85" i="223"/>
  <c r="V86" i="223" s="1"/>
  <c r="K85" i="223"/>
  <c r="J86" i="223" s="1"/>
  <c r="U148" i="227"/>
  <c r="I86" i="225"/>
  <c r="K85" i="229"/>
  <c r="J86" i="229" s="1"/>
  <c r="I79" i="225"/>
  <c r="J86" i="225"/>
  <c r="E85" i="227"/>
  <c r="D86" i="227" s="1"/>
  <c r="O145" i="227"/>
  <c r="Q85" i="225"/>
  <c r="P86" i="225" s="1"/>
  <c r="O138" i="227"/>
  <c r="I79" i="216"/>
  <c r="O134" i="229"/>
  <c r="O141" i="229" s="1"/>
  <c r="B7" i="229"/>
  <c r="B5" i="230" s="1"/>
  <c r="E85" i="225"/>
  <c r="D86" i="225" s="1"/>
  <c r="Q90" i="225"/>
  <c r="Q96" i="229"/>
  <c r="Q85" i="216"/>
  <c r="P86" i="216" s="1"/>
  <c r="I138" i="227"/>
  <c r="E85" i="229"/>
  <c r="D86" i="229" s="1"/>
  <c r="I142" i="227"/>
  <c r="Q85" i="220"/>
  <c r="P86" i="220" s="1"/>
  <c r="K85" i="216"/>
  <c r="J86" i="216" s="1"/>
  <c r="E85" i="223"/>
  <c r="D86" i="223" s="1"/>
  <c r="I145" i="227"/>
  <c r="Q85" i="227"/>
  <c r="W85" i="220"/>
  <c r="V86" i="220" s="1"/>
  <c r="I143" i="227"/>
  <c r="Q85" i="229"/>
  <c r="P86" i="229" s="1"/>
  <c r="Q85" i="223"/>
  <c r="P86" i="223" s="1"/>
  <c r="I86" i="227"/>
  <c r="U143" i="229"/>
  <c r="W85" i="227"/>
  <c r="V86" i="227" s="1"/>
  <c r="W85" i="216"/>
  <c r="V86" i="216" s="1"/>
  <c r="U145" i="229"/>
  <c r="I145" i="229"/>
  <c r="I134" i="216"/>
  <c r="I142" i="216" s="1"/>
  <c r="C143" i="227"/>
  <c r="C139" i="227"/>
  <c r="U138" i="229"/>
  <c r="U143" i="218"/>
  <c r="U134" i="223"/>
  <c r="U142" i="223" s="1"/>
  <c r="W85" i="225"/>
  <c r="V86" i="225" s="1"/>
  <c r="W85" i="229"/>
  <c r="V86" i="229" s="1"/>
  <c r="U145" i="218"/>
  <c r="U142" i="229"/>
  <c r="K85" i="218"/>
  <c r="J86" i="218" s="1"/>
  <c r="U141" i="229"/>
  <c r="I138" i="229"/>
  <c r="P90" i="229"/>
  <c r="Q90" i="229" s="1"/>
  <c r="C138" i="229"/>
  <c r="U79" i="229"/>
  <c r="U86" i="229"/>
  <c r="H89" i="229"/>
  <c r="H90" i="229"/>
  <c r="I90" i="229" s="1"/>
  <c r="C141" i="229"/>
  <c r="I142" i="229"/>
  <c r="T95" i="229"/>
  <c r="U95" i="229" s="1"/>
  <c r="T94" i="229"/>
  <c r="I86" i="229"/>
  <c r="I79" i="229"/>
  <c r="O79" i="229"/>
  <c r="O86" i="229"/>
  <c r="H95" i="229"/>
  <c r="I95" i="229" s="1"/>
  <c r="H94" i="229"/>
  <c r="T100" i="229"/>
  <c r="U100" i="229" s="1"/>
  <c r="T99" i="229"/>
  <c r="N101" i="229"/>
  <c r="P101" i="229" s="1"/>
  <c r="O99" i="229"/>
  <c r="B96" i="229"/>
  <c r="D96" i="229" s="1"/>
  <c r="C94" i="229"/>
  <c r="B100" i="229"/>
  <c r="C100" i="229" s="1"/>
  <c r="B99" i="229"/>
  <c r="D90" i="229"/>
  <c r="E90" i="229" s="1"/>
  <c r="C139" i="229"/>
  <c r="U89" i="229"/>
  <c r="T91" i="229"/>
  <c r="V91" i="229" s="1"/>
  <c r="C145" i="229"/>
  <c r="J100" i="229"/>
  <c r="K100" i="229" s="1"/>
  <c r="V90" i="229"/>
  <c r="W90" i="229" s="1"/>
  <c r="I143" i="229"/>
  <c r="C89" i="229"/>
  <c r="B91" i="229"/>
  <c r="D91" i="229" s="1"/>
  <c r="I141" i="229"/>
  <c r="C86" i="229"/>
  <c r="C79" i="229"/>
  <c r="O89" i="229"/>
  <c r="N91" i="229"/>
  <c r="P91" i="229" s="1"/>
  <c r="I99" i="229"/>
  <c r="H101" i="229"/>
  <c r="J101" i="229" s="1"/>
  <c r="C143" i="229"/>
  <c r="W96" i="227"/>
  <c r="H95" i="227"/>
  <c r="I95" i="227" s="1"/>
  <c r="H94" i="227"/>
  <c r="C99" i="227"/>
  <c r="B101" i="227"/>
  <c r="D101" i="227" s="1"/>
  <c r="P100" i="227"/>
  <c r="Q100" i="227" s="1"/>
  <c r="B96" i="227"/>
  <c r="D96" i="227" s="1"/>
  <c r="C94" i="227"/>
  <c r="P95" i="227"/>
  <c r="Q95" i="227" s="1"/>
  <c r="O79" i="227"/>
  <c r="O86" i="227"/>
  <c r="I91" i="227"/>
  <c r="J89" i="227"/>
  <c r="K89" i="227" s="1"/>
  <c r="C86" i="227"/>
  <c r="C79" i="227"/>
  <c r="T91" i="227"/>
  <c r="I141" i="227"/>
  <c r="D90" i="227"/>
  <c r="E90" i="227" s="1"/>
  <c r="N101" i="227"/>
  <c r="P101" i="227" s="1"/>
  <c r="J90" i="227"/>
  <c r="K90" i="227" s="1"/>
  <c r="C89" i="227"/>
  <c r="B91" i="227"/>
  <c r="C142" i="227"/>
  <c r="O101" i="227"/>
  <c r="P99" i="227"/>
  <c r="Q99" i="227" s="1"/>
  <c r="D95" i="227"/>
  <c r="E95" i="227" s="1"/>
  <c r="AX18" i="228"/>
  <c r="C141" i="227"/>
  <c r="C138" i="227"/>
  <c r="T100" i="227"/>
  <c r="U100" i="227" s="1"/>
  <c r="T99" i="227"/>
  <c r="O94" i="227"/>
  <c r="N96" i="227"/>
  <c r="P96" i="227" s="1"/>
  <c r="J100" i="227"/>
  <c r="K100" i="227" s="1"/>
  <c r="K101" i="227" s="1"/>
  <c r="K111" i="227" s="1"/>
  <c r="C145" i="227"/>
  <c r="U79" i="227"/>
  <c r="U86" i="227"/>
  <c r="V90" i="227"/>
  <c r="W90" i="227" s="1"/>
  <c r="W91" i="227" s="1"/>
  <c r="P89" i="227"/>
  <c r="Q89" i="227" s="1"/>
  <c r="D90" i="225"/>
  <c r="E90" i="225" s="1"/>
  <c r="U139" i="218"/>
  <c r="C142" i="225"/>
  <c r="H96" i="223"/>
  <c r="J96" i="223" s="1"/>
  <c r="U134" i="225"/>
  <c r="U143" i="225" s="1"/>
  <c r="AV18" i="226"/>
  <c r="AX18" i="226" s="1"/>
  <c r="I139" i="225"/>
  <c r="H99" i="225"/>
  <c r="H100" i="225"/>
  <c r="I100" i="225" s="1"/>
  <c r="C79" i="225"/>
  <c r="C86" i="225"/>
  <c r="P89" i="225"/>
  <c r="Q89" i="225" s="1"/>
  <c r="O91" i="225"/>
  <c r="D95" i="225"/>
  <c r="E95" i="225" s="1"/>
  <c r="O134" i="225"/>
  <c r="O145" i="225" s="1"/>
  <c r="C94" i="225"/>
  <c r="B96" i="225"/>
  <c r="D96" i="225" s="1"/>
  <c r="T95" i="225"/>
  <c r="U95" i="225" s="1"/>
  <c r="T94" i="225"/>
  <c r="I89" i="225"/>
  <c r="H91" i="225"/>
  <c r="J91" i="225" s="1"/>
  <c r="I141" i="225"/>
  <c r="P95" i="225"/>
  <c r="Q95" i="225" s="1"/>
  <c r="C89" i="225"/>
  <c r="B91" i="225"/>
  <c r="D91" i="225" s="1"/>
  <c r="H94" i="225"/>
  <c r="H95" i="225"/>
  <c r="I95" i="225" s="1"/>
  <c r="N96" i="225"/>
  <c r="P96" i="225" s="1"/>
  <c r="O86" i="225"/>
  <c r="O79" i="225"/>
  <c r="C139" i="225"/>
  <c r="I142" i="225"/>
  <c r="T99" i="225"/>
  <c r="T100" i="225"/>
  <c r="U100" i="225" s="1"/>
  <c r="P100" i="225"/>
  <c r="Q100" i="225" s="1"/>
  <c r="P94" i="225"/>
  <c r="Q94" i="225" s="1"/>
  <c r="O96" i="225"/>
  <c r="C145" i="225"/>
  <c r="C143" i="225"/>
  <c r="I143" i="225"/>
  <c r="C138" i="225"/>
  <c r="C35" i="226"/>
  <c r="C29" i="226"/>
  <c r="J90" i="225"/>
  <c r="K90" i="225" s="1"/>
  <c r="U79" i="225"/>
  <c r="U86" i="225"/>
  <c r="B7" i="225"/>
  <c r="O99" i="225"/>
  <c r="N101" i="225"/>
  <c r="P101" i="225" s="1"/>
  <c r="I145" i="225"/>
  <c r="T90" i="225"/>
  <c r="U90" i="225" s="1"/>
  <c r="T89" i="225"/>
  <c r="B100" i="225"/>
  <c r="C100" i="225" s="1"/>
  <c r="B99" i="225"/>
  <c r="I138" i="225"/>
  <c r="O141" i="223"/>
  <c r="O101" i="223"/>
  <c r="U142" i="218"/>
  <c r="U141" i="218"/>
  <c r="T96" i="220"/>
  <c r="V96" i="220" s="1"/>
  <c r="N101" i="223"/>
  <c r="P101" i="223" s="1"/>
  <c r="O143" i="216"/>
  <c r="I89" i="223"/>
  <c r="H91" i="223"/>
  <c r="J100" i="223"/>
  <c r="K100" i="223" s="1"/>
  <c r="I145" i="223"/>
  <c r="I142" i="223"/>
  <c r="I138" i="223"/>
  <c r="B7" i="223"/>
  <c r="C145" i="223"/>
  <c r="T96" i="223"/>
  <c r="V96" i="223" s="1"/>
  <c r="O139" i="223"/>
  <c r="O143" i="223"/>
  <c r="J94" i="223"/>
  <c r="K94" i="223" s="1"/>
  <c r="K96" i="223" s="1"/>
  <c r="I96" i="223"/>
  <c r="C139" i="223"/>
  <c r="I86" i="223"/>
  <c r="I79" i="223"/>
  <c r="O94" i="223"/>
  <c r="N96" i="223"/>
  <c r="P96" i="223" s="1"/>
  <c r="C143" i="223"/>
  <c r="V95" i="223"/>
  <c r="W95" i="223" s="1"/>
  <c r="W96" i="223" s="1"/>
  <c r="AV18" i="224"/>
  <c r="AX18" i="224" s="1"/>
  <c r="U86" i="223"/>
  <c r="U79" i="223"/>
  <c r="P90" i="223"/>
  <c r="Q90" i="223" s="1"/>
  <c r="C89" i="223"/>
  <c r="B91" i="223"/>
  <c r="D90" i="223"/>
  <c r="E90" i="223" s="1"/>
  <c r="D95" i="223"/>
  <c r="E95" i="223" s="1"/>
  <c r="Q101" i="223"/>
  <c r="Q111" i="223" s="1"/>
  <c r="C94" i="223"/>
  <c r="B96" i="223"/>
  <c r="D96" i="223" s="1"/>
  <c r="O86" i="223"/>
  <c r="O79" i="223"/>
  <c r="C138" i="223"/>
  <c r="B101" i="223"/>
  <c r="D101" i="223" s="1"/>
  <c r="C99" i="223"/>
  <c r="C141" i="223"/>
  <c r="C142" i="223"/>
  <c r="C79" i="223"/>
  <c r="C86" i="223"/>
  <c r="O138" i="223"/>
  <c r="U89" i="223"/>
  <c r="T91" i="223"/>
  <c r="V91" i="223" s="1"/>
  <c r="I143" i="223"/>
  <c r="I139" i="223"/>
  <c r="O142" i="223"/>
  <c r="P89" i="223"/>
  <c r="Q89" i="223" s="1"/>
  <c r="O91" i="223"/>
  <c r="I141" i="223"/>
  <c r="T99" i="223"/>
  <c r="T100" i="223"/>
  <c r="U100" i="223" s="1"/>
  <c r="I99" i="223"/>
  <c r="H101" i="223"/>
  <c r="J101" i="223" s="1"/>
  <c r="N91" i="223"/>
  <c r="O138" i="220"/>
  <c r="N90" i="220"/>
  <c r="O90" i="220" s="1"/>
  <c r="P90" i="220" s="1"/>
  <c r="Q90" i="220" s="1"/>
  <c r="I94" i="220"/>
  <c r="I96" i="220" s="1"/>
  <c r="I142" i="220"/>
  <c r="O145" i="220"/>
  <c r="O99" i="218"/>
  <c r="O101" i="218" s="1"/>
  <c r="I96" i="216"/>
  <c r="O142" i="220"/>
  <c r="I138" i="220"/>
  <c r="I139" i="220"/>
  <c r="O89" i="220"/>
  <c r="C96" i="220"/>
  <c r="D94" i="220"/>
  <c r="E94" i="220" s="1"/>
  <c r="C145" i="220"/>
  <c r="B101" i="220"/>
  <c r="C99" i="220"/>
  <c r="C89" i="220"/>
  <c r="B91" i="220"/>
  <c r="U86" i="220"/>
  <c r="U79" i="220"/>
  <c r="U134" i="220"/>
  <c r="U145" i="220" s="1"/>
  <c r="D90" i="220"/>
  <c r="E90" i="220" s="1"/>
  <c r="C138" i="220"/>
  <c r="J90" i="220"/>
  <c r="K90" i="220" s="1"/>
  <c r="C143" i="220"/>
  <c r="P100" i="220"/>
  <c r="Q100" i="220" s="1"/>
  <c r="O94" i="220"/>
  <c r="N96" i="220"/>
  <c r="P96" i="220" s="1"/>
  <c r="B96" i="220"/>
  <c r="D96" i="220" s="1"/>
  <c r="I141" i="220"/>
  <c r="AV18" i="221"/>
  <c r="AX18" i="221" s="1"/>
  <c r="N101" i="220"/>
  <c r="P101" i="220" s="1"/>
  <c r="O99" i="220"/>
  <c r="P95" i="220"/>
  <c r="Q95" i="220" s="1"/>
  <c r="T100" i="220"/>
  <c r="U100" i="220" s="1"/>
  <c r="T99" i="220"/>
  <c r="B7" i="220"/>
  <c r="H100" i="220"/>
  <c r="I100" i="220" s="1"/>
  <c r="H99" i="220"/>
  <c r="E85" i="220"/>
  <c r="D86" i="220" s="1"/>
  <c r="U96" i="220"/>
  <c r="V94" i="220"/>
  <c r="W94" i="220" s="1"/>
  <c r="W96" i="220" s="1"/>
  <c r="H91" i="220"/>
  <c r="I89" i="220"/>
  <c r="U89" i="220"/>
  <c r="T91" i="220"/>
  <c r="V91" i="220" s="1"/>
  <c r="C142" i="220"/>
  <c r="D95" i="220"/>
  <c r="E95" i="220" s="1"/>
  <c r="I86" i="220"/>
  <c r="I79" i="220"/>
  <c r="I145" i="220"/>
  <c r="C141" i="220"/>
  <c r="V90" i="220"/>
  <c r="W90" i="220" s="1"/>
  <c r="O86" i="220"/>
  <c r="O79" i="220"/>
  <c r="C86" i="220"/>
  <c r="C79" i="220"/>
  <c r="O141" i="220"/>
  <c r="O143" i="220"/>
  <c r="AV18" i="219"/>
  <c r="AX18" i="219" s="1"/>
  <c r="I143" i="218"/>
  <c r="B99" i="218"/>
  <c r="B101" i="218" s="1"/>
  <c r="D101" i="218" s="1"/>
  <c r="T99" i="216"/>
  <c r="U99" i="216" s="1"/>
  <c r="I141" i="218"/>
  <c r="N96" i="218"/>
  <c r="P96" i="218" s="1"/>
  <c r="H101" i="218"/>
  <c r="J101" i="218" s="1"/>
  <c r="B96" i="218"/>
  <c r="D96" i="218" s="1"/>
  <c r="C94" i="218"/>
  <c r="T91" i="218"/>
  <c r="V91" i="218" s="1"/>
  <c r="H96" i="216"/>
  <c r="J96" i="216" s="1"/>
  <c r="C89" i="218"/>
  <c r="B91" i="218"/>
  <c r="H91" i="218"/>
  <c r="I89" i="218"/>
  <c r="V90" i="218"/>
  <c r="W90" i="218" s="1"/>
  <c r="U99" i="218"/>
  <c r="T101" i="218"/>
  <c r="V101" i="218" s="1"/>
  <c r="O79" i="218"/>
  <c r="O86" i="218"/>
  <c r="J95" i="218"/>
  <c r="K95" i="218" s="1"/>
  <c r="I145" i="218"/>
  <c r="I142" i="218"/>
  <c r="I138" i="218"/>
  <c r="B7" i="218"/>
  <c r="P94" i="218"/>
  <c r="Q94" i="218" s="1"/>
  <c r="O96" i="218"/>
  <c r="V100" i="218"/>
  <c r="W100" i="218" s="1"/>
  <c r="J90" i="218"/>
  <c r="K90" i="218" s="1"/>
  <c r="J99" i="218"/>
  <c r="K99" i="218" s="1"/>
  <c r="I101" i="218"/>
  <c r="D90" i="218"/>
  <c r="E90" i="218" s="1"/>
  <c r="I94" i="218"/>
  <c r="H96" i="218"/>
  <c r="J96" i="218" s="1"/>
  <c r="D100" i="218"/>
  <c r="E100" i="218" s="1"/>
  <c r="C141" i="218"/>
  <c r="E85" i="218"/>
  <c r="D86" i="218" s="1"/>
  <c r="U86" i="218"/>
  <c r="U79" i="218"/>
  <c r="C139" i="218"/>
  <c r="T96" i="218"/>
  <c r="V96" i="218" s="1"/>
  <c r="U94" i="218"/>
  <c r="C143" i="218"/>
  <c r="C86" i="218"/>
  <c r="C79" i="218"/>
  <c r="J100" i="218"/>
  <c r="K100" i="218" s="1"/>
  <c r="C145" i="218"/>
  <c r="V89" i="218"/>
  <c r="W89" i="218" s="1"/>
  <c r="U91" i="218"/>
  <c r="O134" i="218"/>
  <c r="O145" i="218" s="1"/>
  <c r="O89" i="218"/>
  <c r="N91" i="218"/>
  <c r="P95" i="218"/>
  <c r="Q95" i="218" s="1"/>
  <c r="C138" i="218"/>
  <c r="I86" i="218"/>
  <c r="I79" i="218"/>
  <c r="K96" i="216"/>
  <c r="U143" i="216"/>
  <c r="U138" i="216"/>
  <c r="O138" i="216"/>
  <c r="C143" i="216"/>
  <c r="U141" i="216"/>
  <c r="B96" i="216"/>
  <c r="D96" i="216" s="1"/>
  <c r="C94" i="216"/>
  <c r="C141" i="216"/>
  <c r="H101" i="216"/>
  <c r="J101" i="216" s="1"/>
  <c r="N96" i="216"/>
  <c r="P96" i="216" s="1"/>
  <c r="O141" i="216"/>
  <c r="C142" i="216"/>
  <c r="O86" i="216"/>
  <c r="O79" i="216"/>
  <c r="B89" i="216"/>
  <c r="B90" i="216"/>
  <c r="C90" i="216" s="1"/>
  <c r="B100" i="216"/>
  <c r="C100" i="216" s="1"/>
  <c r="B99" i="216"/>
  <c r="O142" i="216"/>
  <c r="U145" i="216"/>
  <c r="O145" i="216"/>
  <c r="C139" i="216"/>
  <c r="C138" i="216"/>
  <c r="N101" i="216"/>
  <c r="P101" i="216" s="1"/>
  <c r="O99" i="216"/>
  <c r="T96" i="216"/>
  <c r="V96" i="216" s="1"/>
  <c r="U94" i="216"/>
  <c r="U142" i="216"/>
  <c r="C86" i="216"/>
  <c r="C79" i="216"/>
  <c r="C145" i="216"/>
  <c r="P100" i="216"/>
  <c r="Q100" i="216" s="1"/>
  <c r="H91" i="216"/>
  <c r="I89" i="216"/>
  <c r="J90" i="216"/>
  <c r="K90" i="216" s="1"/>
  <c r="P95" i="216"/>
  <c r="Q95" i="216" s="1"/>
  <c r="Q96" i="216" s="1"/>
  <c r="J100" i="216"/>
  <c r="K100" i="216" s="1"/>
  <c r="K101" i="216" s="1"/>
  <c r="K111" i="216" s="1"/>
  <c r="V100" i="216"/>
  <c r="W100" i="216" s="1"/>
  <c r="E85" i="216"/>
  <c r="D86" i="216" s="1"/>
  <c r="V90" i="216"/>
  <c r="W90" i="216" s="1"/>
  <c r="N90" i="216"/>
  <c r="O90" i="216" s="1"/>
  <c r="N89" i="216"/>
  <c r="AV18" i="217"/>
  <c r="AX18" i="217" s="1"/>
  <c r="U89" i="216"/>
  <c r="T91" i="216"/>
  <c r="V91" i="216" s="1"/>
  <c r="U141" i="227" l="1"/>
  <c r="B15" i="227" s="1"/>
  <c r="B13" i="228" s="1"/>
  <c r="U138" i="223"/>
  <c r="B12" i="223" s="1"/>
  <c r="B10" i="224" s="1"/>
  <c r="R10" i="224" s="1"/>
  <c r="V91" i="227"/>
  <c r="U142" i="227"/>
  <c r="B16" i="227" s="1"/>
  <c r="B14" i="228" s="1"/>
  <c r="U143" i="227"/>
  <c r="B17" i="227" s="1"/>
  <c r="B15" i="228" s="1"/>
  <c r="AW15" i="228" s="1"/>
  <c r="B8" i="227"/>
  <c r="B6" i="228" s="1"/>
  <c r="AA6" i="228" s="1"/>
  <c r="U139" i="227"/>
  <c r="B13" i="227" s="1"/>
  <c r="B11" i="228" s="1"/>
  <c r="T11" i="228" s="1"/>
  <c r="U138" i="227"/>
  <c r="B12" i="227" s="1"/>
  <c r="P90" i="227"/>
  <c r="Q90" i="227" s="1"/>
  <c r="Q91" i="227" s="1"/>
  <c r="P91" i="227" s="1"/>
  <c r="O139" i="229"/>
  <c r="B13" i="229" s="1"/>
  <c r="B11" i="230" s="1"/>
  <c r="AW11" i="230" s="1"/>
  <c r="I139" i="216"/>
  <c r="B13" i="216" s="1"/>
  <c r="B11" i="217" s="1"/>
  <c r="O145" i="229"/>
  <c r="B19" i="229" s="1"/>
  <c r="B17" i="230" s="1"/>
  <c r="X17" i="230" s="1"/>
  <c r="I143" i="216"/>
  <c r="I138" i="216"/>
  <c r="B12" i="216" s="1"/>
  <c r="P86" i="227"/>
  <c r="I145" i="216"/>
  <c r="B19" i="216" s="1"/>
  <c r="B17" i="217" s="1"/>
  <c r="AW17" i="217" s="1"/>
  <c r="O143" i="229"/>
  <c r="B17" i="229" s="1"/>
  <c r="B15" i="230" s="1"/>
  <c r="AW15" i="230" s="1"/>
  <c r="Q91" i="225"/>
  <c r="B8" i="229"/>
  <c r="B6" i="230" s="1"/>
  <c r="Y6" i="230" s="1"/>
  <c r="O142" i="229"/>
  <c r="B16" i="229" s="1"/>
  <c r="B14" i="230" s="1"/>
  <c r="AB14" i="230" s="1"/>
  <c r="O138" i="229"/>
  <c r="B12" i="229" s="1"/>
  <c r="U143" i="223"/>
  <c r="B17" i="223" s="1"/>
  <c r="B15" i="224" s="1"/>
  <c r="B8" i="223"/>
  <c r="B6" i="224" s="1"/>
  <c r="AW6" i="224" s="1"/>
  <c r="B19" i="227"/>
  <c r="B17" i="228" s="1"/>
  <c r="AH17" i="228" s="1"/>
  <c r="B15" i="229"/>
  <c r="B13" i="230" s="1"/>
  <c r="AE13" i="230" s="1"/>
  <c r="O139" i="225"/>
  <c r="AD5" i="228"/>
  <c r="AG5" i="228"/>
  <c r="AC5" i="228"/>
  <c r="AB5" i="228"/>
  <c r="AA5" i="228"/>
  <c r="AF5" i="228"/>
  <c r="AE5" i="228"/>
  <c r="I141" i="216"/>
  <c r="B15" i="216" s="1"/>
  <c r="B13" i="217" s="1"/>
  <c r="U145" i="223"/>
  <c r="B19" i="223" s="1"/>
  <c r="B17" i="224" s="1"/>
  <c r="U139" i="223"/>
  <c r="B13" i="223" s="1"/>
  <c r="B11" i="224" s="1"/>
  <c r="Q101" i="227"/>
  <c r="Q111" i="227" s="1"/>
  <c r="U141" i="223"/>
  <c r="B15" i="223" s="1"/>
  <c r="B13" i="224" s="1"/>
  <c r="B8" i="216"/>
  <c r="B6" i="217" s="1"/>
  <c r="L6" i="217" s="1"/>
  <c r="U139" i="225"/>
  <c r="O143" i="225"/>
  <c r="B17" i="225" s="1"/>
  <c r="B15" i="226" s="1"/>
  <c r="K91" i="227"/>
  <c r="J91" i="227" s="1"/>
  <c r="O141" i="225"/>
  <c r="D89" i="229"/>
  <c r="E89" i="229" s="1"/>
  <c r="E91" i="229" s="1"/>
  <c r="C91" i="229"/>
  <c r="V95" i="229"/>
  <c r="W95" i="229" s="1"/>
  <c r="X5" i="230"/>
  <c r="AW5" i="230"/>
  <c r="W5" i="230"/>
  <c r="V5" i="230"/>
  <c r="AG5" i="230"/>
  <c r="U5" i="230"/>
  <c r="AB5" i="230"/>
  <c r="AA5" i="230"/>
  <c r="Z5" i="230"/>
  <c r="T5" i="230"/>
  <c r="AE5" i="230"/>
  <c r="AF5" i="230"/>
  <c r="AD5" i="230"/>
  <c r="AC5" i="230"/>
  <c r="Y5" i="230"/>
  <c r="J99" i="229"/>
  <c r="K99" i="229" s="1"/>
  <c r="K101" i="229" s="1"/>
  <c r="K111" i="229" s="1"/>
  <c r="I101" i="229"/>
  <c r="B101" i="229"/>
  <c r="D101" i="229" s="1"/>
  <c r="C99" i="229"/>
  <c r="D100" i="229"/>
  <c r="E100" i="229" s="1"/>
  <c r="V89" i="229"/>
  <c r="W89" i="229" s="1"/>
  <c r="W91" i="229" s="1"/>
  <c r="U91" i="229"/>
  <c r="C96" i="229"/>
  <c r="D94" i="229"/>
  <c r="E94" i="229" s="1"/>
  <c r="E96" i="229" s="1"/>
  <c r="J90" i="229"/>
  <c r="K90" i="229" s="1"/>
  <c r="V100" i="229"/>
  <c r="W100" i="229" s="1"/>
  <c r="P89" i="229"/>
  <c r="Q89" i="229" s="1"/>
  <c r="Q91" i="229" s="1"/>
  <c r="O91" i="229"/>
  <c r="O148" i="229" s="1"/>
  <c r="H96" i="229"/>
  <c r="J96" i="229" s="1"/>
  <c r="I94" i="229"/>
  <c r="H91" i="229"/>
  <c r="J91" i="229" s="1"/>
  <c r="I89" i="229"/>
  <c r="J95" i="229"/>
  <c r="K95" i="229" s="1"/>
  <c r="O101" i="229"/>
  <c r="P99" i="229"/>
  <c r="Q99" i="229" s="1"/>
  <c r="Q101" i="229" s="1"/>
  <c r="Q111" i="229" s="1"/>
  <c r="T101" i="229"/>
  <c r="V101" i="229" s="1"/>
  <c r="U99" i="229"/>
  <c r="T96" i="229"/>
  <c r="V96" i="229" s="1"/>
  <c r="U94" i="229"/>
  <c r="U149" i="227"/>
  <c r="W110" i="227"/>
  <c r="I94" i="227"/>
  <c r="H96" i="227"/>
  <c r="J96" i="227" s="1"/>
  <c r="J95" i="227"/>
  <c r="K95" i="227" s="1"/>
  <c r="S5" i="228"/>
  <c r="R5" i="228"/>
  <c r="Q5" i="228"/>
  <c r="AW5" i="228"/>
  <c r="Z5" i="228"/>
  <c r="N25" i="228"/>
  <c r="N40" i="228" s="1"/>
  <c r="T5" i="228"/>
  <c r="Y5" i="228"/>
  <c r="X5" i="228"/>
  <c r="W5" i="228"/>
  <c r="V5" i="228"/>
  <c r="U5" i="228"/>
  <c r="P94" i="227"/>
  <c r="Q94" i="227" s="1"/>
  <c r="Q96" i="227" s="1"/>
  <c r="O96" i="227"/>
  <c r="O148" i="227" s="1"/>
  <c r="U99" i="227"/>
  <c r="T101" i="227"/>
  <c r="V101" i="227" s="1"/>
  <c r="C96" i="227"/>
  <c r="D94" i="227"/>
  <c r="E94" i="227" s="1"/>
  <c r="E96" i="227" s="1"/>
  <c r="V100" i="227"/>
  <c r="W100" i="227" s="1"/>
  <c r="D89" i="227"/>
  <c r="E89" i="227" s="1"/>
  <c r="E91" i="227" s="1"/>
  <c r="D91" i="227" s="1"/>
  <c r="C91" i="227"/>
  <c r="D99" i="227"/>
  <c r="E99" i="227" s="1"/>
  <c r="E101" i="227" s="1"/>
  <c r="E111" i="227" s="1"/>
  <c r="C101" i="227"/>
  <c r="O138" i="225"/>
  <c r="O142" i="225"/>
  <c r="P99" i="218"/>
  <c r="Q99" i="218" s="1"/>
  <c r="Q101" i="218" s="1"/>
  <c r="Q111" i="218" s="1"/>
  <c r="O148" i="225"/>
  <c r="B5" i="226"/>
  <c r="D100" i="225"/>
  <c r="E100" i="225" s="1"/>
  <c r="I91" i="225"/>
  <c r="J89" i="225"/>
  <c r="K89" i="225" s="1"/>
  <c r="K91" i="225" s="1"/>
  <c r="U94" i="225"/>
  <c r="T96" i="225"/>
  <c r="V96" i="225" s="1"/>
  <c r="V100" i="225"/>
  <c r="W100" i="225" s="1"/>
  <c r="J95" i="225"/>
  <c r="K95" i="225" s="1"/>
  <c r="V95" i="225"/>
  <c r="W95" i="225" s="1"/>
  <c r="U138" i="225"/>
  <c r="U141" i="225"/>
  <c r="B8" i="225"/>
  <c r="B6" i="226" s="1"/>
  <c r="U99" i="225"/>
  <c r="T101" i="225"/>
  <c r="V101" i="225" s="1"/>
  <c r="I94" i="225"/>
  <c r="H96" i="225"/>
  <c r="J96" i="225" s="1"/>
  <c r="U142" i="225"/>
  <c r="B101" i="225"/>
  <c r="D101" i="225" s="1"/>
  <c r="C99" i="225"/>
  <c r="U89" i="225"/>
  <c r="T91" i="225"/>
  <c r="V91" i="225" s="1"/>
  <c r="O101" i="225"/>
  <c r="P99" i="225"/>
  <c r="Q99" i="225" s="1"/>
  <c r="Q101" i="225" s="1"/>
  <c r="Q111" i="225" s="1"/>
  <c r="U145" i="225"/>
  <c r="B19" i="225" s="1"/>
  <c r="B17" i="226" s="1"/>
  <c r="D89" i="225"/>
  <c r="E89" i="225" s="1"/>
  <c r="E91" i="225" s="1"/>
  <c r="C91" i="225"/>
  <c r="C96" i="225"/>
  <c r="D94" i="225"/>
  <c r="E94" i="225" s="1"/>
  <c r="E96" i="225" s="1"/>
  <c r="J100" i="225"/>
  <c r="K100" i="225" s="1"/>
  <c r="V90" i="225"/>
  <c r="W90" i="225" s="1"/>
  <c r="Q96" i="225"/>
  <c r="I99" i="225"/>
  <c r="H101" i="225"/>
  <c r="J101" i="225" s="1"/>
  <c r="Q91" i="223"/>
  <c r="B17" i="216"/>
  <c r="B15" i="217" s="1"/>
  <c r="M15" i="217" s="1"/>
  <c r="C99" i="218"/>
  <c r="D99" i="218" s="1"/>
  <c r="E99" i="218" s="1"/>
  <c r="E101" i="218" s="1"/>
  <c r="E111" i="218" s="1"/>
  <c r="N91" i="220"/>
  <c r="T101" i="216"/>
  <c r="V101" i="216" s="1"/>
  <c r="O138" i="218"/>
  <c r="B12" i="218" s="1"/>
  <c r="B10" i="219" s="1"/>
  <c r="J94" i="220"/>
  <c r="K94" i="220" s="1"/>
  <c r="K96" i="220" s="1"/>
  <c r="O142" i="218"/>
  <c r="B16" i="218" s="1"/>
  <c r="B14" i="219" s="1"/>
  <c r="P94" i="223"/>
  <c r="Q94" i="223" s="1"/>
  <c r="Q96" i="223" s="1"/>
  <c r="O96" i="223"/>
  <c r="O148" i="223" s="1"/>
  <c r="J99" i="223"/>
  <c r="K99" i="223" s="1"/>
  <c r="K101" i="223" s="1"/>
  <c r="K111" i="223" s="1"/>
  <c r="I101" i="223"/>
  <c r="V100" i="223"/>
  <c r="W100" i="223" s="1"/>
  <c r="P91" i="223"/>
  <c r="T101" i="223"/>
  <c r="V101" i="223" s="1"/>
  <c r="U99" i="223"/>
  <c r="B16" i="223"/>
  <c r="B14" i="224" s="1"/>
  <c r="B5" i="224"/>
  <c r="V89" i="223"/>
  <c r="W89" i="223" s="1"/>
  <c r="W91" i="223" s="1"/>
  <c r="U91" i="223"/>
  <c r="U148" i="223" s="1"/>
  <c r="D89" i="223"/>
  <c r="E89" i="223" s="1"/>
  <c r="E91" i="223" s="1"/>
  <c r="C91" i="223"/>
  <c r="C96" i="223"/>
  <c r="D94" i="223"/>
  <c r="E94" i="223" s="1"/>
  <c r="E96" i="223" s="1"/>
  <c r="I91" i="223"/>
  <c r="I148" i="223" s="1"/>
  <c r="J89" i="223"/>
  <c r="K89" i="223" s="1"/>
  <c r="K91" i="223" s="1"/>
  <c r="D99" i="223"/>
  <c r="E99" i="223" s="1"/>
  <c r="E101" i="223" s="1"/>
  <c r="E111" i="223" s="1"/>
  <c r="C101" i="223"/>
  <c r="U139" i="220"/>
  <c r="B13" i="220" s="1"/>
  <c r="B11" i="221" s="1"/>
  <c r="AW11" i="221" s="1"/>
  <c r="E96" i="220"/>
  <c r="J100" i="220"/>
  <c r="K100" i="220" s="1"/>
  <c r="U138" i="220"/>
  <c r="B12" i="220" s="1"/>
  <c r="B10" i="221" s="1"/>
  <c r="U141" i="220"/>
  <c r="B15" i="220" s="1"/>
  <c r="B13" i="221" s="1"/>
  <c r="D99" i="220"/>
  <c r="E99" i="220" s="1"/>
  <c r="E101" i="220" s="1"/>
  <c r="E111" i="220" s="1"/>
  <c r="C101" i="220"/>
  <c r="I91" i="220"/>
  <c r="I148" i="220" s="1"/>
  <c r="J89" i="220"/>
  <c r="K89" i="220" s="1"/>
  <c r="K91" i="220" s="1"/>
  <c r="B8" i="220"/>
  <c r="B6" i="221" s="1"/>
  <c r="B5" i="221"/>
  <c r="P94" i="220"/>
  <c r="Q94" i="220" s="1"/>
  <c r="Q96" i="220" s="1"/>
  <c r="O96" i="220"/>
  <c r="O101" i="220"/>
  <c r="P99" i="220"/>
  <c r="Q99" i="220" s="1"/>
  <c r="Q101" i="220" s="1"/>
  <c r="Q111" i="220" s="1"/>
  <c r="P89" i="220"/>
  <c r="Q89" i="220" s="1"/>
  <c r="Q91" i="220" s="1"/>
  <c r="O91" i="220"/>
  <c r="I99" i="220"/>
  <c r="H101" i="220"/>
  <c r="U143" i="220"/>
  <c r="B17" i="220" s="1"/>
  <c r="V89" i="220"/>
  <c r="W89" i="220" s="1"/>
  <c r="W91" i="220" s="1"/>
  <c r="U91" i="220"/>
  <c r="U148" i="220" s="1"/>
  <c r="T101" i="220"/>
  <c r="V101" i="220" s="1"/>
  <c r="U99" i="220"/>
  <c r="V100" i="220"/>
  <c r="W100" i="220" s="1"/>
  <c r="U142" i="220"/>
  <c r="B16" i="220" s="1"/>
  <c r="B14" i="221" s="1"/>
  <c r="D89" i="220"/>
  <c r="E89" i="220" s="1"/>
  <c r="E91" i="220" s="1"/>
  <c r="C91" i="220"/>
  <c r="C148" i="220" s="1"/>
  <c r="B19" i="220"/>
  <c r="B17" i="221" s="1"/>
  <c r="K101" i="218"/>
  <c r="K111" i="218" s="1"/>
  <c r="C96" i="218"/>
  <c r="D94" i="218"/>
  <c r="E94" i="218" s="1"/>
  <c r="E96" i="218" s="1"/>
  <c r="Q96" i="218"/>
  <c r="W91" i="218"/>
  <c r="P89" i="218"/>
  <c r="Q89" i="218" s="1"/>
  <c r="Q91" i="218" s="1"/>
  <c r="O91" i="218"/>
  <c r="O148" i="218" s="1"/>
  <c r="U96" i="218"/>
  <c r="U148" i="218" s="1"/>
  <c r="V94" i="218"/>
  <c r="W94" i="218" s="1"/>
  <c r="W96" i="218" s="1"/>
  <c r="B19" i="218"/>
  <c r="B17" i="219" s="1"/>
  <c r="M17" i="219" s="1"/>
  <c r="V99" i="218"/>
  <c r="W99" i="218" s="1"/>
  <c r="W101" i="218" s="1"/>
  <c r="W111" i="218" s="1"/>
  <c r="U101" i="218"/>
  <c r="I91" i="218"/>
  <c r="J89" i="218"/>
  <c r="K89" i="218" s="1"/>
  <c r="K91" i="218" s="1"/>
  <c r="J94" i="218"/>
  <c r="K94" i="218" s="1"/>
  <c r="K96" i="218" s="1"/>
  <c r="I96" i="218"/>
  <c r="O139" i="218"/>
  <c r="O143" i="218"/>
  <c r="B17" i="218" s="1"/>
  <c r="B15" i="219" s="1"/>
  <c r="O141" i="218"/>
  <c r="B15" i="218" s="1"/>
  <c r="B13" i="219" s="1"/>
  <c r="B5" i="219"/>
  <c r="B8" i="218"/>
  <c r="B6" i="219" s="1"/>
  <c r="D89" i="218"/>
  <c r="E89" i="218" s="1"/>
  <c r="E91" i="218" s="1"/>
  <c r="C91" i="218"/>
  <c r="R5" i="217"/>
  <c r="Q5" i="217"/>
  <c r="P5" i="217"/>
  <c r="O5" i="217"/>
  <c r="O101" i="216"/>
  <c r="P99" i="216"/>
  <c r="Q99" i="216" s="1"/>
  <c r="Q101" i="216" s="1"/>
  <c r="Q111" i="216" s="1"/>
  <c r="V89" i="216"/>
  <c r="W89" i="216" s="1"/>
  <c r="W91" i="216" s="1"/>
  <c r="U91" i="216"/>
  <c r="B16" i="216"/>
  <c r="B14" i="217" s="1"/>
  <c r="C96" i="216"/>
  <c r="D94" i="216"/>
  <c r="E94" i="216" s="1"/>
  <c r="E96" i="216" s="1"/>
  <c r="O89" i="216"/>
  <c r="N91" i="216"/>
  <c r="B101" i="216"/>
  <c r="C99" i="216"/>
  <c r="P90" i="216"/>
  <c r="Q90" i="216" s="1"/>
  <c r="V99" i="216"/>
  <c r="W99" i="216" s="1"/>
  <c r="W101" i="216" s="1"/>
  <c r="W111" i="216" s="1"/>
  <c r="U101" i="216"/>
  <c r="D100" i="216"/>
  <c r="E100" i="216" s="1"/>
  <c r="D90" i="216"/>
  <c r="E90" i="216" s="1"/>
  <c r="I91" i="216"/>
  <c r="I148" i="216" s="1"/>
  <c r="J89" i="216"/>
  <c r="K89" i="216" s="1"/>
  <c r="K91" i="216" s="1"/>
  <c r="U96" i="216"/>
  <c r="V94" i="216"/>
  <c r="W94" i="216" s="1"/>
  <c r="W96" i="216" s="1"/>
  <c r="C89" i="216"/>
  <c r="B91" i="216"/>
  <c r="H5" i="217"/>
  <c r="G5" i="217"/>
  <c r="F5" i="217"/>
  <c r="AW5" i="217"/>
  <c r="E5" i="217"/>
  <c r="D5" i="217"/>
  <c r="N5" i="217"/>
  <c r="M5" i="217"/>
  <c r="L5" i="217"/>
  <c r="K5" i="217"/>
  <c r="J5" i="217"/>
  <c r="I5" i="217"/>
  <c r="C5" i="217"/>
  <c r="O6" i="224" l="1"/>
  <c r="T6" i="224"/>
  <c r="U6" i="224"/>
  <c r="Q6" i="228"/>
  <c r="AF6" i="228"/>
  <c r="AC6" i="228"/>
  <c r="Z6" i="228"/>
  <c r="W6" i="228"/>
  <c r="AG6" i="228"/>
  <c r="S6" i="228"/>
  <c r="R6" i="228"/>
  <c r="AB6" i="226"/>
  <c r="Z6" i="226"/>
  <c r="W6" i="226"/>
  <c r="AA6" i="226"/>
  <c r="Y6" i="226"/>
  <c r="X6" i="226"/>
  <c r="U6" i="226"/>
  <c r="T6" i="226"/>
  <c r="S6" i="226"/>
  <c r="AC6" i="226"/>
  <c r="R6" i="226"/>
  <c r="V6" i="226"/>
  <c r="R15" i="224"/>
  <c r="T15" i="224"/>
  <c r="S15" i="224"/>
  <c r="U15" i="224"/>
  <c r="V15" i="224"/>
  <c r="W15" i="224"/>
  <c r="X15" i="224"/>
  <c r="Y15" i="224"/>
  <c r="R14" i="224"/>
  <c r="Y14" i="224"/>
  <c r="X14" i="224"/>
  <c r="U14" i="224"/>
  <c r="W14" i="224"/>
  <c r="T14" i="224"/>
  <c r="S14" i="224"/>
  <c r="V14" i="224"/>
  <c r="V6" i="224"/>
  <c r="V15" i="226"/>
  <c r="U15" i="226"/>
  <c r="W15" i="226"/>
  <c r="X15" i="226"/>
  <c r="Y15" i="226"/>
  <c r="Z15" i="226"/>
  <c r="AA15" i="226"/>
  <c r="AB15" i="226"/>
  <c r="M6" i="224"/>
  <c r="N6" i="224"/>
  <c r="AW6" i="228"/>
  <c r="AC5" i="226"/>
  <c r="AB5" i="226"/>
  <c r="AA5" i="226"/>
  <c r="X5" i="226"/>
  <c r="Z5" i="226"/>
  <c r="Y5" i="226"/>
  <c r="W5" i="226"/>
  <c r="S5" i="226"/>
  <c r="V5" i="226"/>
  <c r="T5" i="226"/>
  <c r="R5" i="226"/>
  <c r="U5" i="226"/>
  <c r="Z6" i="224"/>
  <c r="Y13" i="224"/>
  <c r="V13" i="224"/>
  <c r="W13" i="224"/>
  <c r="X13" i="224"/>
  <c r="U13" i="224"/>
  <c r="T13" i="224"/>
  <c r="S13" i="224"/>
  <c r="R13" i="224"/>
  <c r="X6" i="224"/>
  <c r="V6" i="228"/>
  <c r="T13" i="219"/>
  <c r="Q13" i="219"/>
  <c r="P13" i="219"/>
  <c r="S13" i="219"/>
  <c r="N13" i="219"/>
  <c r="R13" i="219"/>
  <c r="O13" i="219"/>
  <c r="L13" i="219"/>
  <c r="K13" i="219"/>
  <c r="J13" i="219"/>
  <c r="U13" i="219"/>
  <c r="M13" i="219"/>
  <c r="Q6" i="224"/>
  <c r="AB13" i="230"/>
  <c r="AC13" i="230"/>
  <c r="AE6" i="228"/>
  <c r="AD6" i="228"/>
  <c r="T6" i="228"/>
  <c r="U6" i="228"/>
  <c r="AB6" i="228"/>
  <c r="Y6" i="228"/>
  <c r="X6" i="228"/>
  <c r="O149" i="227"/>
  <c r="AA13" i="230"/>
  <c r="P6" i="224"/>
  <c r="AW13" i="230"/>
  <c r="AA6" i="230"/>
  <c r="Z6" i="230"/>
  <c r="R6" i="224"/>
  <c r="U11" i="228"/>
  <c r="Q11" i="228"/>
  <c r="R11" i="228"/>
  <c r="Y6" i="224"/>
  <c r="AF13" i="230"/>
  <c r="S6" i="224"/>
  <c r="Y13" i="230"/>
  <c r="S11" i="228"/>
  <c r="W6" i="224"/>
  <c r="Z13" i="230"/>
  <c r="B16" i="225"/>
  <c r="B14" i="226" s="1"/>
  <c r="AW11" i="228"/>
  <c r="AD13" i="230"/>
  <c r="R17" i="224"/>
  <c r="AV17" i="224" s="1"/>
  <c r="AW17" i="224"/>
  <c r="AB6" i="230"/>
  <c r="U6" i="230"/>
  <c r="V6" i="230"/>
  <c r="AF6" i="230"/>
  <c r="T6" i="230"/>
  <c r="I6" i="217"/>
  <c r="W6" i="230"/>
  <c r="N6" i="217"/>
  <c r="AD6" i="230"/>
  <c r="X6" i="230"/>
  <c r="AC6" i="230"/>
  <c r="AG6" i="230"/>
  <c r="AW6" i="230"/>
  <c r="AE6" i="230"/>
  <c r="W11" i="230"/>
  <c r="O15" i="217"/>
  <c r="O149" i="225"/>
  <c r="B13" i="225"/>
  <c r="B11" i="226" s="1"/>
  <c r="R11" i="226" s="1"/>
  <c r="H6" i="217"/>
  <c r="Q15" i="217"/>
  <c r="V11" i="230"/>
  <c r="T11" i="230"/>
  <c r="X11" i="230"/>
  <c r="U11" i="230"/>
  <c r="AW6" i="217"/>
  <c r="Q6" i="217"/>
  <c r="B15" i="225"/>
  <c r="B13" i="226" s="1"/>
  <c r="R15" i="217"/>
  <c r="P6" i="217"/>
  <c r="C148" i="227"/>
  <c r="G6" i="217"/>
  <c r="R6" i="217"/>
  <c r="K6" i="217"/>
  <c r="E6" i="217"/>
  <c r="D6" i="217"/>
  <c r="M6" i="217"/>
  <c r="C6" i="217"/>
  <c r="J6" i="217"/>
  <c r="O6" i="217"/>
  <c r="N15" i="217"/>
  <c r="AW17" i="228"/>
  <c r="AD14" i="230"/>
  <c r="AA14" i="230"/>
  <c r="Y14" i="230"/>
  <c r="Z14" i="230"/>
  <c r="AI17" i="228"/>
  <c r="AE14" i="230"/>
  <c r="AW14" i="230"/>
  <c r="AC14" i="230"/>
  <c r="AF14" i="230"/>
  <c r="AW17" i="230"/>
  <c r="C148" i="229"/>
  <c r="AC13" i="228"/>
  <c r="AB13" i="228"/>
  <c r="AA13" i="228"/>
  <c r="AF13" i="228"/>
  <c r="Z13" i="228"/>
  <c r="Y13" i="228"/>
  <c r="X13" i="228"/>
  <c r="W13" i="228"/>
  <c r="V13" i="228"/>
  <c r="AG13" i="228"/>
  <c r="AE13" i="228"/>
  <c r="AD13" i="228"/>
  <c r="AD14" i="228"/>
  <c r="AG14" i="228"/>
  <c r="AC14" i="228"/>
  <c r="AB14" i="228"/>
  <c r="AA14" i="228"/>
  <c r="Z14" i="228"/>
  <c r="V14" i="228"/>
  <c r="Y14" i="228"/>
  <c r="W14" i="228"/>
  <c r="X14" i="228"/>
  <c r="AF14" i="228"/>
  <c r="AE14" i="228"/>
  <c r="AC15" i="228"/>
  <c r="V15" i="228"/>
  <c r="AE15" i="228"/>
  <c r="AB15" i="228"/>
  <c r="AA15" i="228"/>
  <c r="Z15" i="228"/>
  <c r="AF15" i="228"/>
  <c r="Y15" i="228"/>
  <c r="X15" i="228"/>
  <c r="AG15" i="228"/>
  <c r="W15" i="228"/>
  <c r="AD15" i="228"/>
  <c r="AB15" i="230"/>
  <c r="AA15" i="230"/>
  <c r="AE15" i="230"/>
  <c r="Z15" i="230"/>
  <c r="AF15" i="230"/>
  <c r="Y15" i="230"/>
  <c r="AD15" i="230"/>
  <c r="AC15" i="230"/>
  <c r="F6" i="217"/>
  <c r="O149" i="229"/>
  <c r="Q110" i="229"/>
  <c r="E110" i="229"/>
  <c r="C149" i="229"/>
  <c r="C101" i="229"/>
  <c r="D99" i="229"/>
  <c r="E99" i="229" s="1"/>
  <c r="E101" i="229" s="1"/>
  <c r="E111" i="229" s="1"/>
  <c r="U96" i="229"/>
  <c r="U148" i="229" s="1"/>
  <c r="V94" i="229"/>
  <c r="W94" i="229" s="1"/>
  <c r="W96" i="229" s="1"/>
  <c r="U149" i="229" s="1"/>
  <c r="I91" i="229"/>
  <c r="J89" i="229"/>
  <c r="K89" i="229" s="1"/>
  <c r="K91" i="229" s="1"/>
  <c r="B10" i="230"/>
  <c r="V99" i="229"/>
  <c r="W99" i="229" s="1"/>
  <c r="W101" i="229" s="1"/>
  <c r="W111" i="229" s="1"/>
  <c r="U101" i="229"/>
  <c r="AV5" i="230"/>
  <c r="AX5" i="230" s="1"/>
  <c r="J94" i="229"/>
  <c r="K94" i="229" s="1"/>
  <c r="K96" i="229" s="1"/>
  <c r="I96" i="229"/>
  <c r="AV17" i="230"/>
  <c r="AW14" i="228"/>
  <c r="AV5" i="228"/>
  <c r="M25" i="228"/>
  <c r="M40" i="228" s="1"/>
  <c r="J94" i="227"/>
  <c r="K94" i="227" s="1"/>
  <c r="K96" i="227" s="1"/>
  <c r="I96" i="227"/>
  <c r="I148" i="227" s="1"/>
  <c r="C149" i="227"/>
  <c r="E110" i="227"/>
  <c r="Q110" i="227"/>
  <c r="B10" i="228"/>
  <c r="AW13" i="228"/>
  <c r="O25" i="228"/>
  <c r="O40" i="228" s="1"/>
  <c r="V99" i="227"/>
  <c r="W99" i="227" s="1"/>
  <c r="W101" i="227" s="1"/>
  <c r="W111" i="227" s="1"/>
  <c r="U101" i="227"/>
  <c r="P25" i="228"/>
  <c r="P40" i="228" s="1"/>
  <c r="B12" i="225"/>
  <c r="B10" i="226" s="1"/>
  <c r="T10" i="226" s="1"/>
  <c r="AV10" i="226" s="1"/>
  <c r="C101" i="218"/>
  <c r="P15" i="217"/>
  <c r="W5" i="224"/>
  <c r="V5" i="224"/>
  <c r="O5" i="224"/>
  <c r="U5" i="224"/>
  <c r="T5" i="224"/>
  <c r="P5" i="224"/>
  <c r="N5" i="224"/>
  <c r="S5" i="224"/>
  <c r="X5" i="224"/>
  <c r="R5" i="224"/>
  <c r="Z5" i="224"/>
  <c r="Y5" i="224"/>
  <c r="Q5" i="224"/>
  <c r="M5" i="224"/>
  <c r="K15" i="217"/>
  <c r="AW15" i="217"/>
  <c r="P11" i="224"/>
  <c r="O11" i="224"/>
  <c r="N11" i="224"/>
  <c r="M11" i="224"/>
  <c r="Q11" i="224"/>
  <c r="L15" i="217"/>
  <c r="C149" i="225"/>
  <c r="E110" i="225"/>
  <c r="AW17" i="226"/>
  <c r="T17" i="226"/>
  <c r="AV17" i="226" s="1"/>
  <c r="D99" i="225"/>
  <c r="E99" i="225" s="1"/>
  <c r="E101" i="225" s="1"/>
  <c r="E111" i="225" s="1"/>
  <c r="C101" i="225"/>
  <c r="J94" i="225"/>
  <c r="K94" i="225" s="1"/>
  <c r="K96" i="225" s="1"/>
  <c r="I96" i="225"/>
  <c r="I148" i="225" s="1"/>
  <c r="Q6" i="226"/>
  <c r="P6" i="226"/>
  <c r="O6" i="226"/>
  <c r="N6" i="226"/>
  <c r="M6" i="226"/>
  <c r="AW6" i="226"/>
  <c r="U96" i="225"/>
  <c r="V94" i="225"/>
  <c r="W94" i="225" s="1"/>
  <c r="W96" i="225" s="1"/>
  <c r="Q110" i="225"/>
  <c r="Q5" i="226"/>
  <c r="AW5" i="226"/>
  <c r="P5" i="226"/>
  <c r="O5" i="226"/>
  <c r="N5" i="226"/>
  <c r="M5" i="226"/>
  <c r="V99" i="225"/>
  <c r="W99" i="225" s="1"/>
  <c r="W101" i="225" s="1"/>
  <c r="W111" i="225" s="1"/>
  <c r="U101" i="225"/>
  <c r="J99" i="225"/>
  <c r="K99" i="225" s="1"/>
  <c r="K101" i="225" s="1"/>
  <c r="K111" i="225" s="1"/>
  <c r="I101" i="225"/>
  <c r="AW15" i="226"/>
  <c r="C148" i="225"/>
  <c r="V89" i="225"/>
  <c r="W89" i="225" s="1"/>
  <c r="W91" i="225" s="1"/>
  <c r="U91" i="225"/>
  <c r="Y5" i="221"/>
  <c r="M5" i="221"/>
  <c r="D5" i="221"/>
  <c r="X5" i="221"/>
  <c r="L5" i="221"/>
  <c r="Z5" i="221"/>
  <c r="W5" i="221"/>
  <c r="K5" i="221"/>
  <c r="E5" i="221"/>
  <c r="V5" i="221"/>
  <c r="J5" i="221"/>
  <c r="U5" i="221"/>
  <c r="I5" i="221"/>
  <c r="P5" i="221"/>
  <c r="O5" i="221"/>
  <c r="T5" i="221"/>
  <c r="H5" i="221"/>
  <c r="S5" i="221"/>
  <c r="G5" i="221"/>
  <c r="Q5" i="221"/>
  <c r="N5" i="221"/>
  <c r="R5" i="221"/>
  <c r="F5" i="221"/>
  <c r="T14" i="221"/>
  <c r="S14" i="221"/>
  <c r="W14" i="221"/>
  <c r="R14" i="221"/>
  <c r="X14" i="221"/>
  <c r="U14" i="221"/>
  <c r="Z14" i="221"/>
  <c r="V14" i="221"/>
  <c r="Y14" i="221"/>
  <c r="Z6" i="221"/>
  <c r="N6" i="221"/>
  <c r="Y6" i="221"/>
  <c r="M6" i="221"/>
  <c r="E6" i="221"/>
  <c r="X6" i="221"/>
  <c r="L6" i="221"/>
  <c r="Q6" i="221"/>
  <c r="W6" i="221"/>
  <c r="K6" i="221"/>
  <c r="F6" i="221"/>
  <c r="V6" i="221"/>
  <c r="J6" i="221"/>
  <c r="O6" i="221"/>
  <c r="U6" i="221"/>
  <c r="I6" i="221"/>
  <c r="T6" i="221"/>
  <c r="H6" i="221"/>
  <c r="R6" i="221"/>
  <c r="P6" i="221"/>
  <c r="D6" i="221"/>
  <c r="S6" i="221"/>
  <c r="G6" i="221"/>
  <c r="V13" i="221"/>
  <c r="U13" i="221"/>
  <c r="P13" i="221"/>
  <c r="T13" i="221"/>
  <c r="S13" i="221"/>
  <c r="Q13" i="221"/>
  <c r="O13" i="221"/>
  <c r="R13" i="221"/>
  <c r="N13" i="221"/>
  <c r="C149" i="223"/>
  <c r="E110" i="223"/>
  <c r="D91" i="223"/>
  <c r="K110" i="223"/>
  <c r="I149" i="223"/>
  <c r="J91" i="223"/>
  <c r="U149" i="223"/>
  <c r="W110" i="223"/>
  <c r="O149" i="223"/>
  <c r="Q110" i="223"/>
  <c r="AW5" i="224"/>
  <c r="C148" i="223"/>
  <c r="B22" i="223" s="1"/>
  <c r="B20" i="224" s="1"/>
  <c r="AW11" i="224"/>
  <c r="AW14" i="224"/>
  <c r="AW15" i="224"/>
  <c r="V99" i="223"/>
  <c r="W99" i="223" s="1"/>
  <c r="W101" i="223" s="1"/>
  <c r="W111" i="223" s="1"/>
  <c r="U101" i="223"/>
  <c r="AW13" i="224"/>
  <c r="AV10" i="224"/>
  <c r="AW10" i="224"/>
  <c r="M11" i="221"/>
  <c r="N11" i="221"/>
  <c r="O11" i="221"/>
  <c r="Q11" i="221"/>
  <c r="P11" i="221"/>
  <c r="D101" i="220"/>
  <c r="O15" i="219"/>
  <c r="U15" i="219"/>
  <c r="T15" i="219"/>
  <c r="S15" i="219"/>
  <c r="P15" i="219"/>
  <c r="N15" i="219"/>
  <c r="R15" i="219"/>
  <c r="Q15" i="219"/>
  <c r="S6" i="219"/>
  <c r="U6" i="219"/>
  <c r="R6" i="219"/>
  <c r="Q6" i="219"/>
  <c r="P6" i="219"/>
  <c r="O6" i="219"/>
  <c r="N6" i="219"/>
  <c r="T6" i="219"/>
  <c r="M6" i="219"/>
  <c r="P5" i="219"/>
  <c r="Q5" i="219"/>
  <c r="T5" i="219"/>
  <c r="S5" i="219"/>
  <c r="R5" i="219"/>
  <c r="U5" i="219"/>
  <c r="S14" i="219"/>
  <c r="R14" i="219"/>
  <c r="Q14" i="219"/>
  <c r="T14" i="219"/>
  <c r="P14" i="219"/>
  <c r="O14" i="219"/>
  <c r="U14" i="219"/>
  <c r="N14" i="219"/>
  <c r="O148" i="220"/>
  <c r="B22" i="220" s="1"/>
  <c r="B20" i="221" s="1"/>
  <c r="C148" i="218"/>
  <c r="C149" i="220"/>
  <c r="E110" i="220"/>
  <c r="D91" i="220"/>
  <c r="I149" i="220"/>
  <c r="K110" i="220"/>
  <c r="J91" i="220"/>
  <c r="U149" i="220"/>
  <c r="W110" i="220"/>
  <c r="B15" i="221"/>
  <c r="O149" i="220"/>
  <c r="Q110" i="220"/>
  <c r="P91" i="220"/>
  <c r="V99" i="220"/>
  <c r="W99" i="220" s="1"/>
  <c r="W101" i="220" s="1"/>
  <c r="W111" i="220" s="1"/>
  <c r="U101" i="220"/>
  <c r="AW5" i="221"/>
  <c r="C5" i="221"/>
  <c r="AW14" i="221"/>
  <c r="R10" i="221"/>
  <c r="AV10" i="221" s="1"/>
  <c r="AW10" i="221"/>
  <c r="AW17" i="221"/>
  <c r="Q17" i="221"/>
  <c r="AV17" i="221" s="1"/>
  <c r="J99" i="220"/>
  <c r="K99" i="220" s="1"/>
  <c r="K101" i="220" s="1"/>
  <c r="K111" i="220" s="1"/>
  <c r="I101" i="220"/>
  <c r="AW6" i="221"/>
  <c r="C6" i="221"/>
  <c r="AW13" i="221"/>
  <c r="AW14" i="219"/>
  <c r="I149" i="218"/>
  <c r="K110" i="218"/>
  <c r="J91" i="218"/>
  <c r="O149" i="218"/>
  <c r="Q110" i="218"/>
  <c r="P91" i="218"/>
  <c r="C149" i="218"/>
  <c r="E110" i="218"/>
  <c r="D91" i="218"/>
  <c r="AW15" i="219"/>
  <c r="AW13" i="219"/>
  <c r="U149" i="218"/>
  <c r="W110" i="218"/>
  <c r="I148" i="218"/>
  <c r="H5" i="219"/>
  <c r="G5" i="219"/>
  <c r="F5" i="219"/>
  <c r="AW5" i="219"/>
  <c r="E5" i="219"/>
  <c r="D5" i="219"/>
  <c r="O5" i="219"/>
  <c r="C5" i="219"/>
  <c r="N5" i="219"/>
  <c r="M5" i="219"/>
  <c r="L5" i="219"/>
  <c r="K5" i="219"/>
  <c r="J5" i="219"/>
  <c r="I5" i="219"/>
  <c r="AW17" i="219"/>
  <c r="AV17" i="219"/>
  <c r="L6" i="219"/>
  <c r="K6" i="219"/>
  <c r="J6" i="219"/>
  <c r="I6" i="219"/>
  <c r="H6" i="219"/>
  <c r="G6" i="219"/>
  <c r="F6" i="219"/>
  <c r="AW6" i="219"/>
  <c r="E6" i="219"/>
  <c r="D6" i="219"/>
  <c r="C6" i="219"/>
  <c r="N10" i="219"/>
  <c r="AV10" i="219" s="1"/>
  <c r="AW10" i="219"/>
  <c r="B13" i="218"/>
  <c r="B11" i="219" s="1"/>
  <c r="N14" i="217"/>
  <c r="K14" i="217"/>
  <c r="R14" i="217"/>
  <c r="O14" i="217"/>
  <c r="M14" i="217"/>
  <c r="Q14" i="217"/>
  <c r="L14" i="217"/>
  <c r="P14" i="217"/>
  <c r="E11" i="217"/>
  <c r="J11" i="217"/>
  <c r="H11" i="217"/>
  <c r="I11" i="217"/>
  <c r="F11" i="217"/>
  <c r="G11" i="217"/>
  <c r="J13" i="217"/>
  <c r="Q13" i="217"/>
  <c r="P13" i="217"/>
  <c r="I13" i="217"/>
  <c r="F13" i="217"/>
  <c r="L13" i="217"/>
  <c r="H13" i="217"/>
  <c r="G13" i="217"/>
  <c r="R13" i="217"/>
  <c r="E13" i="217"/>
  <c r="D13" i="217"/>
  <c r="O13" i="217"/>
  <c r="N13" i="217"/>
  <c r="M13" i="217"/>
  <c r="K13" i="217"/>
  <c r="AW11" i="217"/>
  <c r="AW13" i="217"/>
  <c r="J17" i="217"/>
  <c r="AV17" i="217" s="1"/>
  <c r="AX17" i="217" s="1"/>
  <c r="U148" i="216"/>
  <c r="U149" i="216"/>
  <c r="W110" i="216"/>
  <c r="I149" i="216"/>
  <c r="K110" i="216"/>
  <c r="B10" i="217"/>
  <c r="C101" i="216"/>
  <c r="D99" i="216"/>
  <c r="E99" i="216" s="1"/>
  <c r="E101" i="216" s="1"/>
  <c r="E111" i="216" s="1"/>
  <c r="AW14" i="217"/>
  <c r="D89" i="216"/>
  <c r="E89" i="216" s="1"/>
  <c r="E91" i="216" s="1"/>
  <c r="C91" i="216"/>
  <c r="C148" i="216" s="1"/>
  <c r="AV5" i="217"/>
  <c r="AX5" i="217" s="1"/>
  <c r="P89" i="216"/>
  <c r="Q89" i="216" s="1"/>
  <c r="Q91" i="216" s="1"/>
  <c r="P91" i="216" s="1"/>
  <c r="O91" i="216"/>
  <c r="O148" i="216" s="1"/>
  <c r="J91" i="216"/>
  <c r="R25" i="226" l="1"/>
  <c r="AV17" i="228"/>
  <c r="AX17" i="228" s="1"/>
  <c r="Z14" i="226"/>
  <c r="AA14" i="226"/>
  <c r="AB14" i="226"/>
  <c r="V14" i="226"/>
  <c r="U14" i="226"/>
  <c r="X14" i="226"/>
  <c r="Y14" i="226"/>
  <c r="W14" i="226"/>
  <c r="AV6" i="228"/>
  <c r="AX6" i="228" s="1"/>
  <c r="AW11" i="226"/>
  <c r="S11" i="226"/>
  <c r="S25" i="226" s="1"/>
  <c r="V13" i="226"/>
  <c r="Z13" i="226"/>
  <c r="W13" i="226"/>
  <c r="AB13" i="226"/>
  <c r="X13" i="226"/>
  <c r="Y13" i="226"/>
  <c r="AA13" i="226"/>
  <c r="U13" i="226"/>
  <c r="AV13" i="230"/>
  <c r="AX13" i="230" s="1"/>
  <c r="AV11" i="228"/>
  <c r="AX11" i="228" s="1"/>
  <c r="AX17" i="224"/>
  <c r="AW14" i="226"/>
  <c r="AW10" i="226"/>
  <c r="AX10" i="226" s="1"/>
  <c r="AV6" i="224"/>
  <c r="AX6" i="224" s="1"/>
  <c r="AV6" i="230"/>
  <c r="AX6" i="230" s="1"/>
  <c r="T11" i="226"/>
  <c r="AV11" i="230"/>
  <c r="AX11" i="230" s="1"/>
  <c r="P11" i="226"/>
  <c r="M25" i="226" s="1"/>
  <c r="M40" i="226" s="1"/>
  <c r="L44" i="159" s="1"/>
  <c r="Q11" i="226"/>
  <c r="Q25" i="226" s="1"/>
  <c r="AX17" i="230"/>
  <c r="AV6" i="217"/>
  <c r="AX6" i="217" s="1"/>
  <c r="AW13" i="226"/>
  <c r="AV15" i="228"/>
  <c r="AX15" i="228" s="1"/>
  <c r="AV14" i="230"/>
  <c r="AX14" i="230" s="1"/>
  <c r="B22" i="227"/>
  <c r="B20" i="228" s="1"/>
  <c r="AV15" i="230"/>
  <c r="AX15" i="230" s="1"/>
  <c r="AV15" i="217"/>
  <c r="AX15" i="217" s="1"/>
  <c r="W110" i="229"/>
  <c r="I148" i="229"/>
  <c r="B22" i="229" s="1"/>
  <c r="B20" i="230" s="1"/>
  <c r="AW20" i="230" s="1"/>
  <c r="AX20" i="230" s="1"/>
  <c r="I149" i="229"/>
  <c r="B23" i="229" s="1"/>
  <c r="B21" i="230" s="1"/>
  <c r="AW21" i="230" s="1"/>
  <c r="AX21" i="230" s="1"/>
  <c r="K110" i="229"/>
  <c r="U10" i="230"/>
  <c r="AW10" i="230"/>
  <c r="I149" i="227"/>
  <c r="B23" i="227" s="1"/>
  <c r="B21" i="228" s="1"/>
  <c r="K110" i="227"/>
  <c r="AW10" i="228"/>
  <c r="U10" i="228"/>
  <c r="AV14" i="228"/>
  <c r="AX14" i="228" s="1"/>
  <c r="AV13" i="228"/>
  <c r="AX13" i="228" s="1"/>
  <c r="AX5" i="228"/>
  <c r="U148" i="225"/>
  <c r="B22" i="225" s="1"/>
  <c r="B20" i="226" s="1"/>
  <c r="AW20" i="226" s="1"/>
  <c r="AX20" i="226" s="1"/>
  <c r="D101" i="216"/>
  <c r="B22" i="218"/>
  <c r="B20" i="219" s="1"/>
  <c r="AW20" i="219" s="1"/>
  <c r="AV15" i="226"/>
  <c r="AX15" i="226" s="1"/>
  <c r="K110" i="225"/>
  <c r="I149" i="225"/>
  <c r="U149" i="225"/>
  <c r="W110" i="225"/>
  <c r="AV5" i="226"/>
  <c r="AX5" i="226" s="1"/>
  <c r="AX17" i="226"/>
  <c r="O25" i="226"/>
  <c r="O40" i="226" s="1"/>
  <c r="N44" i="159" s="1"/>
  <c r="AV6" i="226"/>
  <c r="AX6" i="226" s="1"/>
  <c r="AX10" i="224"/>
  <c r="AB20" i="221"/>
  <c r="AA20" i="221"/>
  <c r="W15" i="221"/>
  <c r="V15" i="221"/>
  <c r="U15" i="221"/>
  <c r="X15" i="221"/>
  <c r="T15" i="221"/>
  <c r="S15" i="221"/>
  <c r="Z15" i="221"/>
  <c r="R15" i="221"/>
  <c r="Y15" i="221"/>
  <c r="AV14" i="224"/>
  <c r="AX14" i="224" s="1"/>
  <c r="AV13" i="224"/>
  <c r="AX13" i="224" s="1"/>
  <c r="AV11" i="224"/>
  <c r="AX11" i="224" s="1"/>
  <c r="AV15" i="224"/>
  <c r="AX15" i="224" s="1"/>
  <c r="AV5" i="224"/>
  <c r="AV20" i="224"/>
  <c r="AW20" i="224"/>
  <c r="B23" i="223"/>
  <c r="B21" i="224" s="1"/>
  <c r="AV11" i="221"/>
  <c r="AX11" i="221" s="1"/>
  <c r="AX10" i="221"/>
  <c r="J101" i="220"/>
  <c r="AV6" i="221"/>
  <c r="AX6" i="221" s="1"/>
  <c r="Q11" i="219"/>
  <c r="I11" i="219"/>
  <c r="P11" i="219"/>
  <c r="O11" i="219"/>
  <c r="N11" i="219"/>
  <c r="M11" i="219"/>
  <c r="J11" i="219"/>
  <c r="L11" i="219"/>
  <c r="K11" i="219"/>
  <c r="AV5" i="221"/>
  <c r="AX5" i="221" s="1"/>
  <c r="AW15" i="221"/>
  <c r="AV14" i="221"/>
  <c r="AX14" i="221" s="1"/>
  <c r="AW20" i="221"/>
  <c r="AX17" i="221"/>
  <c r="AV13" i="221"/>
  <c r="AX13" i="221" s="1"/>
  <c r="B23" i="220"/>
  <c r="B21" i="221" s="1"/>
  <c r="AV14" i="219"/>
  <c r="AX14" i="219" s="1"/>
  <c r="B23" i="218"/>
  <c r="B21" i="219" s="1"/>
  <c r="AW21" i="219" s="1"/>
  <c r="AX17" i="219"/>
  <c r="AX10" i="219"/>
  <c r="AV13" i="219"/>
  <c r="AX13" i="219" s="1"/>
  <c r="AV5" i="219"/>
  <c r="AW11" i="219"/>
  <c r="AV6" i="219"/>
  <c r="AX6" i="219" s="1"/>
  <c r="AV15" i="219"/>
  <c r="AX15" i="219" s="1"/>
  <c r="AV11" i="217"/>
  <c r="AX11" i="217" s="1"/>
  <c r="B22" i="216"/>
  <c r="B20" i="217" s="1"/>
  <c r="AV13" i="217"/>
  <c r="AX13" i="217" s="1"/>
  <c r="E110" i="216"/>
  <c r="C149" i="216"/>
  <c r="D91" i="216"/>
  <c r="K10" i="217"/>
  <c r="AW10" i="217"/>
  <c r="O149" i="216"/>
  <c r="Q110" i="216"/>
  <c r="AV14" i="217"/>
  <c r="AX14" i="217" s="1"/>
  <c r="P25" i="226" l="1"/>
  <c r="P40" i="226" s="1"/>
  <c r="O44" i="159" s="1"/>
  <c r="AW21" i="228"/>
  <c r="AH21" i="228"/>
  <c r="AG21" i="228"/>
  <c r="AI21" i="228"/>
  <c r="AW20" i="228"/>
  <c r="AH20" i="228"/>
  <c r="AI20" i="228"/>
  <c r="AV14" i="226"/>
  <c r="AX14" i="226" s="1"/>
  <c r="AV11" i="226"/>
  <c r="AX11" i="226" s="1"/>
  <c r="N25" i="226"/>
  <c r="N40" i="226" s="1"/>
  <c r="M44" i="159" s="1"/>
  <c r="AV13" i="226"/>
  <c r="AX13" i="226" s="1"/>
  <c r="B23" i="225"/>
  <c r="B21" i="226" s="1"/>
  <c r="AW21" i="226" s="1"/>
  <c r="AX21" i="226" s="1"/>
  <c r="AV20" i="221"/>
  <c r="AX20" i="221" s="1"/>
  <c r="AV10" i="230"/>
  <c r="AX10" i="230" s="1"/>
  <c r="AV10" i="228"/>
  <c r="AX10" i="228" s="1"/>
  <c r="AX20" i="224"/>
  <c r="AB21" i="221"/>
  <c r="AA21" i="221"/>
  <c r="Z21" i="221"/>
  <c r="AX5" i="224"/>
  <c r="AW21" i="224"/>
  <c r="AV15" i="221"/>
  <c r="AX15" i="221" s="1"/>
  <c r="AW21" i="221"/>
  <c r="AV20" i="219"/>
  <c r="AX20" i="219" s="1"/>
  <c r="S20" i="217"/>
  <c r="R20" i="217"/>
  <c r="AV21" i="219"/>
  <c r="AX21" i="219" s="1"/>
  <c r="AX5" i="219"/>
  <c r="AV11" i="219"/>
  <c r="AW20" i="217"/>
  <c r="AV10" i="217"/>
  <c r="B23" i="216"/>
  <c r="B21" i="217" s="1"/>
  <c r="AV20" i="228" l="1"/>
  <c r="AX20" i="228" s="1"/>
  <c r="AV21" i="228"/>
  <c r="AX21" i="228" s="1"/>
  <c r="AV20" i="217"/>
  <c r="AX20" i="217" s="1"/>
  <c r="AV21" i="224"/>
  <c r="AX21" i="224" s="1"/>
  <c r="AV21" i="221"/>
  <c r="AX21" i="221" s="1"/>
  <c r="S21" i="217"/>
  <c r="R21" i="217"/>
  <c r="AX11" i="219"/>
  <c r="AW21" i="217"/>
  <c r="AX10" i="217"/>
  <c r="AV19" i="219" l="1"/>
  <c r="AV21" i="217"/>
  <c r="AX21" i="217" s="1"/>
  <c r="AV16" i="219" l="1"/>
  <c r="K39" i="140" l="1"/>
  <c r="K42" i="140" s="1"/>
  <c r="J39" i="140"/>
  <c r="J42" i="140" s="1"/>
  <c r="I39" i="140"/>
  <c r="I42" i="140" s="1"/>
  <c r="H39" i="140"/>
  <c r="G39" i="140"/>
  <c r="F39" i="140"/>
  <c r="E39" i="140"/>
  <c r="D39" i="140"/>
  <c r="D42" i="140" s="1"/>
  <c r="C39" i="140"/>
  <c r="C42" i="140" s="1"/>
  <c r="B42" i="140"/>
  <c r="E172" i="215"/>
  <c r="D172" i="215"/>
  <c r="E171" i="215"/>
  <c r="E173" i="215" s="1"/>
  <c r="C169" i="215"/>
  <c r="B32" i="215"/>
  <c r="AU25" i="215"/>
  <c r="AT25" i="215"/>
  <c r="AS25" i="215"/>
  <c r="AR25" i="215"/>
  <c r="AQ25" i="215"/>
  <c r="AP25" i="215"/>
  <c r="AO25" i="215"/>
  <c r="AN25" i="215"/>
  <c r="AM25" i="215"/>
  <c r="AL25" i="215"/>
  <c r="AK25" i="215"/>
  <c r="AJ25" i="215"/>
  <c r="AI25" i="215"/>
  <c r="AH25" i="215"/>
  <c r="AG25" i="215"/>
  <c r="AF25" i="215"/>
  <c r="AE25" i="215"/>
  <c r="AD25" i="215"/>
  <c r="AC25" i="215"/>
  <c r="AB25" i="215"/>
  <c r="AA25" i="215"/>
  <c r="Z25" i="215"/>
  <c r="Y25" i="215"/>
  <c r="X25" i="215"/>
  <c r="W25" i="215"/>
  <c r="V25" i="215"/>
  <c r="V40" i="215" s="1"/>
  <c r="U25" i="215"/>
  <c r="U40" i="215" s="1"/>
  <c r="T25" i="215"/>
  <c r="T40" i="215" s="1"/>
  <c r="S25" i="215"/>
  <c r="S40" i="215" s="1"/>
  <c r="R25" i="215"/>
  <c r="R40" i="215" s="1"/>
  <c r="A25" i="215"/>
  <c r="A24" i="215"/>
  <c r="A23" i="215"/>
  <c r="A22" i="215"/>
  <c r="A21" i="215"/>
  <c r="A20" i="215"/>
  <c r="A19" i="215"/>
  <c r="A18" i="215"/>
  <c r="A17" i="215"/>
  <c r="A16" i="215"/>
  <c r="A15" i="215"/>
  <c r="A14" i="215"/>
  <c r="A13" i="215"/>
  <c r="AV12" i="215"/>
  <c r="A12" i="215"/>
  <c r="A11" i="215"/>
  <c r="A10" i="215"/>
  <c r="A9" i="215"/>
  <c r="AV8" i="215"/>
  <c r="A8" i="215"/>
  <c r="AV7" i="215"/>
  <c r="A7" i="215"/>
  <c r="A6" i="215"/>
  <c r="A5" i="215"/>
  <c r="F4" i="215"/>
  <c r="J3" i="215"/>
  <c r="K3" i="215" s="1"/>
  <c r="L3" i="215" s="1"/>
  <c r="M3" i="215" s="1"/>
  <c r="N3" i="215" s="1"/>
  <c r="O3" i="215" s="1"/>
  <c r="P3" i="215" s="1"/>
  <c r="Q3" i="215" s="1"/>
  <c r="R3" i="215" s="1"/>
  <c r="S3" i="215" s="1"/>
  <c r="T3" i="215" s="1"/>
  <c r="U3" i="215" s="1"/>
  <c r="V3" i="215" s="1"/>
  <c r="W3" i="215" s="1"/>
  <c r="X3" i="215" s="1"/>
  <c r="Y3" i="215" s="1"/>
  <c r="Z3" i="215" s="1"/>
  <c r="AA3" i="215" s="1"/>
  <c r="AB3" i="215" s="1"/>
  <c r="AC3" i="215" s="1"/>
  <c r="AD3" i="215" s="1"/>
  <c r="AE3" i="215" s="1"/>
  <c r="AF3" i="215" s="1"/>
  <c r="AG3" i="215" s="1"/>
  <c r="AH3" i="215" s="1"/>
  <c r="AI3" i="215" s="1"/>
  <c r="AJ3" i="215" s="1"/>
  <c r="AK3" i="215" s="1"/>
  <c r="AL3" i="215" s="1"/>
  <c r="AM3" i="215" s="1"/>
  <c r="AN3" i="215" s="1"/>
  <c r="AO3" i="215" s="1"/>
  <c r="AP3" i="215" s="1"/>
  <c r="AQ3" i="215" s="1"/>
  <c r="AR3" i="215" s="1"/>
  <c r="AS3" i="215" s="1"/>
  <c r="AT3" i="215" s="1"/>
  <c r="AU3" i="215" s="1"/>
  <c r="E3" i="215"/>
  <c r="F3" i="215" s="1"/>
  <c r="G3" i="215" s="1"/>
  <c r="E1" i="215"/>
  <c r="D1" i="215"/>
  <c r="C1" i="215"/>
  <c r="S162" i="214"/>
  <c r="S163" i="214" s="1"/>
  <c r="M162" i="214"/>
  <c r="M163" i="214" s="1"/>
  <c r="G162" i="214"/>
  <c r="G163" i="214" s="1"/>
  <c r="A162" i="214"/>
  <c r="A163" i="214" s="1"/>
  <c r="U158" i="214"/>
  <c r="O158" i="214"/>
  <c r="I158" i="214"/>
  <c r="C158" i="214"/>
  <c r="T152" i="214"/>
  <c r="N152" i="214"/>
  <c r="H152" i="214"/>
  <c r="B152" i="214"/>
  <c r="T145" i="214"/>
  <c r="N145" i="214"/>
  <c r="H145" i="214"/>
  <c r="B145" i="214"/>
  <c r="T144" i="214"/>
  <c r="N144" i="214"/>
  <c r="H144" i="214"/>
  <c r="B144" i="214"/>
  <c r="T143" i="214"/>
  <c r="N143" i="214"/>
  <c r="H143" i="214"/>
  <c r="B143" i="214"/>
  <c r="T142" i="214"/>
  <c r="N142" i="214"/>
  <c r="H142" i="214"/>
  <c r="B142" i="214"/>
  <c r="T141" i="214"/>
  <c r="N141" i="214"/>
  <c r="H141" i="214"/>
  <c r="B141" i="214"/>
  <c r="T139" i="214"/>
  <c r="N139" i="214"/>
  <c r="H139" i="214"/>
  <c r="B139" i="214"/>
  <c r="T138" i="214"/>
  <c r="N138" i="214"/>
  <c r="H138" i="214"/>
  <c r="B138" i="214"/>
  <c r="T134" i="214"/>
  <c r="N134" i="214"/>
  <c r="H134" i="214"/>
  <c r="T133" i="214"/>
  <c r="N133" i="214"/>
  <c r="H133" i="214"/>
  <c r="O130" i="214"/>
  <c r="I130" i="214"/>
  <c r="U125" i="214"/>
  <c r="O125" i="214"/>
  <c r="I125" i="214"/>
  <c r="C125" i="214"/>
  <c r="U107" i="214"/>
  <c r="O107" i="214"/>
  <c r="I107" i="214"/>
  <c r="C107" i="214"/>
  <c r="V105" i="214"/>
  <c r="P105" i="214"/>
  <c r="J105" i="214"/>
  <c r="D105" i="214"/>
  <c r="V104" i="214"/>
  <c r="P104" i="214"/>
  <c r="J104" i="214"/>
  <c r="D104" i="214"/>
  <c r="V84" i="214"/>
  <c r="U84" i="214"/>
  <c r="T84" i="214"/>
  <c r="P84" i="214"/>
  <c r="O84" i="214"/>
  <c r="N84" i="214"/>
  <c r="J84" i="214"/>
  <c r="I84" i="214"/>
  <c r="H84" i="214"/>
  <c r="D84" i="214"/>
  <c r="C84" i="214"/>
  <c r="B84" i="214"/>
  <c r="V83" i="214"/>
  <c r="U83" i="214"/>
  <c r="T83" i="214"/>
  <c r="P83" i="214"/>
  <c r="O83" i="214"/>
  <c r="N83" i="214"/>
  <c r="J83" i="214"/>
  <c r="I83" i="214"/>
  <c r="H83" i="214"/>
  <c r="D83" i="214"/>
  <c r="C83" i="214"/>
  <c r="B83" i="214"/>
  <c r="V82" i="214"/>
  <c r="U82" i="214"/>
  <c r="T82" i="214"/>
  <c r="P82" i="214"/>
  <c r="O82" i="214"/>
  <c r="N82" i="214"/>
  <c r="J82" i="214"/>
  <c r="I82" i="214"/>
  <c r="H82" i="214"/>
  <c r="D82" i="214"/>
  <c r="C82" i="214"/>
  <c r="B82" i="214"/>
  <c r="V81" i="214"/>
  <c r="U81" i="214"/>
  <c r="T81" i="214"/>
  <c r="P81" i="214"/>
  <c r="O81" i="214"/>
  <c r="N81" i="214"/>
  <c r="J81" i="214"/>
  <c r="I81" i="214"/>
  <c r="H81" i="214"/>
  <c r="D81" i="214"/>
  <c r="C81" i="214"/>
  <c r="B81" i="214"/>
  <c r="W78" i="214"/>
  <c r="Q78" i="214"/>
  <c r="K78" i="214"/>
  <c r="E78" i="214"/>
  <c r="V75" i="214"/>
  <c r="T75" i="214"/>
  <c r="P75" i="214"/>
  <c r="N75" i="214"/>
  <c r="J75" i="214"/>
  <c r="H75" i="214"/>
  <c r="D75" i="214"/>
  <c r="B75" i="214"/>
  <c r="V74" i="214"/>
  <c r="T74" i="214"/>
  <c r="P74" i="214"/>
  <c r="N74" i="214"/>
  <c r="J74" i="214"/>
  <c r="H74" i="214"/>
  <c r="D74" i="214"/>
  <c r="B74" i="214"/>
  <c r="W71" i="214"/>
  <c r="Q71" i="214"/>
  <c r="K71" i="214"/>
  <c r="E71" i="214"/>
  <c r="T68" i="214"/>
  <c r="N68" i="214"/>
  <c r="H68" i="214"/>
  <c r="B68" i="214"/>
  <c r="T67" i="214"/>
  <c r="N67" i="214"/>
  <c r="H67" i="214"/>
  <c r="B67" i="214"/>
  <c r="T66" i="214"/>
  <c r="N66" i="214"/>
  <c r="H66" i="214"/>
  <c r="B66" i="214"/>
  <c r="T65" i="214"/>
  <c r="N65" i="214"/>
  <c r="H65" i="214"/>
  <c r="B65" i="214"/>
  <c r="W62" i="214"/>
  <c r="Q62" i="214"/>
  <c r="K62" i="214"/>
  <c r="E62" i="214"/>
  <c r="V59" i="214"/>
  <c r="T59" i="214"/>
  <c r="P59" i="214"/>
  <c r="N59" i="214"/>
  <c r="J59" i="214"/>
  <c r="H59" i="214"/>
  <c r="D59" i="214"/>
  <c r="B59" i="214"/>
  <c r="V58" i="214"/>
  <c r="T58" i="214"/>
  <c r="P58" i="214"/>
  <c r="N58" i="214"/>
  <c r="J58" i="214"/>
  <c r="H58" i="214"/>
  <c r="D58" i="214"/>
  <c r="B58" i="214"/>
  <c r="W55" i="214"/>
  <c r="Q55" i="214"/>
  <c r="K55" i="214"/>
  <c r="E55" i="214"/>
  <c r="T52" i="214"/>
  <c r="N52" i="214"/>
  <c r="H52" i="214"/>
  <c r="B52" i="214"/>
  <c r="T51" i="214"/>
  <c r="N51" i="214"/>
  <c r="H51" i="214"/>
  <c r="B51" i="214"/>
  <c r="T50" i="214"/>
  <c r="N50" i="214"/>
  <c r="H50" i="214"/>
  <c r="B50" i="214"/>
  <c r="T49" i="214"/>
  <c r="N49" i="214"/>
  <c r="H49" i="214"/>
  <c r="B49" i="214"/>
  <c r="W46" i="214"/>
  <c r="Q46" i="214"/>
  <c r="K46" i="214"/>
  <c r="E46" i="214"/>
  <c r="V43" i="214"/>
  <c r="T103" i="214" s="1"/>
  <c r="T104" i="214" s="1"/>
  <c r="U104" i="214" s="1"/>
  <c r="T43" i="214"/>
  <c r="P43" i="214"/>
  <c r="N103" i="214" s="1"/>
  <c r="N43" i="214"/>
  <c r="J43" i="214"/>
  <c r="H103" i="214" s="1"/>
  <c r="H104" i="214" s="1"/>
  <c r="I104" i="214" s="1"/>
  <c r="H43" i="214"/>
  <c r="D43" i="214"/>
  <c r="B103" i="214" s="1"/>
  <c r="B104" i="214" s="1"/>
  <c r="C104" i="214" s="1"/>
  <c r="B43" i="214"/>
  <c r="T42" i="214"/>
  <c r="T97" i="214" s="1"/>
  <c r="T99" i="214" s="1"/>
  <c r="U99" i="214" s="1"/>
  <c r="N42" i="214"/>
  <c r="N97" i="214" s="1"/>
  <c r="N100" i="214" s="1"/>
  <c r="O100" i="214" s="1"/>
  <c r="P100" i="214" s="1"/>
  <c r="H42" i="214"/>
  <c r="H97" i="214" s="1"/>
  <c r="H99" i="214" s="1"/>
  <c r="B42" i="214"/>
  <c r="D42" i="214" s="1"/>
  <c r="T41" i="214"/>
  <c r="T92" i="214" s="1"/>
  <c r="T95" i="214" s="1"/>
  <c r="U95" i="214" s="1"/>
  <c r="V95" i="214" s="1"/>
  <c r="N41" i="214"/>
  <c r="N92" i="214" s="1"/>
  <c r="N95" i="214" s="1"/>
  <c r="O95" i="214" s="1"/>
  <c r="H41" i="214"/>
  <c r="H92" i="214" s="1"/>
  <c r="B41" i="214"/>
  <c r="B92" i="214" s="1"/>
  <c r="T40" i="214"/>
  <c r="V40" i="214" s="1"/>
  <c r="N40" i="214"/>
  <c r="N87" i="214" s="1"/>
  <c r="N90" i="214" s="1"/>
  <c r="O90" i="214" s="1"/>
  <c r="H40" i="214"/>
  <c r="H87" i="214" s="1"/>
  <c r="H90" i="214" s="1"/>
  <c r="I90" i="214" s="1"/>
  <c r="J90" i="214" s="1"/>
  <c r="B40" i="214"/>
  <c r="B87" i="214" s="1"/>
  <c r="T39" i="214"/>
  <c r="V39" i="214" s="1"/>
  <c r="N39" i="214"/>
  <c r="P39" i="214" s="1"/>
  <c r="H39" i="214"/>
  <c r="J39" i="214" s="1"/>
  <c r="B39" i="214"/>
  <c r="D39" i="214" s="1"/>
  <c r="T38" i="214"/>
  <c r="T71" i="214" s="1"/>
  <c r="N38" i="214"/>
  <c r="N71" i="214" s="1"/>
  <c r="H38" i="214"/>
  <c r="H71" i="214" s="1"/>
  <c r="B38" i="214"/>
  <c r="B71" i="214" s="1"/>
  <c r="T37" i="214"/>
  <c r="V37" i="214" s="1"/>
  <c r="N37" i="214"/>
  <c r="H37" i="214"/>
  <c r="B37" i="214"/>
  <c r="B78" i="214" s="1"/>
  <c r="T36" i="214"/>
  <c r="T55" i="214" s="1"/>
  <c r="N36" i="214"/>
  <c r="N55" i="214" s="1"/>
  <c r="H36" i="214"/>
  <c r="J36" i="214" s="1"/>
  <c r="B36" i="214"/>
  <c r="D36" i="214" s="1"/>
  <c r="T35" i="214"/>
  <c r="T46" i="214" s="1"/>
  <c r="N35" i="214"/>
  <c r="P35" i="214" s="1"/>
  <c r="H35" i="214"/>
  <c r="H46" i="214" s="1"/>
  <c r="B35" i="214"/>
  <c r="B46" i="214" s="1"/>
  <c r="V34" i="214"/>
  <c r="P34" i="214"/>
  <c r="J34" i="214"/>
  <c r="D34" i="214"/>
  <c r="B20" i="214"/>
  <c r="B18" i="215" s="1"/>
  <c r="B14" i="214"/>
  <c r="B12" i="215" s="1"/>
  <c r="AW12" i="215" s="1"/>
  <c r="B9" i="214"/>
  <c r="B7" i="215" s="1"/>
  <c r="AW7" i="215" s="1"/>
  <c r="AX7" i="215" s="1"/>
  <c r="W25" i="180"/>
  <c r="V25" i="180"/>
  <c r="U25" i="180"/>
  <c r="T25" i="180"/>
  <c r="S25" i="180"/>
  <c r="R25" i="180"/>
  <c r="N18" i="180"/>
  <c r="O18" i="180"/>
  <c r="A24" i="180"/>
  <c r="A22" i="180"/>
  <c r="A23" i="180"/>
  <c r="A7" i="180"/>
  <c r="B7" i="180"/>
  <c r="A8" i="180"/>
  <c r="A9" i="180"/>
  <c r="A10" i="180"/>
  <c r="A11" i="180"/>
  <c r="A12" i="180"/>
  <c r="B12" i="180"/>
  <c r="A13" i="180"/>
  <c r="A14" i="180"/>
  <c r="A15" i="180"/>
  <c r="A16" i="180"/>
  <c r="A17" i="180"/>
  <c r="A18" i="180"/>
  <c r="B18" i="180"/>
  <c r="A19" i="180"/>
  <c r="A20" i="180"/>
  <c r="A21" i="180"/>
  <c r="H138" i="179"/>
  <c r="C158" i="179"/>
  <c r="I158" i="179"/>
  <c r="O158" i="179"/>
  <c r="U158" i="179"/>
  <c r="A162" i="179"/>
  <c r="A163" i="179" s="1"/>
  <c r="G162" i="179"/>
  <c r="G163" i="179" s="1"/>
  <c r="M162" i="179"/>
  <c r="M163" i="179" s="1"/>
  <c r="S162" i="179"/>
  <c r="S163" i="179" s="1"/>
  <c r="T152" i="179"/>
  <c r="T145" i="179"/>
  <c r="T144" i="179"/>
  <c r="T143" i="179"/>
  <c r="T142" i="179"/>
  <c r="T141" i="179"/>
  <c r="T139" i="179"/>
  <c r="T138" i="179"/>
  <c r="T134" i="179"/>
  <c r="T133" i="179"/>
  <c r="N152" i="179"/>
  <c r="N145" i="179"/>
  <c r="N144" i="179"/>
  <c r="N143" i="179"/>
  <c r="N142" i="179"/>
  <c r="N141" i="179"/>
  <c r="N139" i="179"/>
  <c r="N138" i="179"/>
  <c r="H152" i="179"/>
  <c r="H145" i="179"/>
  <c r="H144" i="179"/>
  <c r="H143" i="179"/>
  <c r="H142" i="179"/>
  <c r="H141" i="179"/>
  <c r="H139" i="179"/>
  <c r="B143" i="179"/>
  <c r="B142" i="179"/>
  <c r="B141" i="179"/>
  <c r="N133" i="179"/>
  <c r="H133" i="179"/>
  <c r="N134" i="179"/>
  <c r="H134" i="179"/>
  <c r="B133" i="179"/>
  <c r="B152" i="179"/>
  <c r="B138" i="179"/>
  <c r="B139" i="179"/>
  <c r="B144" i="179"/>
  <c r="AU25" i="180"/>
  <c r="AT25" i="180"/>
  <c r="AS25" i="180"/>
  <c r="AR25" i="180"/>
  <c r="AQ25" i="180"/>
  <c r="AP25" i="180"/>
  <c r="AO25" i="180"/>
  <c r="AN25" i="180"/>
  <c r="AM25" i="180"/>
  <c r="AL25" i="180"/>
  <c r="AK25" i="180"/>
  <c r="AJ25" i="180"/>
  <c r="AI25" i="180"/>
  <c r="AH25" i="180"/>
  <c r="AG25" i="180"/>
  <c r="AF25" i="180"/>
  <c r="AE25" i="180"/>
  <c r="AD25" i="180"/>
  <c r="AC25" i="180"/>
  <c r="AB25" i="180"/>
  <c r="AA25" i="180"/>
  <c r="Z25" i="180"/>
  <c r="Y25" i="180"/>
  <c r="X25" i="180"/>
  <c r="A25" i="180"/>
  <c r="F59" i="140"/>
  <c r="B10" i="218" s="1"/>
  <c r="B8" i="219" s="1"/>
  <c r="AW8" i="219" s="1"/>
  <c r="AX8" i="219" s="1"/>
  <c r="I133" i="214" l="1"/>
  <c r="I134" i="214" s="1"/>
  <c r="I138" i="214" s="1"/>
  <c r="E42" i="140"/>
  <c r="F42" i="140"/>
  <c r="G42" i="140"/>
  <c r="H42" i="140"/>
  <c r="P78" i="214"/>
  <c r="K84" i="214"/>
  <c r="Q82" i="214"/>
  <c r="O133" i="214"/>
  <c r="O134" i="214" s="1"/>
  <c r="O142" i="214" s="1"/>
  <c r="E84" i="214"/>
  <c r="V78" i="214"/>
  <c r="W83" i="214"/>
  <c r="J78" i="214"/>
  <c r="Q83" i="214"/>
  <c r="Q84" i="214"/>
  <c r="K83" i="214"/>
  <c r="W84" i="214"/>
  <c r="E104" i="214"/>
  <c r="E115" i="214" s="1"/>
  <c r="U133" i="214"/>
  <c r="U134" i="214" s="1"/>
  <c r="U138" i="214" s="1"/>
  <c r="V62" i="214"/>
  <c r="K104" i="214"/>
  <c r="K115" i="214" s="1"/>
  <c r="W82" i="214"/>
  <c r="C85" i="214"/>
  <c r="P46" i="214"/>
  <c r="E83" i="214"/>
  <c r="W104" i="214"/>
  <c r="W115" i="214" s="1"/>
  <c r="D55" i="214"/>
  <c r="D78" i="214"/>
  <c r="K82" i="214"/>
  <c r="J55" i="214"/>
  <c r="C133" i="214"/>
  <c r="C134" i="214" s="1"/>
  <c r="N94" i="214"/>
  <c r="O94" i="214" s="1"/>
  <c r="P94" i="214" s="1"/>
  <c r="Q94" i="214" s="1"/>
  <c r="AX12" i="215"/>
  <c r="B53" i="214"/>
  <c r="N53" i="214"/>
  <c r="T100" i="214"/>
  <c r="U100" i="214" s="1"/>
  <c r="U101" i="214" s="1"/>
  <c r="D41" i="214"/>
  <c r="T78" i="214"/>
  <c r="V42" i="214"/>
  <c r="D38" i="214"/>
  <c r="D71" i="214" s="1"/>
  <c r="P36" i="214"/>
  <c r="P55" i="214" s="1"/>
  <c r="J41" i="214"/>
  <c r="B55" i="214"/>
  <c r="H105" i="214"/>
  <c r="I105" i="214" s="1"/>
  <c r="K105" i="214" s="1"/>
  <c r="K116" i="214" s="1"/>
  <c r="D35" i="214"/>
  <c r="D46" i="214" s="1"/>
  <c r="T87" i="214"/>
  <c r="T89" i="214" s="1"/>
  <c r="H100" i="214"/>
  <c r="I100" i="214" s="1"/>
  <c r="J100" i="214" s="1"/>
  <c r="K100" i="214" s="1"/>
  <c r="P42" i="214"/>
  <c r="J38" i="214"/>
  <c r="J71" i="214" s="1"/>
  <c r="H55" i="214"/>
  <c r="I99" i="214"/>
  <c r="B95" i="214"/>
  <c r="C95" i="214" s="1"/>
  <c r="B94" i="214"/>
  <c r="H94" i="214"/>
  <c r="H95" i="214"/>
  <c r="I95" i="214" s="1"/>
  <c r="P95" i="214"/>
  <c r="Q95" i="214" s="1"/>
  <c r="O103" i="214"/>
  <c r="N105" i="214"/>
  <c r="O105" i="214" s="1"/>
  <c r="Q105" i="214" s="1"/>
  <c r="Q116" i="214" s="1"/>
  <c r="N104" i="214"/>
  <c r="O104" i="214" s="1"/>
  <c r="Q104" i="214" s="1"/>
  <c r="Q115" i="214" s="1"/>
  <c r="P90" i="214"/>
  <c r="Q90" i="214" s="1"/>
  <c r="B62" i="214"/>
  <c r="I85" i="214"/>
  <c r="B90" i="214"/>
  <c r="C90" i="214" s="1"/>
  <c r="V99" i="214"/>
  <c r="W99" i="214" s="1"/>
  <c r="H69" i="214"/>
  <c r="K90" i="214"/>
  <c r="Q100" i="214"/>
  <c r="J35" i="214"/>
  <c r="J46" i="214" s="1"/>
  <c r="T94" i="214"/>
  <c r="B97" i="214"/>
  <c r="AW18" i="215"/>
  <c r="O18" i="215"/>
  <c r="N18" i="215"/>
  <c r="AV18" i="215" s="1"/>
  <c r="U85" i="214"/>
  <c r="T85" i="214"/>
  <c r="H78" i="214"/>
  <c r="H62" i="214"/>
  <c r="B60" i="214"/>
  <c r="B69" i="214"/>
  <c r="D37" i="214"/>
  <c r="D62" i="214" s="1"/>
  <c r="P41" i="214"/>
  <c r="N46" i="214"/>
  <c r="C15" i="214"/>
  <c r="V35" i="214"/>
  <c r="V46" i="214" s="1"/>
  <c r="J37" i="214"/>
  <c r="J62" i="214" s="1"/>
  <c r="V38" i="214"/>
  <c r="V71" i="214" s="1"/>
  <c r="J40" i="214"/>
  <c r="V41" i="214"/>
  <c r="T62" i="214"/>
  <c r="T76" i="214"/>
  <c r="E82" i="214"/>
  <c r="V36" i="214"/>
  <c r="V55" i="214" s="1"/>
  <c r="N76" i="214"/>
  <c r="N78" i="214"/>
  <c r="N62" i="214"/>
  <c r="H53" i="214"/>
  <c r="N60" i="214"/>
  <c r="T69" i="214"/>
  <c r="E81" i="214"/>
  <c r="T53" i="214"/>
  <c r="P38" i="214"/>
  <c r="P71" i="214" s="1"/>
  <c r="W81" i="214"/>
  <c r="P37" i="214"/>
  <c r="P62" i="214" s="1"/>
  <c r="P40" i="214"/>
  <c r="N89" i="214" s="1"/>
  <c r="H85" i="214"/>
  <c r="K81" i="214"/>
  <c r="H89" i="214"/>
  <c r="N99" i="214"/>
  <c r="T101" i="214"/>
  <c r="V101" i="214" s="1"/>
  <c r="D40" i="214"/>
  <c r="B89" i="214" s="1"/>
  <c r="C103" i="214"/>
  <c r="B105" i="214"/>
  <c r="C105" i="214" s="1"/>
  <c r="E105" i="214" s="1"/>
  <c r="E116" i="214" s="1"/>
  <c r="H60" i="214"/>
  <c r="W95" i="214"/>
  <c r="I103" i="214"/>
  <c r="N96" i="214"/>
  <c r="P96" i="214" s="1"/>
  <c r="N69" i="214"/>
  <c r="J42" i="214"/>
  <c r="U103" i="214"/>
  <c r="T105" i="214"/>
  <c r="U105" i="214" s="1"/>
  <c r="W105" i="214" s="1"/>
  <c r="W116" i="214" s="1"/>
  <c r="B76" i="214"/>
  <c r="B85" i="214"/>
  <c r="T60" i="214"/>
  <c r="H76" i="214"/>
  <c r="O85" i="214"/>
  <c r="Q81" i="214"/>
  <c r="N85" i="214"/>
  <c r="G4" i="215"/>
  <c r="AV4" i="215" s="1"/>
  <c r="B171" i="215"/>
  <c r="C171" i="215"/>
  <c r="R44" i="178"/>
  <c r="B71" i="140"/>
  <c r="B70" i="140"/>
  <c r="B69" i="140"/>
  <c r="B67" i="140"/>
  <c r="K54" i="140"/>
  <c r="B11" i="229" s="1"/>
  <c r="B9" i="230" s="1"/>
  <c r="J54" i="140"/>
  <c r="I54" i="140"/>
  <c r="H54" i="140"/>
  <c r="B11" i="223" s="1"/>
  <c r="B9" i="224" s="1"/>
  <c r="G54" i="140"/>
  <c r="B11" i="220" s="1"/>
  <c r="B9" i="221" s="1"/>
  <c r="F54" i="140"/>
  <c r="E54" i="140"/>
  <c r="B11" i="216" s="1"/>
  <c r="B9" i="217" s="1"/>
  <c r="D54" i="140"/>
  <c r="B11" i="214" s="1"/>
  <c r="C54" i="140"/>
  <c r="K59" i="140"/>
  <c r="B10" i="229" s="1"/>
  <c r="B8" i="230" s="1"/>
  <c r="J59" i="140"/>
  <c r="B10" i="227" s="1"/>
  <c r="B8" i="228" s="1"/>
  <c r="AW8" i="228" s="1"/>
  <c r="AX8" i="228" s="1"/>
  <c r="I59" i="140"/>
  <c r="B10" i="225" s="1"/>
  <c r="B8" i="226" s="1"/>
  <c r="AW8" i="226" s="1"/>
  <c r="AX8" i="226" s="1"/>
  <c r="H59" i="140"/>
  <c r="B10" i="223" s="1"/>
  <c r="B8" i="224" s="1"/>
  <c r="AW8" i="224" s="1"/>
  <c r="AX8" i="224" s="1"/>
  <c r="G59" i="140"/>
  <c r="B10" i="220" s="1"/>
  <c r="B8" i="221" s="1"/>
  <c r="AW8" i="221" s="1"/>
  <c r="AX8" i="221" s="1"/>
  <c r="E59" i="140"/>
  <c r="B10" i="216" s="1"/>
  <c r="B8" i="217" s="1"/>
  <c r="AW8" i="217" s="1"/>
  <c r="AX8" i="217" s="1"/>
  <c r="D59" i="140"/>
  <c r="B10" i="214" s="1"/>
  <c r="B8" i="215" s="1"/>
  <c r="AW8" i="215" s="1"/>
  <c r="AX8" i="215" s="1"/>
  <c r="C59" i="140"/>
  <c r="B10" i="179" s="1"/>
  <c r="B8" i="180" s="1"/>
  <c r="D27" i="140"/>
  <c r="D28" i="140"/>
  <c r="D29" i="140"/>
  <c r="C27" i="140"/>
  <c r="C28" i="140"/>
  <c r="C29" i="140"/>
  <c r="D26" i="140"/>
  <c r="C26" i="140"/>
  <c r="D25" i="140"/>
  <c r="D24" i="140"/>
  <c r="D23" i="140"/>
  <c r="D11" i="140"/>
  <c r="C24" i="140"/>
  <c r="C25" i="140"/>
  <c r="C23" i="140"/>
  <c r="F35" i="140"/>
  <c r="G35" i="140"/>
  <c r="W44" i="178"/>
  <c r="V44" i="178"/>
  <c r="U44" i="178"/>
  <c r="T44" i="178"/>
  <c r="S44" i="178"/>
  <c r="Q44" i="178"/>
  <c r="P44" i="178"/>
  <c r="O44" i="178"/>
  <c r="B59" i="140"/>
  <c r="B145" i="179"/>
  <c r="U125" i="179"/>
  <c r="U107" i="179"/>
  <c r="V105" i="179"/>
  <c r="V104" i="179"/>
  <c r="V84" i="179"/>
  <c r="U84" i="179"/>
  <c r="T84" i="179"/>
  <c r="V83" i="179"/>
  <c r="U83" i="179"/>
  <c r="T83" i="179"/>
  <c r="V82" i="179"/>
  <c r="U82" i="179"/>
  <c r="T82" i="179"/>
  <c r="V81" i="179"/>
  <c r="U81" i="179"/>
  <c r="T81" i="179"/>
  <c r="W78" i="179"/>
  <c r="V75" i="179"/>
  <c r="T75" i="179"/>
  <c r="V74" i="179"/>
  <c r="T74" i="179"/>
  <c r="W71" i="179"/>
  <c r="T68" i="179"/>
  <c r="T67" i="179"/>
  <c r="T66" i="179"/>
  <c r="T65" i="179"/>
  <c r="W62" i="179"/>
  <c r="V59" i="179"/>
  <c r="T59" i="179"/>
  <c r="V58" i="179"/>
  <c r="T58" i="179"/>
  <c r="W55" i="179"/>
  <c r="T52" i="179"/>
  <c r="T51" i="179"/>
  <c r="T50" i="179"/>
  <c r="T49" i="179"/>
  <c r="W46" i="179"/>
  <c r="V43" i="179"/>
  <c r="T103" i="179" s="1"/>
  <c r="T43" i="179"/>
  <c r="T42" i="179"/>
  <c r="V42" i="179" s="1"/>
  <c r="T41" i="179"/>
  <c r="V41" i="179" s="1"/>
  <c r="T40" i="179"/>
  <c r="V40" i="179" s="1"/>
  <c r="T39" i="179"/>
  <c r="V39" i="179" s="1"/>
  <c r="T38" i="179"/>
  <c r="V38" i="179" s="1"/>
  <c r="T37" i="179"/>
  <c r="T78" i="179" s="1"/>
  <c r="T36" i="179"/>
  <c r="V36" i="179" s="1"/>
  <c r="T35" i="179"/>
  <c r="T46" i="179" s="1"/>
  <c r="V34" i="179"/>
  <c r="U133" i="179" s="1"/>
  <c r="O125" i="179"/>
  <c r="O107" i="179"/>
  <c r="P105" i="179"/>
  <c r="P104" i="179"/>
  <c r="P84" i="179"/>
  <c r="O84" i="179"/>
  <c r="N84" i="179"/>
  <c r="P83" i="179"/>
  <c r="O83" i="179"/>
  <c r="N83" i="179"/>
  <c r="P82" i="179"/>
  <c r="O82" i="179"/>
  <c r="N82" i="179"/>
  <c r="P81" i="179"/>
  <c r="O81" i="179"/>
  <c r="N81" i="179"/>
  <c r="Q78" i="179"/>
  <c r="P75" i="179"/>
  <c r="N75" i="179"/>
  <c r="P74" i="179"/>
  <c r="N74" i="179"/>
  <c r="Q71" i="179"/>
  <c r="N68" i="179"/>
  <c r="N67" i="179"/>
  <c r="N66" i="179"/>
  <c r="N65" i="179"/>
  <c r="Q62" i="179"/>
  <c r="P59" i="179"/>
  <c r="N59" i="179"/>
  <c r="P58" i="179"/>
  <c r="N58" i="179"/>
  <c r="Q55" i="179"/>
  <c r="N52" i="179"/>
  <c r="N51" i="179"/>
  <c r="N50" i="179"/>
  <c r="N49" i="179"/>
  <c r="Q46" i="179"/>
  <c r="P43" i="179"/>
  <c r="N103" i="179" s="1"/>
  <c r="N43" i="179"/>
  <c r="N42" i="179"/>
  <c r="N97" i="179" s="1"/>
  <c r="N100" i="179" s="1"/>
  <c r="O100" i="179" s="1"/>
  <c r="N41" i="179"/>
  <c r="N92" i="179" s="1"/>
  <c r="N94" i="179" s="1"/>
  <c r="N40" i="179"/>
  <c r="N87" i="179" s="1"/>
  <c r="N90" i="179" s="1"/>
  <c r="O90" i="179" s="1"/>
  <c r="N39" i="179"/>
  <c r="P39" i="179" s="1"/>
  <c r="N38" i="179"/>
  <c r="P38" i="179" s="1"/>
  <c r="N37" i="179"/>
  <c r="N78" i="179" s="1"/>
  <c r="N36" i="179"/>
  <c r="N55" i="179" s="1"/>
  <c r="N35" i="179"/>
  <c r="N46" i="179" s="1"/>
  <c r="P34" i="179"/>
  <c r="O133" i="179" s="1"/>
  <c r="I125" i="179"/>
  <c r="I107" i="179"/>
  <c r="J105" i="179"/>
  <c r="J104" i="179"/>
  <c r="J84" i="179"/>
  <c r="I84" i="179"/>
  <c r="H84" i="179"/>
  <c r="J83" i="179"/>
  <c r="I83" i="179"/>
  <c r="H83" i="179"/>
  <c r="J82" i="179"/>
  <c r="I82" i="179"/>
  <c r="H82" i="179"/>
  <c r="J81" i="179"/>
  <c r="I81" i="179"/>
  <c r="H81" i="179"/>
  <c r="K78" i="179"/>
  <c r="J75" i="179"/>
  <c r="H75" i="179"/>
  <c r="J74" i="179"/>
  <c r="H74" i="179"/>
  <c r="K71" i="179"/>
  <c r="H68" i="179"/>
  <c r="H67" i="179"/>
  <c r="H66" i="179"/>
  <c r="H65" i="179"/>
  <c r="K62" i="179"/>
  <c r="J59" i="179"/>
  <c r="H59" i="179"/>
  <c r="J58" i="179"/>
  <c r="H58" i="179"/>
  <c r="K55" i="179"/>
  <c r="H52" i="179"/>
  <c r="H51" i="179"/>
  <c r="H50" i="179"/>
  <c r="H49" i="179"/>
  <c r="K46" i="179"/>
  <c r="J43" i="179"/>
  <c r="H103" i="179" s="1"/>
  <c r="H43" i="179"/>
  <c r="H42" i="179"/>
  <c r="J42" i="179" s="1"/>
  <c r="H41" i="179"/>
  <c r="J41" i="179" s="1"/>
  <c r="H40" i="179"/>
  <c r="H87" i="179" s="1"/>
  <c r="H39" i="179"/>
  <c r="J39" i="179" s="1"/>
  <c r="H38" i="179"/>
  <c r="J38" i="179" s="1"/>
  <c r="H37" i="179"/>
  <c r="H62" i="179" s="1"/>
  <c r="H36" i="179"/>
  <c r="H55" i="179" s="1"/>
  <c r="H35" i="179"/>
  <c r="H46" i="179" s="1"/>
  <c r="J34" i="179"/>
  <c r="I133" i="179" s="1"/>
  <c r="A6" i="180"/>
  <c r="A5" i="180"/>
  <c r="B20" i="179"/>
  <c r="B14" i="179"/>
  <c r="B9" i="179"/>
  <c r="B134" i="179"/>
  <c r="Q9" i="178"/>
  <c r="O9" i="178"/>
  <c r="D75" i="179"/>
  <c r="D74" i="179"/>
  <c r="B75" i="179"/>
  <c r="B74" i="179"/>
  <c r="Q16" i="178"/>
  <c r="B38" i="179"/>
  <c r="B71" i="179" s="1"/>
  <c r="E71" i="179"/>
  <c r="B54" i="140"/>
  <c r="C125" i="179"/>
  <c r="C107" i="179"/>
  <c r="D59" i="179"/>
  <c r="D58" i="179"/>
  <c r="B59" i="179"/>
  <c r="B58" i="179"/>
  <c r="B39" i="179"/>
  <c r="D39" i="179" s="1"/>
  <c r="E55" i="179"/>
  <c r="B11" i="225" l="1"/>
  <c r="B9" i="226" s="1"/>
  <c r="B11" i="227"/>
  <c r="B9" i="228" s="1"/>
  <c r="B11" i="218"/>
  <c r="B9" i="219" s="1"/>
  <c r="AW9" i="217"/>
  <c r="R9" i="217"/>
  <c r="Q9" i="217"/>
  <c r="AW9" i="221"/>
  <c r="Y9" i="221"/>
  <c r="X9" i="221"/>
  <c r="AV9" i="221" s="1"/>
  <c r="AW9" i="224"/>
  <c r="X9" i="224"/>
  <c r="Y9" i="224"/>
  <c r="AF9" i="230"/>
  <c r="AE9" i="230"/>
  <c r="AW9" i="230"/>
  <c r="AW8" i="230"/>
  <c r="W8" i="230"/>
  <c r="B11" i="179"/>
  <c r="B9" i="180" s="1"/>
  <c r="M9" i="180" s="1"/>
  <c r="B9" i="215"/>
  <c r="AW9" i="215" s="1"/>
  <c r="C86" i="214"/>
  <c r="Q85" i="214"/>
  <c r="P86" i="214" s="1"/>
  <c r="E85" i="214"/>
  <c r="D86" i="214" s="1"/>
  <c r="C79" i="214"/>
  <c r="K85" i="214"/>
  <c r="J86" i="214" s="1"/>
  <c r="W85" i="214"/>
  <c r="V86" i="214" s="1"/>
  <c r="B7" i="214"/>
  <c r="B5" i="215" s="1"/>
  <c r="V100" i="214"/>
  <c r="W100" i="214" s="1"/>
  <c r="W101" i="214" s="1"/>
  <c r="W111" i="214" s="1"/>
  <c r="C143" i="214"/>
  <c r="C145" i="214"/>
  <c r="C141" i="214"/>
  <c r="U145" i="214"/>
  <c r="O96" i="214"/>
  <c r="C139" i="214"/>
  <c r="I139" i="214"/>
  <c r="C138" i="214"/>
  <c r="I143" i="214"/>
  <c r="U89" i="214"/>
  <c r="V89" i="214" s="1"/>
  <c r="W89" i="214" s="1"/>
  <c r="C142" i="214"/>
  <c r="I142" i="214"/>
  <c r="T90" i="214"/>
  <c r="U90" i="214" s="1"/>
  <c r="I145" i="214"/>
  <c r="I141" i="214"/>
  <c r="Q96" i="214"/>
  <c r="H101" i="214"/>
  <c r="J101" i="214" s="1"/>
  <c r="O89" i="214"/>
  <c r="N91" i="214"/>
  <c r="J95" i="214"/>
  <c r="K95" i="214" s="1"/>
  <c r="B8" i="214"/>
  <c r="B6" i="215" s="1"/>
  <c r="I94" i="214"/>
  <c r="H96" i="214"/>
  <c r="J96" i="214" s="1"/>
  <c r="C94" i="214"/>
  <c r="B96" i="214"/>
  <c r="D96" i="214" s="1"/>
  <c r="U79" i="214"/>
  <c r="U86" i="214"/>
  <c r="O145" i="214"/>
  <c r="U142" i="214"/>
  <c r="U139" i="214"/>
  <c r="I86" i="214"/>
  <c r="I79" i="214"/>
  <c r="U143" i="214"/>
  <c r="B91" i="214"/>
  <c r="C89" i="214"/>
  <c r="U141" i="214"/>
  <c r="O79" i="214"/>
  <c r="O86" i="214"/>
  <c r="O99" i="214"/>
  <c r="N101" i="214"/>
  <c r="P101" i="214" s="1"/>
  <c r="AX18" i="215"/>
  <c r="D90" i="214"/>
  <c r="E90" i="214" s="1"/>
  <c r="O139" i="214"/>
  <c r="O138" i="214"/>
  <c r="O143" i="214"/>
  <c r="B99" i="214"/>
  <c r="B100" i="214"/>
  <c r="C100" i="214" s="1"/>
  <c r="J99" i="214"/>
  <c r="K99" i="214" s="1"/>
  <c r="K101" i="214" s="1"/>
  <c r="K111" i="214" s="1"/>
  <c r="I101" i="214"/>
  <c r="D95" i="214"/>
  <c r="E95" i="214" s="1"/>
  <c r="I89" i="214"/>
  <c r="H91" i="214"/>
  <c r="O141" i="214"/>
  <c r="U94" i="214"/>
  <c r="T96" i="214"/>
  <c r="V96" i="214" s="1"/>
  <c r="O134" i="179"/>
  <c r="O143" i="179" s="1"/>
  <c r="U134" i="179"/>
  <c r="U138" i="179" s="1"/>
  <c r="I134" i="179"/>
  <c r="I138" i="179" s="1"/>
  <c r="Q45" i="178"/>
  <c r="K82" i="179"/>
  <c r="Q82" i="179"/>
  <c r="W82" i="179"/>
  <c r="P78" i="179"/>
  <c r="H71" i="179"/>
  <c r="H76" i="179"/>
  <c r="V55" i="179"/>
  <c r="V71" i="179"/>
  <c r="T97" i="179"/>
  <c r="T100" i="179" s="1"/>
  <c r="U100" i="179" s="1"/>
  <c r="V100" i="179" s="1"/>
  <c r="W100" i="179" s="1"/>
  <c r="T92" i="179"/>
  <c r="T95" i="179" s="1"/>
  <c r="U95" i="179" s="1"/>
  <c r="V95" i="179" s="1"/>
  <c r="W95" i="179" s="1"/>
  <c r="N62" i="179"/>
  <c r="J71" i="179"/>
  <c r="J40" i="179"/>
  <c r="H89" i="179" s="1"/>
  <c r="I89" i="179" s="1"/>
  <c r="V78" i="179"/>
  <c r="H60" i="179"/>
  <c r="K81" i="179"/>
  <c r="Q83" i="179"/>
  <c r="I103" i="179"/>
  <c r="H105" i="179"/>
  <c r="I105" i="179" s="1"/>
  <c r="K105" i="179" s="1"/>
  <c r="K116" i="179" s="1"/>
  <c r="T71" i="179"/>
  <c r="J78" i="179"/>
  <c r="N60" i="179"/>
  <c r="N53" i="179"/>
  <c r="P37" i="179"/>
  <c r="P62" i="179" s="1"/>
  <c r="K83" i="179"/>
  <c r="P71" i="179"/>
  <c r="T55" i="179"/>
  <c r="Q81" i="179"/>
  <c r="K84" i="179"/>
  <c r="Q84" i="179"/>
  <c r="W84" i="179"/>
  <c r="N105" i="179"/>
  <c r="O105" i="179" s="1"/>
  <c r="Q105" i="179" s="1"/>
  <c r="Q116" i="179" s="1"/>
  <c r="N104" i="179"/>
  <c r="O104" i="179" s="1"/>
  <c r="Q104" i="179" s="1"/>
  <c r="Q115" i="179" s="1"/>
  <c r="O103" i="179"/>
  <c r="J35" i="179"/>
  <c r="J46" i="179" s="1"/>
  <c r="H53" i="179"/>
  <c r="I85" i="179"/>
  <c r="P40" i="179"/>
  <c r="N89" i="179" s="1"/>
  <c r="N85" i="179"/>
  <c r="N69" i="179"/>
  <c r="H97" i="179"/>
  <c r="P41" i="179"/>
  <c r="H78" i="179"/>
  <c r="N76" i="179"/>
  <c r="P36" i="179"/>
  <c r="P55" i="179" s="1"/>
  <c r="P42" i="179"/>
  <c r="N71" i="179"/>
  <c r="W83" i="179"/>
  <c r="H69" i="179"/>
  <c r="H85" i="179"/>
  <c r="J36" i="179"/>
  <c r="J55" i="179" s="1"/>
  <c r="H92" i="179"/>
  <c r="H94" i="179" s="1"/>
  <c r="I94" i="179" s="1"/>
  <c r="O85" i="179"/>
  <c r="P35" i="179"/>
  <c r="P46" i="179" s="1"/>
  <c r="J37" i="179"/>
  <c r="J62" i="179" s="1"/>
  <c r="T60" i="179"/>
  <c r="H104" i="179"/>
  <c r="I104" i="179" s="1"/>
  <c r="K104" i="179" s="1"/>
  <c r="K115" i="179" s="1"/>
  <c r="U85" i="179"/>
  <c r="T87" i="179"/>
  <c r="T90" i="179" s="1"/>
  <c r="U90" i="179" s="1"/>
  <c r="V90" i="179" s="1"/>
  <c r="W90" i="179" s="1"/>
  <c r="T104" i="179"/>
  <c r="U104" i="179" s="1"/>
  <c r="W104" i="179" s="1"/>
  <c r="W115" i="179" s="1"/>
  <c r="U103" i="179"/>
  <c r="T105" i="179"/>
  <c r="U105" i="179" s="1"/>
  <c r="W105" i="179" s="1"/>
  <c r="W116" i="179" s="1"/>
  <c r="T62" i="179"/>
  <c r="T76" i="179"/>
  <c r="T53" i="179"/>
  <c r="T85" i="179"/>
  <c r="V35" i="179"/>
  <c r="V46" i="179" s="1"/>
  <c r="W81" i="179"/>
  <c r="V37" i="179"/>
  <c r="V62" i="179" s="1"/>
  <c r="T69" i="179"/>
  <c r="O94" i="179"/>
  <c r="P90" i="179"/>
  <c r="Q90" i="179" s="1"/>
  <c r="P100" i="179"/>
  <c r="Q100" i="179" s="1"/>
  <c r="N99" i="179"/>
  <c r="N95" i="179"/>
  <c r="O95" i="179" s="1"/>
  <c r="H90" i="179"/>
  <c r="I90" i="179" s="1"/>
  <c r="B76" i="179"/>
  <c r="D38" i="179"/>
  <c r="D71" i="179" s="1"/>
  <c r="B60" i="179"/>
  <c r="D74" i="140"/>
  <c r="E74" i="140" s="1"/>
  <c r="F74" i="140" s="1"/>
  <c r="G74" i="140" s="1"/>
  <c r="H74" i="140" s="1"/>
  <c r="I74" i="140" s="1"/>
  <c r="J74" i="140" s="1"/>
  <c r="K74" i="140" s="1"/>
  <c r="L74" i="140" s="1"/>
  <c r="M74" i="140" s="1"/>
  <c r="N74" i="140" s="1"/>
  <c r="O74" i="140" s="1"/>
  <c r="P74" i="140" s="1"/>
  <c r="Q74" i="140" s="1"/>
  <c r="R74" i="140" s="1"/>
  <c r="S74" i="140" s="1"/>
  <c r="T74" i="140" s="1"/>
  <c r="U74" i="140" s="1"/>
  <c r="V74" i="140" s="1"/>
  <c r="W74" i="140" s="1"/>
  <c r="X74" i="140" s="1"/>
  <c r="Y74" i="140" s="1"/>
  <c r="Z74" i="140" s="1"/>
  <c r="AA74" i="140" s="1"/>
  <c r="AB74" i="140" s="1"/>
  <c r="AC74" i="140" s="1"/>
  <c r="AD74" i="140" s="1"/>
  <c r="AE74" i="140" s="1"/>
  <c r="AF74" i="140" s="1"/>
  <c r="AG74" i="140" s="1"/>
  <c r="AH74" i="140" s="1"/>
  <c r="AI74" i="140" s="1"/>
  <c r="AJ74" i="140" s="1"/>
  <c r="AK74" i="140" s="1"/>
  <c r="AL74" i="140" s="1"/>
  <c r="AM74" i="140" s="1"/>
  <c r="AN74" i="140" s="1"/>
  <c r="AO74" i="140" s="1"/>
  <c r="AP74" i="140" s="1"/>
  <c r="AQ74" i="140" s="1"/>
  <c r="AR74" i="140" s="1"/>
  <c r="AS74" i="140" s="1"/>
  <c r="AT74" i="140" s="1"/>
  <c r="C28" i="175"/>
  <c r="C29" i="175" s="1"/>
  <c r="AB68" i="229" s="1"/>
  <c r="C25" i="175"/>
  <c r="C26" i="175" s="1"/>
  <c r="AB67" i="229" s="1"/>
  <c r="C22" i="175"/>
  <c r="C23" i="175" s="1"/>
  <c r="AB66" i="229" s="1"/>
  <c r="C19" i="175"/>
  <c r="C20" i="175" s="1"/>
  <c r="AB65" i="229" s="1"/>
  <c r="S9" i="219" l="1"/>
  <c r="R9" i="219"/>
  <c r="AW9" i="219"/>
  <c r="AE9" i="228"/>
  <c r="AW9" i="228"/>
  <c r="AF9" i="228"/>
  <c r="X9" i="226"/>
  <c r="AW9" i="226"/>
  <c r="W9" i="226"/>
  <c r="AV9" i="226" s="1"/>
  <c r="AX9" i="226" s="1"/>
  <c r="M9" i="215"/>
  <c r="L9" i="215"/>
  <c r="AV9" i="224"/>
  <c r="AX9" i="224" s="1"/>
  <c r="L9" i="180"/>
  <c r="AX9" i="221"/>
  <c r="AV9" i="217"/>
  <c r="AX9" i="217" s="1"/>
  <c r="AV8" i="230"/>
  <c r="AX8" i="230" s="1"/>
  <c r="AV9" i="230"/>
  <c r="AX9" i="230" s="1"/>
  <c r="V66" i="227"/>
  <c r="J66" i="225"/>
  <c r="P66" i="223"/>
  <c r="V66" i="216"/>
  <c r="V66" i="225"/>
  <c r="V66" i="229"/>
  <c r="D66" i="218"/>
  <c r="V66" i="220"/>
  <c r="J66" i="227"/>
  <c r="P66" i="227"/>
  <c r="D66" i="225"/>
  <c r="J66" i="223"/>
  <c r="P66" i="216"/>
  <c r="P66" i="229"/>
  <c r="V66" i="218"/>
  <c r="D66" i="223"/>
  <c r="J66" i="216"/>
  <c r="P66" i="220"/>
  <c r="J66" i="229"/>
  <c r="P66" i="218"/>
  <c r="D66" i="229"/>
  <c r="J66" i="218"/>
  <c r="J66" i="220"/>
  <c r="D66" i="227"/>
  <c r="D66" i="216"/>
  <c r="D66" i="220"/>
  <c r="V66" i="223"/>
  <c r="P66" i="225"/>
  <c r="J66" i="214"/>
  <c r="D66" i="214"/>
  <c r="V66" i="214"/>
  <c r="P66" i="214"/>
  <c r="P66" i="179"/>
  <c r="J66" i="179"/>
  <c r="V66" i="179"/>
  <c r="V67" i="227"/>
  <c r="J67" i="225"/>
  <c r="P67" i="223"/>
  <c r="V67" i="216"/>
  <c r="J67" i="227"/>
  <c r="J67" i="216"/>
  <c r="V67" i="229"/>
  <c r="D67" i="218"/>
  <c r="V67" i="220"/>
  <c r="P67" i="227"/>
  <c r="D67" i="225"/>
  <c r="J67" i="223"/>
  <c r="P67" i="216"/>
  <c r="P67" i="229"/>
  <c r="V67" i="218"/>
  <c r="P67" i="220"/>
  <c r="V67" i="225"/>
  <c r="D67" i="223"/>
  <c r="J67" i="229"/>
  <c r="P67" i="218"/>
  <c r="D67" i="229"/>
  <c r="J67" i="218"/>
  <c r="D67" i="216"/>
  <c r="V67" i="223"/>
  <c r="P67" i="225"/>
  <c r="J67" i="220"/>
  <c r="D67" i="227"/>
  <c r="D67" i="220"/>
  <c r="J67" i="214"/>
  <c r="D67" i="214"/>
  <c r="V67" i="214"/>
  <c r="P67" i="214"/>
  <c r="P67" i="179"/>
  <c r="V67" i="179"/>
  <c r="J67" i="179"/>
  <c r="V65" i="227"/>
  <c r="J65" i="225"/>
  <c r="P65" i="223"/>
  <c r="V65" i="216"/>
  <c r="V65" i="229"/>
  <c r="D65" i="218"/>
  <c r="V65" i="225"/>
  <c r="V65" i="220"/>
  <c r="P65" i="227"/>
  <c r="D65" i="225"/>
  <c r="J65" i="223"/>
  <c r="P65" i="216"/>
  <c r="P65" i="229"/>
  <c r="V65" i="218"/>
  <c r="P65" i="220"/>
  <c r="J65" i="227"/>
  <c r="D65" i="223"/>
  <c r="J65" i="216"/>
  <c r="J65" i="229"/>
  <c r="P65" i="218"/>
  <c r="D65" i="229"/>
  <c r="J65" i="218"/>
  <c r="V65" i="223"/>
  <c r="D65" i="220"/>
  <c r="P65" i="225"/>
  <c r="D65" i="227"/>
  <c r="D65" i="216"/>
  <c r="J65" i="220"/>
  <c r="J65" i="214"/>
  <c r="D65" i="214"/>
  <c r="V65" i="214"/>
  <c r="P65" i="214"/>
  <c r="V65" i="179"/>
  <c r="P65" i="179"/>
  <c r="J65" i="179"/>
  <c r="V68" i="227"/>
  <c r="J68" i="225"/>
  <c r="P68" i="223"/>
  <c r="V68" i="216"/>
  <c r="V68" i="229"/>
  <c r="D68" i="218"/>
  <c r="V68" i="220"/>
  <c r="D68" i="223"/>
  <c r="P68" i="227"/>
  <c r="D68" i="225"/>
  <c r="J68" i="223"/>
  <c r="P68" i="216"/>
  <c r="P68" i="229"/>
  <c r="V68" i="218"/>
  <c r="P68" i="220"/>
  <c r="J68" i="227"/>
  <c r="V68" i="225"/>
  <c r="J68" i="216"/>
  <c r="J68" i="220"/>
  <c r="J68" i="229"/>
  <c r="P68" i="218"/>
  <c r="D68" i="229"/>
  <c r="J68" i="218"/>
  <c r="P68" i="225"/>
  <c r="D68" i="216"/>
  <c r="D68" i="220"/>
  <c r="D68" i="227"/>
  <c r="V68" i="223"/>
  <c r="J68" i="214"/>
  <c r="D68" i="214"/>
  <c r="V68" i="214"/>
  <c r="P68" i="214"/>
  <c r="P68" i="179"/>
  <c r="V68" i="179"/>
  <c r="J68" i="179"/>
  <c r="U141" i="179"/>
  <c r="U139" i="179"/>
  <c r="B17" i="214"/>
  <c r="B15" i="215" s="1"/>
  <c r="AW15" i="215" s="1"/>
  <c r="B19" i="214"/>
  <c r="B17" i="215" s="1"/>
  <c r="AW17" i="215" s="1"/>
  <c r="B12" i="214"/>
  <c r="B10" i="215" s="1"/>
  <c r="J10" i="215" s="1"/>
  <c r="AV10" i="215" s="1"/>
  <c r="B16" i="214"/>
  <c r="B14" i="215" s="1"/>
  <c r="U91" i="214"/>
  <c r="V90" i="214"/>
  <c r="W90" i="214" s="1"/>
  <c r="W91" i="214" s="1"/>
  <c r="T91" i="214"/>
  <c r="V91" i="214" s="1"/>
  <c r="P99" i="214"/>
  <c r="Q99" i="214" s="1"/>
  <c r="Q101" i="214" s="1"/>
  <c r="Q111" i="214" s="1"/>
  <c r="O101" i="214"/>
  <c r="B15" i="214"/>
  <c r="B13" i="215" s="1"/>
  <c r="B13" i="214"/>
  <c r="D100" i="214"/>
  <c r="E100" i="214" s="1"/>
  <c r="D94" i="214"/>
  <c r="E94" i="214" s="1"/>
  <c r="E96" i="214" s="1"/>
  <c r="C96" i="214"/>
  <c r="J94" i="214"/>
  <c r="K94" i="214" s="1"/>
  <c r="K96" i="214" s="1"/>
  <c r="I96" i="214"/>
  <c r="J89" i="214"/>
  <c r="K89" i="214" s="1"/>
  <c r="K91" i="214" s="1"/>
  <c r="I91" i="214"/>
  <c r="V94" i="214"/>
  <c r="W94" i="214" s="1"/>
  <c r="W96" i="214" s="1"/>
  <c r="U96" i="214"/>
  <c r="C99" i="214"/>
  <c r="B101" i="214"/>
  <c r="D101" i="214" s="1"/>
  <c r="D89" i="214"/>
  <c r="E89" i="214" s="1"/>
  <c r="E91" i="214" s="1"/>
  <c r="C91" i="214"/>
  <c r="H5" i="215"/>
  <c r="G5" i="215"/>
  <c r="F5" i="215"/>
  <c r="AW5" i="215"/>
  <c r="E5" i="215"/>
  <c r="D5" i="215"/>
  <c r="O5" i="215"/>
  <c r="C5" i="215"/>
  <c r="N5" i="215"/>
  <c r="M5" i="215"/>
  <c r="L5" i="215"/>
  <c r="K5" i="215"/>
  <c r="J5" i="215"/>
  <c r="I5" i="215"/>
  <c r="N6" i="215"/>
  <c r="M6" i="215"/>
  <c r="L6" i="215"/>
  <c r="K6" i="215"/>
  <c r="J6" i="215"/>
  <c r="I6" i="215"/>
  <c r="H6" i="215"/>
  <c r="G6" i="215"/>
  <c r="F6" i="215"/>
  <c r="AW6" i="215"/>
  <c r="E6" i="215"/>
  <c r="D6" i="215"/>
  <c r="O6" i="215"/>
  <c r="C6" i="215"/>
  <c r="P89" i="214"/>
  <c r="Q89" i="214" s="1"/>
  <c r="Q91" i="214" s="1"/>
  <c r="O91" i="214"/>
  <c r="O148" i="214" s="1"/>
  <c r="O139" i="179"/>
  <c r="O142" i="179"/>
  <c r="O138" i="179"/>
  <c r="U142" i="179"/>
  <c r="I143" i="179"/>
  <c r="I139" i="179"/>
  <c r="I145" i="179"/>
  <c r="O141" i="179"/>
  <c r="U143" i="179"/>
  <c r="I142" i="179"/>
  <c r="I141" i="179"/>
  <c r="O145" i="179"/>
  <c r="U145" i="179"/>
  <c r="U86" i="179"/>
  <c r="U79" i="179"/>
  <c r="T99" i="179"/>
  <c r="T94" i="179"/>
  <c r="T96" i="179" s="1"/>
  <c r="V96" i="179" s="1"/>
  <c r="O86" i="179"/>
  <c r="Q85" i="179"/>
  <c r="P86" i="179" s="1"/>
  <c r="W85" i="179"/>
  <c r="V86" i="179" s="1"/>
  <c r="I79" i="179"/>
  <c r="K85" i="179"/>
  <c r="J86" i="179" s="1"/>
  <c r="I86" i="179"/>
  <c r="T89" i="179"/>
  <c r="T91" i="179" s="1"/>
  <c r="H95" i="179"/>
  <c r="I95" i="179" s="1"/>
  <c r="J95" i="179" s="1"/>
  <c r="K95" i="179" s="1"/>
  <c r="N96" i="179"/>
  <c r="P96" i="179" s="1"/>
  <c r="H91" i="179"/>
  <c r="O79" i="179"/>
  <c r="H100" i="179"/>
  <c r="I100" i="179" s="1"/>
  <c r="H99" i="179"/>
  <c r="N101" i="179"/>
  <c r="P101" i="179" s="1"/>
  <c r="O99" i="179"/>
  <c r="O96" i="179"/>
  <c r="P94" i="179"/>
  <c r="Q94" i="179" s="1"/>
  <c r="N91" i="179"/>
  <c r="O89" i="179"/>
  <c r="P95" i="179"/>
  <c r="Q95" i="179" s="1"/>
  <c r="J94" i="179"/>
  <c r="K94" i="179" s="1"/>
  <c r="J89" i="179"/>
  <c r="K89" i="179" s="1"/>
  <c r="I91" i="179"/>
  <c r="J90" i="179"/>
  <c r="K90" i="179" s="1"/>
  <c r="D65" i="179"/>
  <c r="D66" i="179"/>
  <c r="D67" i="179"/>
  <c r="D68" i="179"/>
  <c r="AV9" i="228" l="1"/>
  <c r="AX9" i="228" s="1"/>
  <c r="AV9" i="219"/>
  <c r="AX9" i="219" s="1"/>
  <c r="AV9" i="215"/>
  <c r="AX9" i="215" s="1"/>
  <c r="L15" i="215"/>
  <c r="J15" i="215"/>
  <c r="AW10" i="215"/>
  <c r="M15" i="215"/>
  <c r="K15" i="215"/>
  <c r="N15" i="215"/>
  <c r="C148" i="214"/>
  <c r="J17" i="215"/>
  <c r="AV17" i="215" s="1"/>
  <c r="AX17" i="215" s="1"/>
  <c r="U148" i="214"/>
  <c r="U149" i="214"/>
  <c r="L14" i="215"/>
  <c r="N14" i="215"/>
  <c r="M14" i="215"/>
  <c r="K14" i="215"/>
  <c r="J14" i="215"/>
  <c r="AW14" i="215"/>
  <c r="I148" i="214"/>
  <c r="K110" i="214"/>
  <c r="I149" i="214"/>
  <c r="J91" i="214"/>
  <c r="E110" i="214"/>
  <c r="C149" i="214"/>
  <c r="D91" i="214"/>
  <c r="AV5" i="215"/>
  <c r="AX5" i="215" s="1"/>
  <c r="B11" i="215"/>
  <c r="G13" i="215"/>
  <c r="F13" i="215"/>
  <c r="E13" i="215"/>
  <c r="D13" i="215"/>
  <c r="AW13" i="215"/>
  <c r="M13" i="215"/>
  <c r="L13" i="215"/>
  <c r="K13" i="215"/>
  <c r="J13" i="215"/>
  <c r="I13" i="215"/>
  <c r="H13" i="215"/>
  <c r="Q110" i="214"/>
  <c r="O149" i="214"/>
  <c r="P91" i="214"/>
  <c r="W110" i="214"/>
  <c r="D99" i="214"/>
  <c r="C101" i="214"/>
  <c r="E99" i="214"/>
  <c r="E101" i="214" s="1"/>
  <c r="E111" i="214" s="1"/>
  <c r="AX10" i="215"/>
  <c r="AV6" i="215"/>
  <c r="AX6" i="215" s="1"/>
  <c r="T101" i="179"/>
  <c r="V101" i="179" s="1"/>
  <c r="U99" i="179"/>
  <c r="V99" i="179" s="1"/>
  <c r="W99" i="179" s="1"/>
  <c r="W101" i="179" s="1"/>
  <c r="W111" i="179" s="1"/>
  <c r="U94" i="179"/>
  <c r="U96" i="179" s="1"/>
  <c r="I96" i="179"/>
  <c r="I148" i="179" s="1"/>
  <c r="Q96" i="179"/>
  <c r="H96" i="179"/>
  <c r="J96" i="179" s="1"/>
  <c r="J100" i="179"/>
  <c r="K100" i="179" s="1"/>
  <c r="I99" i="179"/>
  <c r="H101" i="179"/>
  <c r="J101" i="179" s="1"/>
  <c r="U89" i="179"/>
  <c r="V89" i="179" s="1"/>
  <c r="O91" i="179"/>
  <c r="O148" i="179" s="1"/>
  <c r="P89" i="179"/>
  <c r="Q89" i="179" s="1"/>
  <c r="Q91" i="179" s="1"/>
  <c r="P99" i="179"/>
  <c r="Q99" i="179" s="1"/>
  <c r="Q101" i="179" s="1"/>
  <c r="Q111" i="179" s="1"/>
  <c r="O101" i="179"/>
  <c r="K91" i="179"/>
  <c r="K96" i="179"/>
  <c r="F3" i="140"/>
  <c r="F4" i="140"/>
  <c r="F5" i="140"/>
  <c r="E6" i="140"/>
  <c r="AV15" i="215" l="1"/>
  <c r="AX15" i="215" s="1"/>
  <c r="AV14" i="215"/>
  <c r="AX14" i="215" s="1"/>
  <c r="B22" i="214"/>
  <c r="B20" i="215" s="1"/>
  <c r="AW20" i="215" s="1"/>
  <c r="O149" i="179"/>
  <c r="AV13" i="215"/>
  <c r="AX13" i="215" s="1"/>
  <c r="B23" i="214"/>
  <c r="B21" i="215" s="1"/>
  <c r="AW11" i="215"/>
  <c r="J11" i="215"/>
  <c r="I11" i="215"/>
  <c r="H11" i="215"/>
  <c r="G11" i="215"/>
  <c r="F11" i="215"/>
  <c r="I149" i="179"/>
  <c r="V94" i="179"/>
  <c r="W94" i="179" s="1"/>
  <c r="W96" i="179" s="1"/>
  <c r="U101" i="179"/>
  <c r="U91" i="179"/>
  <c r="U148" i="179" s="1"/>
  <c r="W89" i="179"/>
  <c r="W91" i="179" s="1"/>
  <c r="I101" i="179"/>
  <c r="J99" i="179"/>
  <c r="K99" i="179" s="1"/>
  <c r="K101" i="179" s="1"/>
  <c r="K111" i="179" s="1"/>
  <c r="Q110" i="179"/>
  <c r="P91" i="179"/>
  <c r="K110" i="179"/>
  <c r="J91" i="179"/>
  <c r="F6" i="140"/>
  <c r="B68" i="140"/>
  <c r="B66" i="140"/>
  <c r="B65" i="140"/>
  <c r="B64" i="140"/>
  <c r="C31" i="140"/>
  <c r="C32" i="140"/>
  <c r="C33" i="140"/>
  <c r="C30" i="140"/>
  <c r="C34" i="140"/>
  <c r="C21" i="140"/>
  <c r="C22" i="140"/>
  <c r="C19" i="140"/>
  <c r="C20" i="140"/>
  <c r="C18" i="140"/>
  <c r="C17" i="140"/>
  <c r="C16" i="140"/>
  <c r="C15" i="140"/>
  <c r="C14" i="140"/>
  <c r="C12" i="140"/>
  <c r="C13" i="140"/>
  <c r="C11" i="140"/>
  <c r="C14" i="179"/>
  <c r="C15" i="179" s="1"/>
  <c r="D105" i="179"/>
  <c r="D104" i="179"/>
  <c r="D43" i="179"/>
  <c r="B103" i="179" s="1"/>
  <c r="C103" i="179" s="1"/>
  <c r="D81" i="179"/>
  <c r="B82" i="179"/>
  <c r="B83" i="179"/>
  <c r="B84" i="179"/>
  <c r="B81" i="179"/>
  <c r="E78" i="179"/>
  <c r="D78" i="179" s="1"/>
  <c r="E62" i="179"/>
  <c r="B37" i="179"/>
  <c r="B36" i="179"/>
  <c r="B40" i="179"/>
  <c r="B87" i="179" s="1"/>
  <c r="B41" i="179"/>
  <c r="B92" i="179" s="1"/>
  <c r="B42" i="179"/>
  <c r="D42" i="179" s="1"/>
  <c r="B35" i="179"/>
  <c r="B46" i="179" s="1"/>
  <c r="B43" i="179"/>
  <c r="B66" i="179"/>
  <c r="B67" i="179"/>
  <c r="B68" i="179"/>
  <c r="B65" i="179"/>
  <c r="B50" i="179"/>
  <c r="B51" i="179"/>
  <c r="B52" i="179"/>
  <c r="B49" i="179"/>
  <c r="E46" i="179"/>
  <c r="W36" i="178"/>
  <c r="V36" i="178"/>
  <c r="U36" i="178"/>
  <c r="T36" i="178"/>
  <c r="S36" i="178"/>
  <c r="R36" i="178"/>
  <c r="P36" i="178"/>
  <c r="N36" i="178"/>
  <c r="W30" i="178"/>
  <c r="V30" i="178"/>
  <c r="U30" i="178"/>
  <c r="T30" i="178"/>
  <c r="S30" i="178"/>
  <c r="R30" i="178"/>
  <c r="P30" i="178"/>
  <c r="N30" i="178"/>
  <c r="W25" i="178"/>
  <c r="V25" i="178"/>
  <c r="U25" i="178"/>
  <c r="T25" i="178"/>
  <c r="S25" i="178"/>
  <c r="R25" i="178"/>
  <c r="P25" i="178"/>
  <c r="N25" i="178"/>
  <c r="W21" i="178"/>
  <c r="V21" i="178"/>
  <c r="U21" i="178"/>
  <c r="T21" i="178"/>
  <c r="S21" i="178"/>
  <c r="R21" i="178"/>
  <c r="P21" i="178"/>
  <c r="N21" i="178"/>
  <c r="W16" i="178"/>
  <c r="V16" i="178"/>
  <c r="U16" i="178"/>
  <c r="T16" i="178"/>
  <c r="S16" i="178"/>
  <c r="R16" i="178"/>
  <c r="P16" i="178"/>
  <c r="N16" i="178"/>
  <c r="W12" i="178"/>
  <c r="V12" i="178"/>
  <c r="U12" i="178"/>
  <c r="T12" i="178"/>
  <c r="S12" i="178"/>
  <c r="R12" i="178"/>
  <c r="P12" i="178"/>
  <c r="N12" i="178"/>
  <c r="W9" i="178"/>
  <c r="V9" i="178"/>
  <c r="U9" i="178"/>
  <c r="T9" i="178"/>
  <c r="S9" i="178"/>
  <c r="R9" i="178"/>
  <c r="P9" i="178"/>
  <c r="N9" i="178"/>
  <c r="W6" i="178"/>
  <c r="V6" i="178"/>
  <c r="U6" i="178"/>
  <c r="T6" i="178"/>
  <c r="S6" i="178"/>
  <c r="R6" i="178"/>
  <c r="P6" i="178"/>
  <c r="N6" i="178"/>
  <c r="E172" i="180"/>
  <c r="D172" i="180" s="1"/>
  <c r="E171" i="180"/>
  <c r="B171" i="180" s="1"/>
  <c r="C169" i="180"/>
  <c r="B32" i="180"/>
  <c r="AW8" i="180"/>
  <c r="AV7" i="180"/>
  <c r="AW7" i="180"/>
  <c r="F4" i="180"/>
  <c r="J3" i="180"/>
  <c r="K3" i="180" s="1"/>
  <c r="L3" i="180" s="1"/>
  <c r="M3" i="180" s="1"/>
  <c r="N3" i="180" s="1"/>
  <c r="O3" i="180" s="1"/>
  <c r="P3" i="180" s="1"/>
  <c r="Q3" i="180" s="1"/>
  <c r="R3" i="180" s="1"/>
  <c r="S3" i="180" s="1"/>
  <c r="T3" i="180" s="1"/>
  <c r="U3" i="180" s="1"/>
  <c r="V3" i="180" s="1"/>
  <c r="W3" i="180" s="1"/>
  <c r="X3" i="180" s="1"/>
  <c r="Y3" i="180" s="1"/>
  <c r="Z3" i="180" s="1"/>
  <c r="AA3" i="180" s="1"/>
  <c r="AB3" i="180" s="1"/>
  <c r="AC3" i="180" s="1"/>
  <c r="AD3" i="180" s="1"/>
  <c r="AE3" i="180" s="1"/>
  <c r="AF3" i="180" s="1"/>
  <c r="AG3" i="180" s="1"/>
  <c r="AH3" i="180" s="1"/>
  <c r="AI3" i="180" s="1"/>
  <c r="AJ3" i="180" s="1"/>
  <c r="AK3" i="180" s="1"/>
  <c r="AL3" i="180" s="1"/>
  <c r="AM3" i="180" s="1"/>
  <c r="AN3" i="180" s="1"/>
  <c r="AO3" i="180" s="1"/>
  <c r="AP3" i="180" s="1"/>
  <c r="AQ3" i="180" s="1"/>
  <c r="AR3" i="180" s="1"/>
  <c r="AS3" i="180" s="1"/>
  <c r="AT3" i="180" s="1"/>
  <c r="AU3" i="180" s="1"/>
  <c r="E3" i="180"/>
  <c r="F3" i="180" s="1"/>
  <c r="G3" i="180" s="1"/>
  <c r="E1" i="180"/>
  <c r="D1" i="180"/>
  <c r="C1" i="180"/>
  <c r="D84" i="179"/>
  <c r="C84" i="179"/>
  <c r="D83" i="179"/>
  <c r="C83" i="179"/>
  <c r="D82" i="179"/>
  <c r="C82" i="179"/>
  <c r="C81" i="179"/>
  <c r="N20" i="215" l="1"/>
  <c r="O20" i="215"/>
  <c r="U149" i="179"/>
  <c r="AV11" i="215"/>
  <c r="N21" i="215"/>
  <c r="AW21" i="215"/>
  <c r="P21" i="215"/>
  <c r="O21" i="215"/>
  <c r="W45" i="178"/>
  <c r="R45" i="178"/>
  <c r="S45" i="178"/>
  <c r="T45" i="178"/>
  <c r="U45" i="178"/>
  <c r="P45" i="178"/>
  <c r="V45" i="178"/>
  <c r="E173" i="180"/>
  <c r="V91" i="179"/>
  <c r="W110" i="179"/>
  <c r="AX7" i="180"/>
  <c r="B104" i="179"/>
  <c r="B105" i="179"/>
  <c r="D37" i="179"/>
  <c r="D62" i="179" s="1"/>
  <c r="B62" i="179"/>
  <c r="B55" i="179"/>
  <c r="B78" i="179"/>
  <c r="B97" i="179"/>
  <c r="B94" i="179"/>
  <c r="B95" i="179"/>
  <c r="D40" i="179"/>
  <c r="B89" i="179" s="1"/>
  <c r="D41" i="179"/>
  <c r="B69" i="179"/>
  <c r="E84" i="179"/>
  <c r="E83" i="179"/>
  <c r="E82" i="179"/>
  <c r="C85" i="179"/>
  <c r="B53" i="179"/>
  <c r="G4" i="180"/>
  <c r="AV4" i="180" s="1"/>
  <c r="AV8" i="180"/>
  <c r="AX8" i="180" s="1"/>
  <c r="E81" i="179"/>
  <c r="B85" i="179"/>
  <c r="C171" i="180"/>
  <c r="AV20" i="215" l="1"/>
  <c r="AX20" i="215" s="1"/>
  <c r="AX11" i="215"/>
  <c r="AV21" i="215"/>
  <c r="AX21" i="215" s="1"/>
  <c r="C105" i="179"/>
  <c r="E105" i="179" s="1"/>
  <c r="E116" i="179" s="1"/>
  <c r="C104" i="179"/>
  <c r="E104" i="179" s="1"/>
  <c r="E115" i="179" s="1"/>
  <c r="B90" i="179"/>
  <c r="C90" i="179" s="1"/>
  <c r="C79" i="179"/>
  <c r="B100" i="179"/>
  <c r="C100" i="179" s="1"/>
  <c r="B99" i="179"/>
  <c r="C89" i="179"/>
  <c r="C95" i="179"/>
  <c r="E85" i="179"/>
  <c r="D86" i="179" s="1"/>
  <c r="C86" i="179"/>
  <c r="D100" i="179" l="1"/>
  <c r="E100" i="179" s="1"/>
  <c r="D90" i="179"/>
  <c r="E90" i="179" s="1"/>
  <c r="D95" i="179"/>
  <c r="E95" i="179" s="1"/>
  <c r="B101" i="179"/>
  <c r="C99" i="179"/>
  <c r="B96" i="179"/>
  <c r="C94" i="179"/>
  <c r="B91" i="179"/>
  <c r="C101" i="179" l="1"/>
  <c r="D99" i="179"/>
  <c r="E99" i="179" s="1"/>
  <c r="C96" i="179"/>
  <c r="D94" i="179"/>
  <c r="C91" i="179"/>
  <c r="D89" i="179"/>
  <c r="E89" i="179" s="1"/>
  <c r="C148" i="179" l="1"/>
  <c r="B22" i="179" s="1"/>
  <c r="B20" i="180" s="1"/>
  <c r="E94" i="179"/>
  <c r="E96" i="179" s="1"/>
  <c r="D96" i="179" s="1"/>
  <c r="O20" i="180" l="1"/>
  <c r="N20" i="180"/>
  <c r="E101" i="179" l="1"/>
  <c r="I75" i="177"/>
  <c r="L74" i="177"/>
  <c r="L73" i="177"/>
  <c r="L72" i="177"/>
  <c r="L71" i="177"/>
  <c r="L70" i="177"/>
  <c r="I68" i="177"/>
  <c r="H68" i="177"/>
  <c r="G68" i="177"/>
  <c r="F68" i="177"/>
  <c r="E68" i="177"/>
  <c r="D68" i="177"/>
  <c r="L67" i="177"/>
  <c r="L66" i="177"/>
  <c r="L65" i="177"/>
  <c r="L64" i="177"/>
  <c r="L63" i="177"/>
  <c r="J61" i="177"/>
  <c r="I61" i="177"/>
  <c r="H61" i="177"/>
  <c r="G61" i="177"/>
  <c r="L60" i="177"/>
  <c r="L59" i="177"/>
  <c r="L58" i="177"/>
  <c r="L57" i="177"/>
  <c r="L56" i="177"/>
  <c r="J53" i="177"/>
  <c r="I53" i="177"/>
  <c r="H53" i="177"/>
  <c r="G53" i="177"/>
  <c r="F53" i="177"/>
  <c r="I51" i="177"/>
  <c r="H51" i="177"/>
  <c r="K50" i="177"/>
  <c r="J50" i="177"/>
  <c r="I50" i="177"/>
  <c r="I54" i="177" s="1"/>
  <c r="J49" i="177"/>
  <c r="I49" i="177"/>
  <c r="H49" i="177"/>
  <c r="G49" i="177"/>
  <c r="F49" i="177"/>
  <c r="K47" i="177"/>
  <c r="K51" i="177" s="1"/>
  <c r="J47" i="177"/>
  <c r="J51" i="177" s="1"/>
  <c r="I47" i="177"/>
  <c r="I52" i="177" s="1"/>
  <c r="H47" i="177"/>
  <c r="H50" i="177" s="1"/>
  <c r="G47" i="177"/>
  <c r="G50" i="177" s="1"/>
  <c r="F47" i="177"/>
  <c r="F61" i="177" s="1"/>
  <c r="E47" i="177"/>
  <c r="E53" i="177" s="1"/>
  <c r="D47" i="177"/>
  <c r="D61" i="177" s="1"/>
  <c r="C47" i="177"/>
  <c r="C68" i="177" s="1"/>
  <c r="G33" i="177"/>
  <c r="D33" i="177"/>
  <c r="C33" i="177"/>
  <c r="E111" i="179" l="1"/>
  <c r="J54" i="177"/>
  <c r="L68" i="177"/>
  <c r="E75" i="177"/>
  <c r="E52" i="177"/>
  <c r="D75" i="177"/>
  <c r="K53" i="177"/>
  <c r="K61" i="177"/>
  <c r="F75" i="177"/>
  <c r="C50" i="177"/>
  <c r="F51" i="177"/>
  <c r="J68" i="177"/>
  <c r="G75" i="177"/>
  <c r="C52" i="177"/>
  <c r="C51" i="177"/>
  <c r="F52" i="177"/>
  <c r="D51" i="177"/>
  <c r="G52" i="177"/>
  <c r="K49" i="177"/>
  <c r="E51" i="177"/>
  <c r="H52" i="177"/>
  <c r="H54" i="177" s="1"/>
  <c r="D50" i="177"/>
  <c r="G51" i="177"/>
  <c r="G54" i="177" s="1"/>
  <c r="J52" i="177"/>
  <c r="K68" i="177"/>
  <c r="H75" i="177"/>
  <c r="C75" i="177"/>
  <c r="J75" i="177"/>
  <c r="D52" i="177"/>
  <c r="E50" i="177"/>
  <c r="K52" i="177"/>
  <c r="C61" i="177"/>
  <c r="L61" i="177" s="1"/>
  <c r="D49" i="177"/>
  <c r="D53" i="177"/>
  <c r="E61" i="177"/>
  <c r="K75" i="177"/>
  <c r="C49" i="177"/>
  <c r="F50" i="177"/>
  <c r="F54" i="177" s="1"/>
  <c r="C53" i="177"/>
  <c r="E49" i="177"/>
  <c r="C16" i="175"/>
  <c r="AB52" i="229" s="1"/>
  <c r="C15" i="175"/>
  <c r="C13" i="175"/>
  <c r="AB51" i="229" s="1"/>
  <c r="C12" i="175"/>
  <c r="C10" i="175"/>
  <c r="AB50" i="229" s="1"/>
  <c r="C9" i="175"/>
  <c r="C7" i="175"/>
  <c r="AB49" i="229" s="1"/>
  <c r="C6" i="175"/>
  <c r="J75" i="168"/>
  <c r="I75" i="168"/>
  <c r="L74" i="168"/>
  <c r="L73" i="168"/>
  <c r="L72" i="168"/>
  <c r="L71" i="168"/>
  <c r="L70" i="168"/>
  <c r="J68" i="168"/>
  <c r="I68" i="168"/>
  <c r="H68" i="168"/>
  <c r="G68" i="168"/>
  <c r="F68" i="168"/>
  <c r="E68" i="168"/>
  <c r="D68" i="168"/>
  <c r="L67" i="168"/>
  <c r="L66" i="168"/>
  <c r="L65" i="168"/>
  <c r="L64" i="168"/>
  <c r="L63" i="168"/>
  <c r="J61" i="168"/>
  <c r="I61" i="168"/>
  <c r="H61" i="168"/>
  <c r="G61" i="168"/>
  <c r="C61" i="168"/>
  <c r="L60" i="168"/>
  <c r="L59" i="168"/>
  <c r="L58" i="168"/>
  <c r="L57" i="168"/>
  <c r="L56" i="168"/>
  <c r="J53" i="168"/>
  <c r="I53" i="168"/>
  <c r="H53" i="168"/>
  <c r="G53" i="168"/>
  <c r="F53" i="168"/>
  <c r="J51" i="168"/>
  <c r="I51" i="168"/>
  <c r="H51" i="168"/>
  <c r="J50" i="168"/>
  <c r="I50" i="168"/>
  <c r="I54" i="168" s="1"/>
  <c r="F50" i="168"/>
  <c r="E50" i="168"/>
  <c r="J49" i="168"/>
  <c r="I49" i="168"/>
  <c r="H49" i="168"/>
  <c r="G49" i="168"/>
  <c r="F49" i="168"/>
  <c r="K47" i="168"/>
  <c r="K51" i="168" s="1"/>
  <c r="J47" i="168"/>
  <c r="J52" i="168" s="1"/>
  <c r="I47" i="168"/>
  <c r="I52" i="168" s="1"/>
  <c r="H47" i="168"/>
  <c r="H50" i="168" s="1"/>
  <c r="G47" i="168"/>
  <c r="G50" i="168" s="1"/>
  <c r="F47" i="168"/>
  <c r="F61" i="168" s="1"/>
  <c r="E47" i="168"/>
  <c r="E53" i="168" s="1"/>
  <c r="D47" i="168"/>
  <c r="D53" i="168" s="1"/>
  <c r="C47" i="168"/>
  <c r="C68" i="168" s="1"/>
  <c r="G33" i="168"/>
  <c r="D33" i="168"/>
  <c r="C33" i="168"/>
  <c r="AA52" i="229" l="1"/>
  <c r="AC52" i="229" s="1"/>
  <c r="AA68" i="229"/>
  <c r="AC68" i="229" s="1"/>
  <c r="AA59" i="229"/>
  <c r="AC59" i="229" s="1"/>
  <c r="AA51" i="229"/>
  <c r="AC51" i="229" s="1"/>
  <c r="AA67" i="229"/>
  <c r="AC67" i="229" s="1"/>
  <c r="AA58" i="229"/>
  <c r="AA75" i="229"/>
  <c r="AC75" i="229" s="1"/>
  <c r="AA65" i="229"/>
  <c r="AA49" i="229"/>
  <c r="AA74" i="229"/>
  <c r="AA50" i="229"/>
  <c r="AC50" i="229" s="1"/>
  <c r="AA66" i="229"/>
  <c r="AC66" i="229" s="1"/>
  <c r="V52" i="218"/>
  <c r="P52" i="227"/>
  <c r="P52" i="220"/>
  <c r="J52" i="218"/>
  <c r="J52" i="225"/>
  <c r="P52" i="229"/>
  <c r="V52" i="225"/>
  <c r="D52" i="223"/>
  <c r="J52" i="216"/>
  <c r="P52" i="218"/>
  <c r="J52" i="227"/>
  <c r="J52" i="220"/>
  <c r="J52" i="229"/>
  <c r="P52" i="225"/>
  <c r="V52" i="223"/>
  <c r="D52" i="216"/>
  <c r="D52" i="227"/>
  <c r="D52" i="220"/>
  <c r="D52" i="229"/>
  <c r="P52" i="223"/>
  <c r="V52" i="227"/>
  <c r="V52" i="220"/>
  <c r="V52" i="229"/>
  <c r="D52" i="225"/>
  <c r="P52" i="216"/>
  <c r="V52" i="216"/>
  <c r="D52" i="218"/>
  <c r="J52" i="223"/>
  <c r="D52" i="214"/>
  <c r="V52" i="214"/>
  <c r="J52" i="214"/>
  <c r="P52" i="214"/>
  <c r="J52" i="179"/>
  <c r="V52" i="179"/>
  <c r="P52" i="179"/>
  <c r="U51" i="229"/>
  <c r="C75" i="225"/>
  <c r="E75" i="225" s="1"/>
  <c r="C51" i="225"/>
  <c r="I75" i="223"/>
  <c r="K75" i="223" s="1"/>
  <c r="I51" i="223"/>
  <c r="C67" i="220"/>
  <c r="E67" i="220" s="1"/>
  <c r="O58" i="218"/>
  <c r="O75" i="216"/>
  <c r="Q75" i="216" s="1"/>
  <c r="O51" i="216"/>
  <c r="O75" i="225"/>
  <c r="Q75" i="225" s="1"/>
  <c r="O67" i="220"/>
  <c r="Q67" i="220" s="1"/>
  <c r="I58" i="229"/>
  <c r="U67" i="227"/>
  <c r="W67" i="227" s="1"/>
  <c r="I58" i="227"/>
  <c r="I67" i="225"/>
  <c r="K67" i="225" s="1"/>
  <c r="O67" i="223"/>
  <c r="Q67" i="223" s="1"/>
  <c r="I58" i="220"/>
  <c r="U75" i="218"/>
  <c r="W75" i="218" s="1"/>
  <c r="U51" i="218"/>
  <c r="U67" i="216"/>
  <c r="W67" i="216" s="1"/>
  <c r="I75" i="229"/>
  <c r="K75" i="229" s="1"/>
  <c r="U67" i="229"/>
  <c r="W67" i="229" s="1"/>
  <c r="I75" i="227"/>
  <c r="K75" i="227" s="1"/>
  <c r="O51" i="227"/>
  <c r="O58" i="225"/>
  <c r="U58" i="223"/>
  <c r="O75" i="220"/>
  <c r="Q75" i="220" s="1"/>
  <c r="O51" i="220"/>
  <c r="C67" i="218"/>
  <c r="E67" i="218" s="1"/>
  <c r="C58" i="216"/>
  <c r="O51" i="225"/>
  <c r="O51" i="229"/>
  <c r="U75" i="225"/>
  <c r="W75" i="225" s="1"/>
  <c r="U51" i="225"/>
  <c r="C75" i="223"/>
  <c r="E75" i="223" s="1"/>
  <c r="C51" i="223"/>
  <c r="U67" i="220"/>
  <c r="W67" i="220" s="1"/>
  <c r="I58" i="218"/>
  <c r="I75" i="216"/>
  <c r="K75" i="216" s="1"/>
  <c r="I51" i="216"/>
  <c r="C58" i="229"/>
  <c r="O67" i="227"/>
  <c r="Q67" i="227" s="1"/>
  <c r="C58" i="227"/>
  <c r="C67" i="225"/>
  <c r="E67" i="225" s="1"/>
  <c r="I67" i="223"/>
  <c r="K67" i="223" s="1"/>
  <c r="C58" i="220"/>
  <c r="O75" i="218"/>
  <c r="Q75" i="218" s="1"/>
  <c r="O51" i="218"/>
  <c r="O67" i="216"/>
  <c r="Q67" i="216" s="1"/>
  <c r="C75" i="229"/>
  <c r="E75" i="229" s="1"/>
  <c r="O67" i="229"/>
  <c r="Q67" i="229" s="1"/>
  <c r="C75" i="227"/>
  <c r="E75" i="227" s="1"/>
  <c r="I51" i="227"/>
  <c r="I58" i="225"/>
  <c r="O58" i="223"/>
  <c r="I75" i="220"/>
  <c r="K75" i="220" s="1"/>
  <c r="I51" i="220"/>
  <c r="U67" i="218"/>
  <c r="W67" i="218" s="1"/>
  <c r="U58" i="216"/>
  <c r="I51" i="229"/>
  <c r="U75" i="223"/>
  <c r="W75" i="223" s="1"/>
  <c r="U51" i="223"/>
  <c r="C58" i="218"/>
  <c r="C75" i="216"/>
  <c r="E75" i="216" s="1"/>
  <c r="C51" i="216"/>
  <c r="I58" i="223"/>
  <c r="C75" i="220"/>
  <c r="E75" i="220" s="1"/>
  <c r="U58" i="229"/>
  <c r="I67" i="227"/>
  <c r="K67" i="227" s="1"/>
  <c r="U58" i="227"/>
  <c r="U67" i="225"/>
  <c r="W67" i="225" s="1"/>
  <c r="C67" i="223"/>
  <c r="E67" i="223" s="1"/>
  <c r="U58" i="220"/>
  <c r="I75" i="218"/>
  <c r="K75" i="218" s="1"/>
  <c r="I51" i="218"/>
  <c r="I67" i="216"/>
  <c r="K67" i="216" s="1"/>
  <c r="U75" i="229"/>
  <c r="W75" i="229" s="1"/>
  <c r="I67" i="229"/>
  <c r="K67" i="229" s="1"/>
  <c r="U75" i="227"/>
  <c r="W75" i="227" s="1"/>
  <c r="C51" i="227"/>
  <c r="C58" i="225"/>
  <c r="O58" i="229"/>
  <c r="C67" i="227"/>
  <c r="E67" i="227" s="1"/>
  <c r="O58" i="227"/>
  <c r="O67" i="225"/>
  <c r="Q67" i="225" s="1"/>
  <c r="U67" i="223"/>
  <c r="W67" i="223" s="1"/>
  <c r="O58" i="220"/>
  <c r="C75" i="218"/>
  <c r="E75" i="218" s="1"/>
  <c r="C51" i="218"/>
  <c r="C67" i="216"/>
  <c r="E67" i="216" s="1"/>
  <c r="O75" i="229"/>
  <c r="Q75" i="229" s="1"/>
  <c r="C67" i="229"/>
  <c r="E67" i="229" s="1"/>
  <c r="U51" i="216"/>
  <c r="U75" i="220"/>
  <c r="W75" i="220" s="1"/>
  <c r="U51" i="220"/>
  <c r="C51" i="220"/>
  <c r="O67" i="218"/>
  <c r="Q67" i="218" s="1"/>
  <c r="I67" i="220"/>
  <c r="K67" i="220" s="1"/>
  <c r="C58" i="223"/>
  <c r="O75" i="223"/>
  <c r="Q75" i="223" s="1"/>
  <c r="O51" i="223"/>
  <c r="U58" i="218"/>
  <c r="I58" i="216"/>
  <c r="I51" i="225"/>
  <c r="U51" i="227"/>
  <c r="O58" i="216"/>
  <c r="I75" i="225"/>
  <c r="K75" i="225" s="1"/>
  <c r="C51" i="229"/>
  <c r="O75" i="227"/>
  <c r="Q75" i="227" s="1"/>
  <c r="U75" i="216"/>
  <c r="W75" i="216" s="1"/>
  <c r="U58" i="225"/>
  <c r="I67" i="218"/>
  <c r="K67" i="218" s="1"/>
  <c r="U58" i="214"/>
  <c r="C58" i="214"/>
  <c r="C75" i="214"/>
  <c r="E75" i="214" s="1"/>
  <c r="C51" i="214"/>
  <c r="O58" i="214"/>
  <c r="I67" i="214"/>
  <c r="K67" i="214" s="1"/>
  <c r="I58" i="214"/>
  <c r="U75" i="214"/>
  <c r="W75" i="214" s="1"/>
  <c r="U51" i="214"/>
  <c r="U67" i="214"/>
  <c r="W67" i="214" s="1"/>
  <c r="C67" i="214"/>
  <c r="E67" i="214" s="1"/>
  <c r="O75" i="214"/>
  <c r="Q75" i="214" s="1"/>
  <c r="O51" i="214"/>
  <c r="I75" i="214"/>
  <c r="K75" i="214" s="1"/>
  <c r="I51" i="214"/>
  <c r="O67" i="214"/>
  <c r="Q67" i="214" s="1"/>
  <c r="I58" i="179"/>
  <c r="O51" i="179"/>
  <c r="I75" i="179"/>
  <c r="K75" i="179" s="1"/>
  <c r="U51" i="179"/>
  <c r="O67" i="179"/>
  <c r="Q67" i="179" s="1"/>
  <c r="O58" i="179"/>
  <c r="O75" i="179"/>
  <c r="Q75" i="179" s="1"/>
  <c r="U75" i="179"/>
  <c r="W75" i="179" s="1"/>
  <c r="U58" i="179"/>
  <c r="U67" i="179"/>
  <c r="W67" i="179" s="1"/>
  <c r="I51" i="179"/>
  <c r="I67" i="179"/>
  <c r="K67" i="179" s="1"/>
  <c r="U49" i="229"/>
  <c r="C49" i="225"/>
  <c r="I49" i="223"/>
  <c r="C65" i="220"/>
  <c r="O49" i="216"/>
  <c r="U65" i="227"/>
  <c r="I65" i="225"/>
  <c r="O65" i="223"/>
  <c r="U49" i="218"/>
  <c r="U65" i="216"/>
  <c r="U65" i="229"/>
  <c r="O49" i="227"/>
  <c r="O49" i="220"/>
  <c r="C65" i="218"/>
  <c r="O65" i="220"/>
  <c r="O49" i="229"/>
  <c r="U49" i="225"/>
  <c r="C49" i="223"/>
  <c r="U65" i="220"/>
  <c r="I49" i="216"/>
  <c r="O65" i="227"/>
  <c r="C65" i="225"/>
  <c r="I65" i="223"/>
  <c r="O49" i="218"/>
  <c r="O65" i="216"/>
  <c r="O49" i="225"/>
  <c r="O65" i="229"/>
  <c r="I49" i="227"/>
  <c r="I49" i="220"/>
  <c r="U65" i="218"/>
  <c r="I49" i="229"/>
  <c r="U49" i="223"/>
  <c r="C49" i="216"/>
  <c r="I65" i="227"/>
  <c r="U65" i="225"/>
  <c r="C65" i="223"/>
  <c r="I49" i="218"/>
  <c r="I65" i="216"/>
  <c r="I65" i="229"/>
  <c r="C49" i="227"/>
  <c r="C65" i="227"/>
  <c r="O65" i="225"/>
  <c r="U65" i="223"/>
  <c r="C49" i="218"/>
  <c r="C65" i="216"/>
  <c r="C65" i="229"/>
  <c r="C49" i="220"/>
  <c r="O49" i="223"/>
  <c r="U49" i="216"/>
  <c r="I65" i="220"/>
  <c r="U49" i="227"/>
  <c r="I49" i="225"/>
  <c r="C49" i="229"/>
  <c r="U49" i="220"/>
  <c r="O65" i="218"/>
  <c r="I65" i="218"/>
  <c r="C49" i="214"/>
  <c r="I65" i="214"/>
  <c r="U49" i="214"/>
  <c r="C65" i="214"/>
  <c r="O49" i="214"/>
  <c r="U65" i="214"/>
  <c r="I49" i="214"/>
  <c r="O65" i="214"/>
  <c r="I65" i="179"/>
  <c r="U65" i="179"/>
  <c r="I49" i="179"/>
  <c r="O49" i="179"/>
  <c r="U49" i="179"/>
  <c r="O65" i="179"/>
  <c r="V51" i="218"/>
  <c r="J51" i="218"/>
  <c r="P51" i="227"/>
  <c r="P51" i="220"/>
  <c r="P51" i="223"/>
  <c r="P51" i="229"/>
  <c r="V51" i="225"/>
  <c r="D51" i="223"/>
  <c r="J51" i="216"/>
  <c r="P51" i="218"/>
  <c r="J51" i="227"/>
  <c r="J51" i="220"/>
  <c r="J51" i="229"/>
  <c r="P51" i="225"/>
  <c r="V51" i="223"/>
  <c r="D51" i="216"/>
  <c r="D51" i="227"/>
  <c r="D51" i="220"/>
  <c r="D51" i="229"/>
  <c r="J51" i="225"/>
  <c r="V51" i="227"/>
  <c r="V51" i="220"/>
  <c r="V51" i="229"/>
  <c r="V51" i="216"/>
  <c r="P51" i="216"/>
  <c r="J51" i="223"/>
  <c r="D51" i="218"/>
  <c r="D51" i="225"/>
  <c r="D51" i="214"/>
  <c r="P51" i="214"/>
  <c r="V51" i="214"/>
  <c r="J51" i="214"/>
  <c r="V51" i="179"/>
  <c r="J51" i="179"/>
  <c r="P51" i="179"/>
  <c r="U52" i="229"/>
  <c r="C52" i="225"/>
  <c r="I52" i="223"/>
  <c r="C68" i="220"/>
  <c r="E68" i="220" s="1"/>
  <c r="O59" i="218"/>
  <c r="Q59" i="218" s="1"/>
  <c r="O52" i="216"/>
  <c r="Q52" i="216" s="1"/>
  <c r="U52" i="223"/>
  <c r="W52" i="223" s="1"/>
  <c r="C59" i="218"/>
  <c r="E59" i="218" s="1"/>
  <c r="I59" i="229"/>
  <c r="K59" i="229" s="1"/>
  <c r="U68" i="227"/>
  <c r="W68" i="227" s="1"/>
  <c r="I59" i="227"/>
  <c r="K59" i="227" s="1"/>
  <c r="I68" i="225"/>
  <c r="K68" i="225" s="1"/>
  <c r="O68" i="223"/>
  <c r="Q68" i="223" s="1"/>
  <c r="I59" i="220"/>
  <c r="K59" i="220" s="1"/>
  <c r="U52" i="218"/>
  <c r="W52" i="218" s="1"/>
  <c r="U68" i="216"/>
  <c r="W68" i="216" s="1"/>
  <c r="O52" i="225"/>
  <c r="Q52" i="225" s="1"/>
  <c r="U68" i="229"/>
  <c r="W68" i="229" s="1"/>
  <c r="O52" i="227"/>
  <c r="Q52" i="227" s="1"/>
  <c r="O59" i="225"/>
  <c r="Q59" i="225" s="1"/>
  <c r="U59" i="223"/>
  <c r="W59" i="223" s="1"/>
  <c r="O52" i="220"/>
  <c r="C68" i="218"/>
  <c r="E68" i="218" s="1"/>
  <c r="C59" i="216"/>
  <c r="E59" i="216" s="1"/>
  <c r="C59" i="225"/>
  <c r="E59" i="225" s="1"/>
  <c r="O52" i="229"/>
  <c r="Q52" i="229" s="1"/>
  <c r="U52" i="225"/>
  <c r="W52" i="225" s="1"/>
  <c r="C52" i="223"/>
  <c r="E52" i="223" s="1"/>
  <c r="U68" i="220"/>
  <c r="W68" i="220" s="1"/>
  <c r="I59" i="218"/>
  <c r="K59" i="218" s="1"/>
  <c r="I52" i="216"/>
  <c r="C59" i="229"/>
  <c r="E59" i="229" s="1"/>
  <c r="O68" i="227"/>
  <c r="Q68" i="227" s="1"/>
  <c r="C59" i="227"/>
  <c r="E59" i="227" s="1"/>
  <c r="C68" i="225"/>
  <c r="E68" i="225" s="1"/>
  <c r="I68" i="223"/>
  <c r="K68" i="223" s="1"/>
  <c r="C59" i="220"/>
  <c r="E59" i="220" s="1"/>
  <c r="O52" i="218"/>
  <c r="O68" i="216"/>
  <c r="Q68" i="216" s="1"/>
  <c r="C52" i="216"/>
  <c r="O68" i="229"/>
  <c r="Q68" i="229" s="1"/>
  <c r="I52" i="227"/>
  <c r="I59" i="225"/>
  <c r="K59" i="225" s="1"/>
  <c r="O59" i="223"/>
  <c r="Q59" i="223" s="1"/>
  <c r="I52" i="220"/>
  <c r="U68" i="218"/>
  <c r="W68" i="218" s="1"/>
  <c r="U59" i="216"/>
  <c r="W59" i="216" s="1"/>
  <c r="I52" i="229"/>
  <c r="O68" i="220"/>
  <c r="Q68" i="220" s="1"/>
  <c r="I59" i="223"/>
  <c r="K59" i="223" s="1"/>
  <c r="U59" i="229"/>
  <c r="W59" i="229" s="1"/>
  <c r="I68" i="227"/>
  <c r="K68" i="227" s="1"/>
  <c r="U59" i="227"/>
  <c r="W59" i="227" s="1"/>
  <c r="U68" i="225"/>
  <c r="W68" i="225" s="1"/>
  <c r="C68" i="223"/>
  <c r="E68" i="223" s="1"/>
  <c r="U59" i="220"/>
  <c r="W59" i="220" s="1"/>
  <c r="I52" i="218"/>
  <c r="I68" i="216"/>
  <c r="K68" i="216" s="1"/>
  <c r="I68" i="229"/>
  <c r="K68" i="229" s="1"/>
  <c r="C52" i="227"/>
  <c r="O59" i="229"/>
  <c r="Q59" i="229" s="1"/>
  <c r="C68" i="227"/>
  <c r="E68" i="227" s="1"/>
  <c r="O59" i="227"/>
  <c r="Q59" i="227" s="1"/>
  <c r="O68" i="225"/>
  <c r="Q68" i="225" s="1"/>
  <c r="U68" i="223"/>
  <c r="W68" i="223" s="1"/>
  <c r="O59" i="220"/>
  <c r="Q59" i="220" s="1"/>
  <c r="C52" i="218"/>
  <c r="E52" i="218" s="1"/>
  <c r="C68" i="216"/>
  <c r="E68" i="216" s="1"/>
  <c r="C68" i="229"/>
  <c r="E68" i="229" s="1"/>
  <c r="U59" i="225"/>
  <c r="W59" i="225" s="1"/>
  <c r="U52" i="227"/>
  <c r="I68" i="220"/>
  <c r="K68" i="220" s="1"/>
  <c r="O68" i="218"/>
  <c r="Q68" i="218" s="1"/>
  <c r="C52" i="229"/>
  <c r="U52" i="220"/>
  <c r="I68" i="218"/>
  <c r="K68" i="218" s="1"/>
  <c r="C59" i="223"/>
  <c r="E59" i="223" s="1"/>
  <c r="U59" i="218"/>
  <c r="W59" i="218" s="1"/>
  <c r="U52" i="216"/>
  <c r="W52" i="216" s="1"/>
  <c r="O52" i="223"/>
  <c r="C52" i="220"/>
  <c r="O59" i="216"/>
  <c r="Q59" i="216" s="1"/>
  <c r="I59" i="216"/>
  <c r="K59" i="216" s="1"/>
  <c r="I52" i="225"/>
  <c r="U59" i="214"/>
  <c r="W59" i="214" s="1"/>
  <c r="C52" i="214"/>
  <c r="I59" i="214"/>
  <c r="K59" i="214" s="1"/>
  <c r="C59" i="214"/>
  <c r="E59" i="214" s="1"/>
  <c r="I68" i="214"/>
  <c r="K68" i="214" s="1"/>
  <c r="O59" i="214"/>
  <c r="Q59" i="214" s="1"/>
  <c r="U52" i="214"/>
  <c r="C68" i="214"/>
  <c r="E68" i="214" s="1"/>
  <c r="O52" i="214"/>
  <c r="U68" i="214"/>
  <c r="W68" i="214" s="1"/>
  <c r="I52" i="214"/>
  <c r="O68" i="214"/>
  <c r="Q68" i="214" s="1"/>
  <c r="U52" i="179"/>
  <c r="O68" i="179"/>
  <c r="Q68" i="179" s="1"/>
  <c r="O59" i="179"/>
  <c r="Q59" i="179" s="1"/>
  <c r="O52" i="179"/>
  <c r="U68" i="179"/>
  <c r="W68" i="179" s="1"/>
  <c r="I52" i="179"/>
  <c r="U59" i="179"/>
  <c r="W59" i="179" s="1"/>
  <c r="I68" i="179"/>
  <c r="K68" i="179" s="1"/>
  <c r="I59" i="179"/>
  <c r="K59" i="179" s="1"/>
  <c r="V49" i="218"/>
  <c r="J49" i="218"/>
  <c r="P49" i="223"/>
  <c r="P49" i="227"/>
  <c r="P49" i="220"/>
  <c r="P49" i="229"/>
  <c r="V49" i="225"/>
  <c r="D49" i="223"/>
  <c r="J49" i="216"/>
  <c r="P49" i="218"/>
  <c r="J49" i="227"/>
  <c r="J49" i="220"/>
  <c r="J49" i="229"/>
  <c r="P49" i="225"/>
  <c r="V49" i="223"/>
  <c r="D49" i="216"/>
  <c r="D49" i="227"/>
  <c r="D49" i="220"/>
  <c r="D49" i="229"/>
  <c r="J49" i="225"/>
  <c r="V49" i="227"/>
  <c r="V49" i="220"/>
  <c r="V49" i="229"/>
  <c r="V49" i="216"/>
  <c r="J49" i="223"/>
  <c r="P49" i="216"/>
  <c r="D49" i="218"/>
  <c r="D49" i="225"/>
  <c r="D49" i="214"/>
  <c r="J49" i="214"/>
  <c r="V49" i="214"/>
  <c r="P49" i="214"/>
  <c r="J49" i="179"/>
  <c r="P49" i="179"/>
  <c r="V49" i="179"/>
  <c r="U50" i="229"/>
  <c r="C74" i="225"/>
  <c r="C50" i="225"/>
  <c r="I74" i="223"/>
  <c r="I50" i="223"/>
  <c r="C66" i="220"/>
  <c r="E66" i="220" s="1"/>
  <c r="O74" i="216"/>
  <c r="O50" i="216"/>
  <c r="C50" i="216"/>
  <c r="U66" i="227"/>
  <c r="W66" i="227" s="1"/>
  <c r="I66" i="225"/>
  <c r="K66" i="225" s="1"/>
  <c r="O66" i="223"/>
  <c r="Q66" i="223" s="1"/>
  <c r="U74" i="218"/>
  <c r="U50" i="218"/>
  <c r="U66" i="216"/>
  <c r="W66" i="216" s="1"/>
  <c r="O74" i="225"/>
  <c r="C74" i="216"/>
  <c r="I74" i="229"/>
  <c r="U66" i="229"/>
  <c r="W66" i="229" s="1"/>
  <c r="I74" i="227"/>
  <c r="O50" i="227"/>
  <c r="O74" i="220"/>
  <c r="O50" i="220"/>
  <c r="C66" i="218"/>
  <c r="E66" i="218" s="1"/>
  <c r="U50" i="223"/>
  <c r="O50" i="229"/>
  <c r="U74" i="225"/>
  <c r="U50" i="225"/>
  <c r="C74" i="223"/>
  <c r="C50" i="223"/>
  <c r="U66" i="220"/>
  <c r="W66" i="220" s="1"/>
  <c r="I74" i="216"/>
  <c r="I50" i="216"/>
  <c r="O66" i="227"/>
  <c r="Q66" i="227" s="1"/>
  <c r="C66" i="225"/>
  <c r="E66" i="225" s="1"/>
  <c r="I66" i="223"/>
  <c r="K66" i="223" s="1"/>
  <c r="O74" i="218"/>
  <c r="O50" i="218"/>
  <c r="O66" i="216"/>
  <c r="Q66" i="216" s="1"/>
  <c r="C74" i="229"/>
  <c r="O66" i="229"/>
  <c r="Q66" i="229" s="1"/>
  <c r="C74" i="227"/>
  <c r="I50" i="227"/>
  <c r="I74" i="220"/>
  <c r="I50" i="220"/>
  <c r="U66" i="218"/>
  <c r="W66" i="218" s="1"/>
  <c r="I50" i="229"/>
  <c r="O50" i="225"/>
  <c r="U74" i="223"/>
  <c r="O66" i="220"/>
  <c r="Q66" i="220" s="1"/>
  <c r="I66" i="227"/>
  <c r="K66" i="227" s="1"/>
  <c r="U66" i="225"/>
  <c r="W66" i="225" s="1"/>
  <c r="C66" i="223"/>
  <c r="E66" i="223" s="1"/>
  <c r="I74" i="218"/>
  <c r="I50" i="218"/>
  <c r="I66" i="216"/>
  <c r="K66" i="216" s="1"/>
  <c r="U74" i="229"/>
  <c r="I66" i="229"/>
  <c r="K66" i="229" s="1"/>
  <c r="U74" i="227"/>
  <c r="C50" i="227"/>
  <c r="E50" i="227" s="1"/>
  <c r="C66" i="227"/>
  <c r="E66" i="227" s="1"/>
  <c r="O66" i="225"/>
  <c r="Q66" i="225" s="1"/>
  <c r="U66" i="223"/>
  <c r="W66" i="223" s="1"/>
  <c r="C74" i="218"/>
  <c r="C50" i="218"/>
  <c r="C66" i="216"/>
  <c r="E66" i="216" s="1"/>
  <c r="O74" i="229"/>
  <c r="C66" i="229"/>
  <c r="E66" i="229" s="1"/>
  <c r="C50" i="229"/>
  <c r="O74" i="223"/>
  <c r="O66" i="218"/>
  <c r="Q66" i="218" s="1"/>
  <c r="I74" i="225"/>
  <c r="U50" i="220"/>
  <c r="I66" i="218"/>
  <c r="K66" i="218" s="1"/>
  <c r="O74" i="227"/>
  <c r="I66" i="220"/>
  <c r="K66" i="220" s="1"/>
  <c r="U74" i="216"/>
  <c r="C74" i="220"/>
  <c r="C50" i="220"/>
  <c r="U50" i="216"/>
  <c r="O50" i="223"/>
  <c r="Q50" i="223" s="1"/>
  <c r="U50" i="227"/>
  <c r="I50" i="225"/>
  <c r="U74" i="220"/>
  <c r="C74" i="214"/>
  <c r="C50" i="214"/>
  <c r="I66" i="214"/>
  <c r="K66" i="214" s="1"/>
  <c r="U66" i="214"/>
  <c r="W66" i="214" s="1"/>
  <c r="U74" i="214"/>
  <c r="U50" i="214"/>
  <c r="C66" i="214"/>
  <c r="E66" i="214" s="1"/>
  <c r="O74" i="214"/>
  <c r="O50" i="214"/>
  <c r="I74" i="214"/>
  <c r="I50" i="214"/>
  <c r="O66" i="214"/>
  <c r="Q66" i="214" s="1"/>
  <c r="U74" i="179"/>
  <c r="I50" i="179"/>
  <c r="O50" i="179"/>
  <c r="I66" i="179"/>
  <c r="K66" i="179" s="1"/>
  <c r="I74" i="179"/>
  <c r="O74" i="179"/>
  <c r="U50" i="179"/>
  <c r="O66" i="179"/>
  <c r="Q66" i="179" s="1"/>
  <c r="U66" i="179"/>
  <c r="W66" i="179" s="1"/>
  <c r="V50" i="218"/>
  <c r="P50" i="227"/>
  <c r="P50" i="220"/>
  <c r="P50" i="229"/>
  <c r="V50" i="225"/>
  <c r="D50" i="223"/>
  <c r="J50" i="216"/>
  <c r="P50" i="218"/>
  <c r="J50" i="227"/>
  <c r="J50" i="220"/>
  <c r="J50" i="229"/>
  <c r="P50" i="225"/>
  <c r="V50" i="223"/>
  <c r="D50" i="216"/>
  <c r="J50" i="218"/>
  <c r="P50" i="223"/>
  <c r="D50" i="227"/>
  <c r="D50" i="220"/>
  <c r="D50" i="229"/>
  <c r="J50" i="225"/>
  <c r="V50" i="227"/>
  <c r="V50" i="220"/>
  <c r="V50" i="229"/>
  <c r="D50" i="225"/>
  <c r="V50" i="216"/>
  <c r="D50" i="218"/>
  <c r="J50" i="223"/>
  <c r="P50" i="216"/>
  <c r="D50" i="214"/>
  <c r="V50" i="214"/>
  <c r="P50" i="214"/>
  <c r="J50" i="214"/>
  <c r="P50" i="179"/>
  <c r="V50" i="179"/>
  <c r="J50" i="179"/>
  <c r="C59" i="179"/>
  <c r="E59" i="179" s="1"/>
  <c r="D49" i="179"/>
  <c r="C74" i="179"/>
  <c r="E74" i="179" s="1"/>
  <c r="C58" i="179"/>
  <c r="E58" i="179" s="1"/>
  <c r="C75" i="179"/>
  <c r="E75" i="179" s="1"/>
  <c r="D50" i="179"/>
  <c r="C51" i="179"/>
  <c r="C67" i="179"/>
  <c r="E67" i="179" s="1"/>
  <c r="C68" i="179"/>
  <c r="E68" i="179" s="1"/>
  <c r="C52" i="179"/>
  <c r="D52" i="179"/>
  <c r="C50" i="179"/>
  <c r="C66" i="179"/>
  <c r="E66" i="179" s="1"/>
  <c r="C49" i="179"/>
  <c r="C65" i="179"/>
  <c r="D51" i="179"/>
  <c r="K54" i="177"/>
  <c r="E54" i="177"/>
  <c r="C54" i="177"/>
  <c r="D54" i="177"/>
  <c r="L75" i="177"/>
  <c r="H54" i="168"/>
  <c r="L68" i="168"/>
  <c r="J54" i="168"/>
  <c r="K52" i="168"/>
  <c r="C52" i="168"/>
  <c r="D52" i="168"/>
  <c r="K50" i="168"/>
  <c r="E52" i="168"/>
  <c r="C75" i="168"/>
  <c r="C51" i="168"/>
  <c r="F52" i="168"/>
  <c r="D75" i="168"/>
  <c r="D51" i="168"/>
  <c r="G52" i="168"/>
  <c r="K61" i="168"/>
  <c r="E75" i="168"/>
  <c r="K49" i="168"/>
  <c r="E51" i="168"/>
  <c r="H52" i="168"/>
  <c r="K53" i="168"/>
  <c r="F75" i="168"/>
  <c r="C50" i="168"/>
  <c r="F51" i="168"/>
  <c r="F54" i="168" s="1"/>
  <c r="G75" i="168"/>
  <c r="D50" i="168"/>
  <c r="G51" i="168"/>
  <c r="G54" i="168" s="1"/>
  <c r="K68" i="168"/>
  <c r="H75" i="168"/>
  <c r="C49" i="168"/>
  <c r="C53" i="168"/>
  <c r="D61" i="168"/>
  <c r="L61" i="168" s="1"/>
  <c r="D49" i="168"/>
  <c r="E61" i="168"/>
  <c r="K75" i="168"/>
  <c r="E49" i="168"/>
  <c r="B63" i="140"/>
  <c r="B10" i="140"/>
  <c r="A10" i="140"/>
  <c r="Q50" i="214" l="1"/>
  <c r="E50" i="229"/>
  <c r="K50" i="216"/>
  <c r="Q51" i="179"/>
  <c r="E52" i="216"/>
  <c r="K50" i="220"/>
  <c r="W50" i="227"/>
  <c r="K52" i="179"/>
  <c r="W51" i="220"/>
  <c r="Q52" i="220"/>
  <c r="K52" i="218"/>
  <c r="AC58" i="229"/>
  <c r="AC60" i="229" s="1"/>
  <c r="AA60" i="229"/>
  <c r="AA76" i="229"/>
  <c r="AC74" i="229"/>
  <c r="AC76" i="229" s="1"/>
  <c r="AC49" i="229"/>
  <c r="AC53" i="229" s="1"/>
  <c r="AA53" i="229"/>
  <c r="AA69" i="229"/>
  <c r="AC65" i="229"/>
  <c r="AC69" i="229" s="1"/>
  <c r="E52" i="214"/>
  <c r="K52" i="229"/>
  <c r="E50" i="216"/>
  <c r="K52" i="223"/>
  <c r="K51" i="225"/>
  <c r="K52" i="227"/>
  <c r="Q52" i="179"/>
  <c r="Q50" i="227"/>
  <c r="W50" i="214"/>
  <c r="W52" i="229"/>
  <c r="E2" i="219"/>
  <c r="C2" i="226"/>
  <c r="D2" i="230"/>
  <c r="E2" i="226"/>
  <c r="C2" i="219"/>
  <c r="D2" i="219"/>
  <c r="D2" i="226"/>
  <c r="D2" i="228"/>
  <c r="C2" i="230"/>
  <c r="E2" i="221"/>
  <c r="C2" i="221"/>
  <c r="C2" i="228"/>
  <c r="E2" i="228"/>
  <c r="D2" i="224"/>
  <c r="E2" i="224"/>
  <c r="C2" i="224"/>
  <c r="E2" i="217"/>
  <c r="D2" i="221"/>
  <c r="D2" i="217"/>
  <c r="C2" i="217"/>
  <c r="E2" i="230"/>
  <c r="W51" i="225"/>
  <c r="Q50" i="216"/>
  <c r="W51" i="227"/>
  <c r="W51" i="216"/>
  <c r="K51" i="220"/>
  <c r="Q51" i="216"/>
  <c r="E50" i="223"/>
  <c r="E52" i="225"/>
  <c r="K51" i="179"/>
  <c r="K51" i="214"/>
  <c r="Q52" i="223"/>
  <c r="W51" i="229"/>
  <c r="K50" i="214"/>
  <c r="K50" i="225"/>
  <c r="W52" i="214"/>
  <c r="W51" i="179"/>
  <c r="Q51" i="218"/>
  <c r="E51" i="223"/>
  <c r="K52" i="225"/>
  <c r="E52" i="227"/>
  <c r="E52" i="229"/>
  <c r="K52" i="214"/>
  <c r="Q50" i="229"/>
  <c r="Q51" i="225"/>
  <c r="C69" i="218"/>
  <c r="E65" i="218"/>
  <c r="E69" i="218" s="1"/>
  <c r="U76" i="220"/>
  <c r="W74" i="220"/>
  <c r="W76" i="220" s="1"/>
  <c r="I76" i="225"/>
  <c r="K74" i="225"/>
  <c r="K76" i="225" s="1"/>
  <c r="Q50" i="225"/>
  <c r="K65" i="179"/>
  <c r="K69" i="179" s="1"/>
  <c r="I69" i="179"/>
  <c r="C53" i="229"/>
  <c r="E49" i="229"/>
  <c r="C69" i="227"/>
  <c r="E65" i="227"/>
  <c r="E69" i="227" s="1"/>
  <c r="K49" i="220"/>
  <c r="I53" i="220"/>
  <c r="U53" i="225"/>
  <c r="W49" i="225"/>
  <c r="Q49" i="216"/>
  <c r="O53" i="216"/>
  <c r="W51" i="214"/>
  <c r="W58" i="220"/>
  <c r="W60" i="220" s="1"/>
  <c r="U60" i="220"/>
  <c r="Q58" i="225"/>
  <c r="Q60" i="225" s="1"/>
  <c r="O60" i="225"/>
  <c r="W58" i="227"/>
  <c r="W60" i="227" s="1"/>
  <c r="U60" i="227"/>
  <c r="W74" i="227"/>
  <c r="W76" i="227" s="1"/>
  <c r="U76" i="227"/>
  <c r="K50" i="229"/>
  <c r="Q50" i="220"/>
  <c r="K52" i="216"/>
  <c r="Q65" i="214"/>
  <c r="Q69" i="214" s="1"/>
  <c r="O69" i="214"/>
  <c r="I53" i="225"/>
  <c r="K49" i="225"/>
  <c r="E49" i="227"/>
  <c r="C53" i="227"/>
  <c r="K49" i="227"/>
  <c r="I53" i="227"/>
  <c r="O53" i="229"/>
  <c r="Q49" i="229"/>
  <c r="C69" i="220"/>
  <c r="E65" i="220"/>
  <c r="E69" i="220" s="1"/>
  <c r="E51" i="229"/>
  <c r="E51" i="220"/>
  <c r="Q58" i="227"/>
  <c r="Q60" i="227" s="1"/>
  <c r="O60" i="227"/>
  <c r="K51" i="229"/>
  <c r="Q51" i="227"/>
  <c r="K58" i="229"/>
  <c r="K60" i="229" s="1"/>
  <c r="I60" i="229"/>
  <c r="K74" i="214"/>
  <c r="K76" i="214" s="1"/>
  <c r="I76" i="214"/>
  <c r="U76" i="229"/>
  <c r="W74" i="229"/>
  <c r="W76" i="229" s="1"/>
  <c r="W65" i="214"/>
  <c r="W69" i="214" s="1"/>
  <c r="U69" i="214"/>
  <c r="K65" i="220"/>
  <c r="K69" i="220" s="1"/>
  <c r="I69" i="220"/>
  <c r="I69" i="216"/>
  <c r="K65" i="216"/>
  <c r="K69" i="216" s="1"/>
  <c r="Q49" i="225"/>
  <c r="O53" i="225"/>
  <c r="C53" i="225"/>
  <c r="E49" i="225"/>
  <c r="Q58" i="216"/>
  <c r="Q60" i="216" s="1"/>
  <c r="O60" i="216"/>
  <c r="O60" i="229"/>
  <c r="Q58" i="229"/>
  <c r="Q60" i="229" s="1"/>
  <c r="O76" i="214"/>
  <c r="Q74" i="214"/>
  <c r="Q76" i="214" s="1"/>
  <c r="W50" i="216"/>
  <c r="I76" i="220"/>
  <c r="K74" i="220"/>
  <c r="K76" i="220" s="1"/>
  <c r="I76" i="216"/>
  <c r="K74" i="216"/>
  <c r="K76" i="216" s="1"/>
  <c r="I76" i="227"/>
  <c r="K74" i="227"/>
  <c r="K76" i="227" s="1"/>
  <c r="O53" i="214"/>
  <c r="Q49" i="214"/>
  <c r="U53" i="216"/>
  <c r="W49" i="216"/>
  <c r="I53" i="218"/>
  <c r="K49" i="218"/>
  <c r="O69" i="216"/>
  <c r="Q65" i="216"/>
  <c r="Q69" i="216" s="1"/>
  <c r="Q49" i="220"/>
  <c r="O53" i="220"/>
  <c r="W49" i="229"/>
  <c r="U53" i="229"/>
  <c r="I60" i="179"/>
  <c r="K58" i="179"/>
  <c r="K60" i="179" s="1"/>
  <c r="Q58" i="214"/>
  <c r="Q60" i="214" s="1"/>
  <c r="O60" i="214"/>
  <c r="C60" i="225"/>
  <c r="E58" i="225"/>
  <c r="E60" i="225" s="1"/>
  <c r="W50" i="179"/>
  <c r="E50" i="220"/>
  <c r="Q74" i="229"/>
  <c r="Q76" i="229" s="1"/>
  <c r="O76" i="229"/>
  <c r="K50" i="218"/>
  <c r="K50" i="227"/>
  <c r="O76" i="216"/>
  <c r="Q74" i="216"/>
  <c r="Q76" i="216" s="1"/>
  <c r="W52" i="220"/>
  <c r="E65" i="214"/>
  <c r="E69" i="214" s="1"/>
  <c r="C69" i="214"/>
  <c r="O53" i="223"/>
  <c r="Q49" i="223"/>
  <c r="E65" i="223"/>
  <c r="E69" i="223" s="1"/>
  <c r="C69" i="223"/>
  <c r="O53" i="218"/>
  <c r="Q49" i="218"/>
  <c r="Q49" i="227"/>
  <c r="O53" i="227"/>
  <c r="E51" i="214"/>
  <c r="E51" i="227"/>
  <c r="U60" i="229"/>
  <c r="W58" i="229"/>
  <c r="W60" i="229" s="1"/>
  <c r="Q51" i="229"/>
  <c r="Q74" i="179"/>
  <c r="Q76" i="179" s="1"/>
  <c r="O76" i="179"/>
  <c r="E74" i="220"/>
  <c r="E76" i="220" s="1"/>
  <c r="C76" i="220"/>
  <c r="K74" i="218"/>
  <c r="K76" i="218" s="1"/>
  <c r="I76" i="218"/>
  <c r="E74" i="227"/>
  <c r="E76" i="227" s="1"/>
  <c r="C76" i="227"/>
  <c r="I76" i="229"/>
  <c r="K74" i="229"/>
  <c r="K76" i="229" s="1"/>
  <c r="Q52" i="218"/>
  <c r="U53" i="214"/>
  <c r="W49" i="214"/>
  <c r="E49" i="220"/>
  <c r="C53" i="220"/>
  <c r="U69" i="225"/>
  <c r="W65" i="225"/>
  <c r="W69" i="225" s="1"/>
  <c r="I69" i="223"/>
  <c r="K65" i="223"/>
  <c r="K69" i="223" s="1"/>
  <c r="U69" i="229"/>
  <c r="W65" i="229"/>
  <c r="W69" i="229" s="1"/>
  <c r="I60" i="216"/>
  <c r="K58" i="216"/>
  <c r="K60" i="216" s="1"/>
  <c r="Q58" i="223"/>
  <c r="Q60" i="223" s="1"/>
  <c r="O60" i="223"/>
  <c r="C60" i="227"/>
  <c r="E58" i="227"/>
  <c r="E60" i="227" s="1"/>
  <c r="W51" i="218"/>
  <c r="Q58" i="218"/>
  <c r="Q60" i="218" s="1"/>
  <c r="O60" i="218"/>
  <c r="C60" i="220"/>
  <c r="E58" i="220"/>
  <c r="E60" i="220" s="1"/>
  <c r="I76" i="179"/>
  <c r="K74" i="179"/>
  <c r="K76" i="179" s="1"/>
  <c r="U76" i="214"/>
  <c r="W74" i="214"/>
  <c r="W76" i="214" s="1"/>
  <c r="W74" i="216"/>
  <c r="W76" i="216" s="1"/>
  <c r="U76" i="216"/>
  <c r="E50" i="218"/>
  <c r="C76" i="223"/>
  <c r="E74" i="223"/>
  <c r="E76" i="223" s="1"/>
  <c r="E74" i="216"/>
  <c r="E76" i="216" s="1"/>
  <c r="C76" i="216"/>
  <c r="K50" i="223"/>
  <c r="W52" i="179"/>
  <c r="Q65" i="179"/>
  <c r="Q69" i="179" s="1"/>
  <c r="O69" i="179"/>
  <c r="K65" i="214"/>
  <c r="K69" i="214" s="1"/>
  <c r="I69" i="214"/>
  <c r="C69" i="229"/>
  <c r="E65" i="229"/>
  <c r="E69" i="229" s="1"/>
  <c r="K65" i="227"/>
  <c r="K69" i="227" s="1"/>
  <c r="I69" i="227"/>
  <c r="C69" i="225"/>
  <c r="E65" i="225"/>
  <c r="E69" i="225" s="1"/>
  <c r="U69" i="216"/>
  <c r="W65" i="216"/>
  <c r="W69" i="216" s="1"/>
  <c r="E58" i="214"/>
  <c r="E60" i="214" s="1"/>
  <c r="C60" i="214"/>
  <c r="W58" i="218"/>
  <c r="W60" i="218" s="1"/>
  <c r="U60" i="218"/>
  <c r="K58" i="223"/>
  <c r="K60" i="223" s="1"/>
  <c r="I60" i="223"/>
  <c r="K58" i="225"/>
  <c r="K60" i="225" s="1"/>
  <c r="I60" i="225"/>
  <c r="E58" i="216"/>
  <c r="E60" i="216" s="1"/>
  <c r="C60" i="216"/>
  <c r="E74" i="218"/>
  <c r="E76" i="218" s="1"/>
  <c r="C76" i="218"/>
  <c r="E74" i="229"/>
  <c r="E76" i="229" s="1"/>
  <c r="C76" i="229"/>
  <c r="W50" i="225"/>
  <c r="Q74" i="225"/>
  <c r="Q76" i="225" s="1"/>
  <c r="O76" i="225"/>
  <c r="I76" i="223"/>
  <c r="K74" i="223"/>
  <c r="K76" i="223" s="1"/>
  <c r="W49" i="179"/>
  <c r="U53" i="179"/>
  <c r="C53" i="214"/>
  <c r="E49" i="214"/>
  <c r="C69" i="216"/>
  <c r="E65" i="216"/>
  <c r="E69" i="216" s="1"/>
  <c r="E49" i="216"/>
  <c r="C53" i="216"/>
  <c r="Q65" i="227"/>
  <c r="Q69" i="227" s="1"/>
  <c r="O69" i="227"/>
  <c r="W49" i="218"/>
  <c r="U53" i="218"/>
  <c r="W58" i="179"/>
  <c r="W60" i="179" s="1"/>
  <c r="U60" i="179"/>
  <c r="Q51" i="214"/>
  <c r="W58" i="214"/>
  <c r="W60" i="214" s="1"/>
  <c r="U60" i="214"/>
  <c r="Q51" i="223"/>
  <c r="E51" i="218"/>
  <c r="E51" i="216"/>
  <c r="K51" i="227"/>
  <c r="E58" i="229"/>
  <c r="E60" i="229" s="1"/>
  <c r="C60" i="229"/>
  <c r="K58" i="220"/>
  <c r="K60" i="220" s="1"/>
  <c r="I60" i="220"/>
  <c r="K51" i="223"/>
  <c r="Q74" i="220"/>
  <c r="Q76" i="220" s="1"/>
  <c r="O76" i="220"/>
  <c r="Q50" i="179"/>
  <c r="Q74" i="227"/>
  <c r="Q76" i="227" s="1"/>
  <c r="O76" i="227"/>
  <c r="W74" i="225"/>
  <c r="W76" i="225" s="1"/>
  <c r="U76" i="225"/>
  <c r="E50" i="225"/>
  <c r="W52" i="227"/>
  <c r="Q49" i="179"/>
  <c r="O53" i="179"/>
  <c r="K65" i="218"/>
  <c r="K69" i="218" s="1"/>
  <c r="I69" i="218"/>
  <c r="C53" i="218"/>
  <c r="E49" i="218"/>
  <c r="W49" i="223"/>
  <c r="U53" i="223"/>
  <c r="K49" i="216"/>
  <c r="I53" i="216"/>
  <c r="O69" i="223"/>
  <c r="Q65" i="223"/>
  <c r="Q69" i="223" s="1"/>
  <c r="K51" i="216"/>
  <c r="Q51" i="220"/>
  <c r="W58" i="216"/>
  <c r="W60" i="216" s="1"/>
  <c r="U60" i="216"/>
  <c r="K50" i="179"/>
  <c r="E50" i="214"/>
  <c r="Q50" i="218"/>
  <c r="W50" i="218"/>
  <c r="C76" i="225"/>
  <c r="E74" i="225"/>
  <c r="E76" i="225" s="1"/>
  <c r="I53" i="179"/>
  <c r="K49" i="179"/>
  <c r="Q65" i="218"/>
  <c r="Q69" i="218" s="1"/>
  <c r="O69" i="218"/>
  <c r="W65" i="223"/>
  <c r="W69" i="223" s="1"/>
  <c r="U69" i="223"/>
  <c r="I53" i="229"/>
  <c r="K49" i="229"/>
  <c r="W65" i="220"/>
  <c r="W69" i="220" s="1"/>
  <c r="U69" i="220"/>
  <c r="K65" i="225"/>
  <c r="K69" i="225" s="1"/>
  <c r="I69" i="225"/>
  <c r="U60" i="225"/>
  <c r="W58" i="225"/>
  <c r="W60" i="225" s="1"/>
  <c r="C60" i="223"/>
  <c r="E58" i="223"/>
  <c r="E60" i="223" s="1"/>
  <c r="Q58" i="220"/>
  <c r="Q60" i="220" s="1"/>
  <c r="O60" i="220"/>
  <c r="K51" i="218"/>
  <c r="E58" i="218"/>
  <c r="E60" i="218" s="1"/>
  <c r="C60" i="218"/>
  <c r="E51" i="225"/>
  <c r="O76" i="223"/>
  <c r="Q74" i="223"/>
  <c r="Q76" i="223" s="1"/>
  <c r="I53" i="214"/>
  <c r="K49" i="214"/>
  <c r="U53" i="227"/>
  <c r="W49" i="227"/>
  <c r="I69" i="229"/>
  <c r="K65" i="229"/>
  <c r="K69" i="229" s="1"/>
  <c r="O69" i="229"/>
  <c r="Q65" i="229"/>
  <c r="Q69" i="229" s="1"/>
  <c r="O69" i="220"/>
  <c r="Q65" i="220"/>
  <c r="Q69" i="220" s="1"/>
  <c r="K49" i="223"/>
  <c r="I53" i="223"/>
  <c r="K58" i="214"/>
  <c r="K60" i="214" s="1"/>
  <c r="I60" i="214"/>
  <c r="W74" i="179"/>
  <c r="W76" i="179" s="1"/>
  <c r="U76" i="179"/>
  <c r="E74" i="214"/>
  <c r="E76" i="214" s="1"/>
  <c r="C76" i="214"/>
  <c r="W50" i="220"/>
  <c r="W74" i="223"/>
  <c r="W76" i="223" s="1"/>
  <c r="U76" i="223"/>
  <c r="O76" i="218"/>
  <c r="Q74" i="218"/>
  <c r="Q76" i="218" s="1"/>
  <c r="W50" i="223"/>
  <c r="W74" i="218"/>
  <c r="W76" i="218" s="1"/>
  <c r="U76" i="218"/>
  <c r="W50" i="229"/>
  <c r="Q52" i="214"/>
  <c r="E52" i="220"/>
  <c r="K52" i="220"/>
  <c r="U69" i="179"/>
  <c r="W65" i="179"/>
  <c r="W69" i="179" s="1"/>
  <c r="U53" i="220"/>
  <c r="W49" i="220"/>
  <c r="O69" i="225"/>
  <c r="Q65" i="225"/>
  <c r="Q69" i="225" s="1"/>
  <c r="W65" i="218"/>
  <c r="W69" i="218" s="1"/>
  <c r="U69" i="218"/>
  <c r="C53" i="223"/>
  <c r="E49" i="223"/>
  <c r="W65" i="227"/>
  <c r="W69" i="227" s="1"/>
  <c r="U69" i="227"/>
  <c r="Q58" i="179"/>
  <c r="Q60" i="179" s="1"/>
  <c r="O60" i="179"/>
  <c r="W51" i="223"/>
  <c r="I60" i="218"/>
  <c r="K58" i="218"/>
  <c r="K60" i="218" s="1"/>
  <c r="W58" i="223"/>
  <c r="W60" i="223" s="1"/>
  <c r="U60" i="223"/>
  <c r="I60" i="227"/>
  <c r="K58" i="227"/>
  <c r="K60" i="227" s="1"/>
  <c r="A1" i="180"/>
  <c r="E2" i="180" s="1"/>
  <c r="C60" i="179"/>
  <c r="C61" i="179" s="1"/>
  <c r="E60" i="179"/>
  <c r="C76" i="179"/>
  <c r="C77" i="179" s="1"/>
  <c r="E76" i="179"/>
  <c r="E51" i="179"/>
  <c r="E65" i="179"/>
  <c r="E69" i="179" s="1"/>
  <c r="C69" i="179"/>
  <c r="E49" i="179"/>
  <c r="C53" i="179"/>
  <c r="E50" i="179"/>
  <c r="E52" i="179"/>
  <c r="E91" i="179"/>
  <c r="C149" i="179" s="1"/>
  <c r="B23" i="179" s="1"/>
  <c r="B21" i="180" s="1"/>
  <c r="AV9" i="180"/>
  <c r="AW9" i="180"/>
  <c r="L75" i="168"/>
  <c r="D54" i="168"/>
  <c r="C54" i="168"/>
  <c r="K54" i="168"/>
  <c r="E54" i="168"/>
  <c r="P70" i="225" l="1"/>
  <c r="AB77" i="229"/>
  <c r="P77" i="218"/>
  <c r="P70" i="223"/>
  <c r="D70" i="229"/>
  <c r="AB70" i="229"/>
  <c r="AB61" i="229"/>
  <c r="AC127" i="229"/>
  <c r="AC128" i="229" s="1"/>
  <c r="AC131" i="229" s="1"/>
  <c r="AA63" i="229"/>
  <c r="AA70" i="229"/>
  <c r="AA54" i="229"/>
  <c r="AA47" i="229"/>
  <c r="AA77" i="229"/>
  <c r="AA72" i="229"/>
  <c r="AB54" i="229"/>
  <c r="AC109" i="229"/>
  <c r="AC112" i="229" s="1"/>
  <c r="AA61" i="229"/>
  <c r="AA56" i="229"/>
  <c r="J70" i="229"/>
  <c r="P77" i="216"/>
  <c r="D70" i="216"/>
  <c r="J77" i="179"/>
  <c r="J77" i="229"/>
  <c r="W53" i="216"/>
  <c r="V54" i="216" s="1"/>
  <c r="K53" i="225"/>
  <c r="J54" i="225" s="1"/>
  <c r="Q53" i="227"/>
  <c r="Q109" i="227" s="1"/>
  <c r="Q112" i="227" s="1"/>
  <c r="V77" i="229"/>
  <c r="D70" i="220"/>
  <c r="Q53" i="216"/>
  <c r="P54" i="216" s="1"/>
  <c r="J70" i="220"/>
  <c r="D70" i="214"/>
  <c r="K53" i="179"/>
  <c r="J54" i="179" s="1"/>
  <c r="K53" i="214"/>
  <c r="J54" i="214" s="1"/>
  <c r="P70" i="229"/>
  <c r="V77" i="214"/>
  <c r="D70" i="227"/>
  <c r="D70" i="218"/>
  <c r="W53" i="179"/>
  <c r="V54" i="179" s="1"/>
  <c r="D77" i="223"/>
  <c r="Q53" i="179"/>
  <c r="Q109" i="179" s="1"/>
  <c r="Q112" i="179" s="1"/>
  <c r="W53" i="214"/>
  <c r="W109" i="214" s="1"/>
  <c r="W112" i="214" s="1"/>
  <c r="P77" i="179"/>
  <c r="W53" i="220"/>
  <c r="V54" i="220" s="1"/>
  <c r="V77" i="225"/>
  <c r="V77" i="179"/>
  <c r="P70" i="218"/>
  <c r="P77" i="220"/>
  <c r="D70" i="225"/>
  <c r="J70" i="223"/>
  <c r="W53" i="218"/>
  <c r="V54" i="218" s="1"/>
  <c r="D77" i="220"/>
  <c r="J77" i="214"/>
  <c r="P70" i="220"/>
  <c r="V77" i="220"/>
  <c r="Q53" i="223"/>
  <c r="Q109" i="223" s="1"/>
  <c r="Q112" i="223" s="1"/>
  <c r="V77" i="223"/>
  <c r="D61" i="218"/>
  <c r="K53" i="229"/>
  <c r="J54" i="229" s="1"/>
  <c r="P70" i="216"/>
  <c r="J70" i="214"/>
  <c r="J70" i="225"/>
  <c r="E53" i="229"/>
  <c r="E109" i="229" s="1"/>
  <c r="E112" i="229" s="1"/>
  <c r="E53" i="223"/>
  <c r="E109" i="223" s="1"/>
  <c r="E112" i="223" s="1"/>
  <c r="V70" i="216"/>
  <c r="Q109" i="216"/>
  <c r="Q112" i="216" s="1"/>
  <c r="D77" i="216"/>
  <c r="C47" i="229"/>
  <c r="C54" i="229"/>
  <c r="U54" i="227"/>
  <c r="U47" i="227"/>
  <c r="C72" i="216"/>
  <c r="C77" i="216"/>
  <c r="D77" i="227"/>
  <c r="P61" i="229"/>
  <c r="Q127" i="229"/>
  <c r="Q128" i="229" s="1"/>
  <c r="Q131" i="229" s="1"/>
  <c r="U56" i="225"/>
  <c r="U61" i="225"/>
  <c r="V61" i="179"/>
  <c r="W127" i="179"/>
  <c r="W128" i="179" s="1"/>
  <c r="W131" i="179" s="1"/>
  <c r="I70" i="227"/>
  <c r="I63" i="227"/>
  <c r="Q127" i="218"/>
  <c r="Q128" i="218" s="1"/>
  <c r="Q131" i="218" s="1"/>
  <c r="P61" i="218"/>
  <c r="I70" i="223"/>
  <c r="I63" i="223"/>
  <c r="I77" i="218"/>
  <c r="I72" i="218"/>
  <c r="J61" i="179"/>
  <c r="K127" i="179"/>
  <c r="K128" i="179" s="1"/>
  <c r="K131" i="179" s="1"/>
  <c r="Q53" i="214"/>
  <c r="O56" i="229"/>
  <c r="O61" i="229"/>
  <c r="V70" i="214"/>
  <c r="O70" i="214"/>
  <c r="O63" i="214"/>
  <c r="V61" i="220"/>
  <c r="W127" i="220"/>
  <c r="W128" i="220" s="1"/>
  <c r="W131" i="220" s="1"/>
  <c r="I63" i="179"/>
  <c r="I70" i="179"/>
  <c r="J61" i="218"/>
  <c r="K127" i="218"/>
  <c r="K128" i="218" s="1"/>
  <c r="K131" i="218" s="1"/>
  <c r="O63" i="225"/>
  <c r="O70" i="225"/>
  <c r="I54" i="223"/>
  <c r="I47" i="223"/>
  <c r="P77" i="223"/>
  <c r="I63" i="225"/>
  <c r="I70" i="225"/>
  <c r="D77" i="225"/>
  <c r="O63" i="223"/>
  <c r="O70" i="223"/>
  <c r="K127" i="216"/>
  <c r="K128" i="216" s="1"/>
  <c r="K131" i="216" s="1"/>
  <c r="J61" i="216"/>
  <c r="J61" i="220"/>
  <c r="U47" i="218"/>
  <c r="U54" i="218"/>
  <c r="K127" i="223"/>
  <c r="K128" i="223" s="1"/>
  <c r="K131" i="223" s="1"/>
  <c r="J77" i="223"/>
  <c r="J61" i="225"/>
  <c r="K127" i="225"/>
  <c r="K128" i="225" s="1"/>
  <c r="K131" i="225" s="1"/>
  <c r="J70" i="227"/>
  <c r="C72" i="223"/>
  <c r="C77" i="223"/>
  <c r="V70" i="225"/>
  <c r="J77" i="218"/>
  <c r="Q53" i="218"/>
  <c r="I56" i="179"/>
  <c r="I61" i="179"/>
  <c r="O54" i="214"/>
  <c r="O47" i="214"/>
  <c r="O56" i="216"/>
  <c r="O61" i="216"/>
  <c r="W127" i="227"/>
  <c r="W128" i="227" s="1"/>
  <c r="W131" i="227" s="1"/>
  <c r="V61" i="227"/>
  <c r="P70" i="214"/>
  <c r="J70" i="179"/>
  <c r="C54" i="214"/>
  <c r="C47" i="214"/>
  <c r="P77" i="214"/>
  <c r="O72" i="214"/>
  <c r="O77" i="214"/>
  <c r="U47" i="179"/>
  <c r="U54" i="179"/>
  <c r="P61" i="214"/>
  <c r="Q127" i="214"/>
  <c r="Q128" i="214" s="1"/>
  <c r="Q131" i="214" s="1"/>
  <c r="O72" i="223"/>
  <c r="O77" i="223"/>
  <c r="O54" i="216"/>
  <c r="O47" i="216"/>
  <c r="U70" i="218"/>
  <c r="U63" i="218"/>
  <c r="C56" i="223"/>
  <c r="C61" i="223"/>
  <c r="C56" i="216"/>
  <c r="C61" i="216"/>
  <c r="I61" i="214"/>
  <c r="I56" i="214"/>
  <c r="U56" i="179"/>
  <c r="U61" i="179"/>
  <c r="O56" i="218"/>
  <c r="O61" i="218"/>
  <c r="O77" i="216"/>
  <c r="O72" i="216"/>
  <c r="U61" i="220"/>
  <c r="U56" i="220"/>
  <c r="V77" i="218"/>
  <c r="I47" i="214"/>
  <c r="I54" i="214"/>
  <c r="I61" i="225"/>
  <c r="I56" i="225"/>
  <c r="C77" i="225"/>
  <c r="C72" i="225"/>
  <c r="C56" i="229"/>
  <c r="C61" i="229"/>
  <c r="U63" i="225"/>
  <c r="U70" i="225"/>
  <c r="O54" i="218"/>
  <c r="O47" i="218"/>
  <c r="U47" i="229"/>
  <c r="U54" i="229"/>
  <c r="K127" i="227"/>
  <c r="K128" i="227" s="1"/>
  <c r="K131" i="227" s="1"/>
  <c r="J77" i="227"/>
  <c r="Q127" i="223"/>
  <c r="Q128" i="223" s="1"/>
  <c r="Q131" i="223" s="1"/>
  <c r="P61" i="223"/>
  <c r="U54" i="220"/>
  <c r="U47" i="220"/>
  <c r="O72" i="218"/>
  <c r="O77" i="218"/>
  <c r="U63" i="220"/>
  <c r="U70" i="220"/>
  <c r="K53" i="216"/>
  <c r="U77" i="225"/>
  <c r="U72" i="225"/>
  <c r="E127" i="229"/>
  <c r="E128" i="229" s="1"/>
  <c r="E131" i="229" s="1"/>
  <c r="D61" i="229"/>
  <c r="O70" i="227"/>
  <c r="O63" i="227"/>
  <c r="O72" i="225"/>
  <c r="O77" i="225"/>
  <c r="J61" i="223"/>
  <c r="C70" i="229"/>
  <c r="C63" i="229"/>
  <c r="U77" i="216"/>
  <c r="U72" i="216"/>
  <c r="C56" i="227"/>
  <c r="C61" i="227"/>
  <c r="C47" i="220"/>
  <c r="C54" i="220"/>
  <c r="C63" i="223"/>
  <c r="C70" i="223"/>
  <c r="P77" i="229"/>
  <c r="W53" i="229"/>
  <c r="I72" i="227"/>
  <c r="I77" i="227"/>
  <c r="E53" i="225"/>
  <c r="U77" i="229"/>
  <c r="U72" i="229"/>
  <c r="C70" i="220"/>
  <c r="C63" i="220"/>
  <c r="O56" i="179"/>
  <c r="O61" i="179"/>
  <c r="V70" i="179"/>
  <c r="U77" i="223"/>
  <c r="U72" i="223"/>
  <c r="O70" i="220"/>
  <c r="O63" i="220"/>
  <c r="C61" i="218"/>
  <c r="C56" i="218"/>
  <c r="V70" i="220"/>
  <c r="U47" i="223"/>
  <c r="U54" i="223"/>
  <c r="P70" i="227"/>
  <c r="P77" i="225"/>
  <c r="U56" i="218"/>
  <c r="U61" i="218"/>
  <c r="I70" i="214"/>
  <c r="I63" i="214"/>
  <c r="V77" i="216"/>
  <c r="O56" i="223"/>
  <c r="O61" i="223"/>
  <c r="E53" i="220"/>
  <c r="O72" i="179"/>
  <c r="O77" i="179"/>
  <c r="D70" i="223"/>
  <c r="O47" i="220"/>
  <c r="O54" i="220"/>
  <c r="J77" i="216"/>
  <c r="C47" i="225"/>
  <c r="C54" i="225"/>
  <c r="I72" i="214"/>
  <c r="I77" i="214"/>
  <c r="Q53" i="229"/>
  <c r="W53" i="225"/>
  <c r="J77" i="225"/>
  <c r="O54" i="179"/>
  <c r="O47" i="179"/>
  <c r="D61" i="216"/>
  <c r="E127" i="216"/>
  <c r="E128" i="216" s="1"/>
  <c r="E131" i="216" s="1"/>
  <c r="I61" i="220"/>
  <c r="I56" i="220"/>
  <c r="U47" i="216"/>
  <c r="U54" i="216"/>
  <c r="C61" i="220"/>
  <c r="C56" i="220"/>
  <c r="O56" i="227"/>
  <c r="O61" i="227"/>
  <c r="V70" i="218"/>
  <c r="U63" i="214"/>
  <c r="U70" i="214"/>
  <c r="I77" i="216"/>
  <c r="I72" i="216"/>
  <c r="U47" i="225"/>
  <c r="U54" i="225"/>
  <c r="C72" i="229"/>
  <c r="C77" i="229"/>
  <c r="U47" i="214"/>
  <c r="U54" i="214"/>
  <c r="I61" i="229"/>
  <c r="I56" i="229"/>
  <c r="V77" i="227"/>
  <c r="V70" i="227"/>
  <c r="U70" i="223"/>
  <c r="U63" i="223"/>
  <c r="P77" i="227"/>
  <c r="D77" i="229"/>
  <c r="E127" i="214"/>
  <c r="E128" i="214" s="1"/>
  <c r="E131" i="214" s="1"/>
  <c r="D61" i="214"/>
  <c r="P70" i="179"/>
  <c r="V61" i="229"/>
  <c r="W127" i="229"/>
  <c r="W128" i="229" s="1"/>
  <c r="W131" i="229" s="1"/>
  <c r="C70" i="214"/>
  <c r="C63" i="214"/>
  <c r="O70" i="216"/>
  <c r="O63" i="216"/>
  <c r="I77" i="220"/>
  <c r="I72" i="220"/>
  <c r="J70" i="216"/>
  <c r="K53" i="227"/>
  <c r="U56" i="227"/>
  <c r="U61" i="227"/>
  <c r="K53" i="220"/>
  <c r="U77" i="220"/>
  <c r="U72" i="220"/>
  <c r="C77" i="227"/>
  <c r="C72" i="227"/>
  <c r="P61" i="225"/>
  <c r="Q127" i="225"/>
  <c r="Q128" i="225" s="1"/>
  <c r="Q131" i="225" s="1"/>
  <c r="V61" i="225"/>
  <c r="W127" i="225"/>
  <c r="W128" i="225" s="1"/>
  <c r="W131" i="225" s="1"/>
  <c r="P61" i="227"/>
  <c r="Q127" i="227"/>
  <c r="Q128" i="227" s="1"/>
  <c r="Q131" i="227" s="1"/>
  <c r="J61" i="214"/>
  <c r="K127" i="214"/>
  <c r="K128" i="214" s="1"/>
  <c r="K131" i="214" s="1"/>
  <c r="P61" i="179"/>
  <c r="Q127" i="179"/>
  <c r="Q128" i="179" s="1"/>
  <c r="Q131" i="179" s="1"/>
  <c r="I77" i="225"/>
  <c r="I72" i="225"/>
  <c r="O63" i="229"/>
  <c r="O70" i="229"/>
  <c r="E53" i="218"/>
  <c r="C56" i="214"/>
  <c r="C61" i="214"/>
  <c r="Q53" i="225"/>
  <c r="I54" i="220"/>
  <c r="I47" i="220"/>
  <c r="U61" i="216"/>
  <c r="U56" i="216"/>
  <c r="C72" i="218"/>
  <c r="C77" i="218"/>
  <c r="I61" i="216"/>
  <c r="I56" i="216"/>
  <c r="E127" i="225"/>
  <c r="E128" i="225" s="1"/>
  <c r="E131" i="225" s="1"/>
  <c r="D61" i="225"/>
  <c r="I63" i="216"/>
  <c r="I70" i="216"/>
  <c r="C54" i="227"/>
  <c r="C47" i="227"/>
  <c r="I56" i="227"/>
  <c r="I61" i="227"/>
  <c r="U70" i="229"/>
  <c r="U63" i="229"/>
  <c r="O56" i="214"/>
  <c r="O61" i="214"/>
  <c r="U56" i="223"/>
  <c r="U61" i="223"/>
  <c r="U77" i="218"/>
  <c r="U72" i="218"/>
  <c r="K109" i="214"/>
  <c r="K112" i="214" s="1"/>
  <c r="C63" i="225"/>
  <c r="C70" i="225"/>
  <c r="O54" i="227"/>
  <c r="O47" i="227"/>
  <c r="I47" i="225"/>
  <c r="I54" i="225"/>
  <c r="V61" i="223"/>
  <c r="W127" i="223"/>
  <c r="W128" i="223" s="1"/>
  <c r="W131" i="223" s="1"/>
  <c r="I47" i="179"/>
  <c r="I54" i="179"/>
  <c r="I61" i="218"/>
  <c r="I56" i="218"/>
  <c r="K53" i="223"/>
  <c r="I54" i="216"/>
  <c r="I47" i="216"/>
  <c r="I77" i="223"/>
  <c r="I72" i="223"/>
  <c r="I56" i="223"/>
  <c r="I61" i="223"/>
  <c r="D61" i="227"/>
  <c r="E127" i="227"/>
  <c r="E128" i="227" s="1"/>
  <c r="E131" i="227" s="1"/>
  <c r="C77" i="220"/>
  <c r="C72" i="220"/>
  <c r="O77" i="229"/>
  <c r="O72" i="229"/>
  <c r="P61" i="216"/>
  <c r="Q127" i="216"/>
  <c r="Q128" i="216" s="1"/>
  <c r="Q131" i="216" s="1"/>
  <c r="U70" i="179"/>
  <c r="U63" i="179"/>
  <c r="W53" i="223"/>
  <c r="V54" i="223" s="1"/>
  <c r="C54" i="216"/>
  <c r="C47" i="216"/>
  <c r="V61" i="218"/>
  <c r="W127" i="218"/>
  <c r="W128" i="218" s="1"/>
  <c r="W131" i="218" s="1"/>
  <c r="Q53" i="220"/>
  <c r="O47" i="225"/>
  <c r="O54" i="225"/>
  <c r="O54" i="229"/>
  <c r="O47" i="229"/>
  <c r="U72" i="227"/>
  <c r="U77" i="227"/>
  <c r="U70" i="227"/>
  <c r="U63" i="227"/>
  <c r="J61" i="229"/>
  <c r="K127" i="229"/>
  <c r="K128" i="229" s="1"/>
  <c r="K131" i="229" s="1"/>
  <c r="I47" i="229"/>
  <c r="I54" i="229"/>
  <c r="O77" i="227"/>
  <c r="O72" i="227"/>
  <c r="E53" i="216"/>
  <c r="O63" i="179"/>
  <c r="O70" i="179"/>
  <c r="U77" i="214"/>
  <c r="U72" i="214"/>
  <c r="O54" i="223"/>
  <c r="O47" i="223"/>
  <c r="K127" i="220"/>
  <c r="K128" i="220" s="1"/>
  <c r="K131" i="220" s="1"/>
  <c r="J77" i="220"/>
  <c r="I54" i="227"/>
  <c r="I47" i="227"/>
  <c r="C72" i="214"/>
  <c r="C77" i="214"/>
  <c r="O56" i="220"/>
  <c r="O61" i="220"/>
  <c r="C54" i="218"/>
  <c r="C47" i="218"/>
  <c r="D77" i="214"/>
  <c r="I63" i="229"/>
  <c r="I70" i="229"/>
  <c r="Q127" i="220"/>
  <c r="Q128" i="220" s="1"/>
  <c r="Q131" i="220" s="1"/>
  <c r="P61" i="220"/>
  <c r="V70" i="223"/>
  <c r="I63" i="218"/>
  <c r="I70" i="218"/>
  <c r="U61" i="214"/>
  <c r="U56" i="214"/>
  <c r="C70" i="216"/>
  <c r="C63" i="216"/>
  <c r="I77" i="179"/>
  <c r="I72" i="179"/>
  <c r="U56" i="229"/>
  <c r="U61" i="229"/>
  <c r="K53" i="218"/>
  <c r="J61" i="227"/>
  <c r="C47" i="223"/>
  <c r="C54" i="223"/>
  <c r="U77" i="179"/>
  <c r="U72" i="179"/>
  <c r="W53" i="227"/>
  <c r="V54" i="227" s="1"/>
  <c r="E127" i="223"/>
  <c r="E128" i="223" s="1"/>
  <c r="E131" i="223" s="1"/>
  <c r="D61" i="223"/>
  <c r="O63" i="218"/>
  <c r="O70" i="218"/>
  <c r="V61" i="216"/>
  <c r="W127" i="216"/>
  <c r="W128" i="216" s="1"/>
  <c r="W131" i="216" s="1"/>
  <c r="J70" i="218"/>
  <c r="O72" i="220"/>
  <c r="O77" i="220"/>
  <c r="W127" i="214"/>
  <c r="W128" i="214" s="1"/>
  <c r="W131" i="214" s="1"/>
  <c r="V61" i="214"/>
  <c r="E53" i="214"/>
  <c r="E127" i="218"/>
  <c r="E128" i="218" s="1"/>
  <c r="E131" i="218" s="1"/>
  <c r="D77" i="218"/>
  <c r="U70" i="216"/>
  <c r="U63" i="216"/>
  <c r="E127" i="220"/>
  <c r="E128" i="220" s="1"/>
  <c r="E131" i="220" s="1"/>
  <c r="D61" i="220"/>
  <c r="V70" i="229"/>
  <c r="I77" i="229"/>
  <c r="I72" i="229"/>
  <c r="C56" i="225"/>
  <c r="C61" i="225"/>
  <c r="I47" i="218"/>
  <c r="I54" i="218"/>
  <c r="I70" i="220"/>
  <c r="I63" i="220"/>
  <c r="E53" i="227"/>
  <c r="O61" i="225"/>
  <c r="O56" i="225"/>
  <c r="C70" i="227"/>
  <c r="C63" i="227"/>
  <c r="C70" i="218"/>
  <c r="C63" i="218"/>
  <c r="D2" i="180"/>
  <c r="C2" i="180"/>
  <c r="C2" i="215"/>
  <c r="E2" i="215"/>
  <c r="D2" i="215"/>
  <c r="Q21" i="180"/>
  <c r="P21" i="180"/>
  <c r="O21" i="180"/>
  <c r="E127" i="179"/>
  <c r="E128" i="179" s="1"/>
  <c r="E131" i="179" s="1"/>
  <c r="D61" i="179"/>
  <c r="D77" i="179"/>
  <c r="C70" i="179"/>
  <c r="C63" i="179"/>
  <c r="C54" i="179"/>
  <c r="E53" i="179"/>
  <c r="D70" i="179"/>
  <c r="E110" i="179"/>
  <c r="D91" i="179"/>
  <c r="D101" i="179"/>
  <c r="AX9" i="180"/>
  <c r="AW20" i="180"/>
  <c r="W109" i="216" l="1"/>
  <c r="W112" i="216" s="1"/>
  <c r="K109" i="225"/>
  <c r="K112" i="225" s="1"/>
  <c r="D54" i="229"/>
  <c r="AC122" i="229"/>
  <c r="AA147" i="229" s="1"/>
  <c r="AC117" i="229"/>
  <c r="AC118" i="229" s="1"/>
  <c r="AC119" i="229"/>
  <c r="P54" i="179"/>
  <c r="W109" i="179"/>
  <c r="W112" i="179" s="1"/>
  <c r="W117" i="179" s="1"/>
  <c r="W118" i="179" s="1"/>
  <c r="W109" i="218"/>
  <c r="W112" i="218" s="1"/>
  <c r="W122" i="218" s="1"/>
  <c r="U147" i="218" s="1"/>
  <c r="P54" i="227"/>
  <c r="V54" i="214"/>
  <c r="P54" i="223"/>
  <c r="D54" i="223"/>
  <c r="W109" i="220"/>
  <c r="W112" i="220" s="1"/>
  <c r="W122" i="220" s="1"/>
  <c r="U147" i="220" s="1"/>
  <c r="K109" i="179"/>
  <c r="K112" i="179" s="1"/>
  <c r="K122" i="179" s="1"/>
  <c r="I147" i="179" s="1"/>
  <c r="K109" i="229"/>
  <c r="K112" i="229" s="1"/>
  <c r="K122" i="229" s="1"/>
  <c r="I147" i="229" s="1"/>
  <c r="D7" i="179"/>
  <c r="W109" i="227"/>
  <c r="W112" i="227" s="1"/>
  <c r="W122" i="227" s="1"/>
  <c r="U147" i="227" s="1"/>
  <c r="J54" i="218"/>
  <c r="K109" i="218"/>
  <c r="K112" i="218" s="1"/>
  <c r="W109" i="223"/>
  <c r="W112" i="223" s="1"/>
  <c r="W119" i="218"/>
  <c r="W117" i="218"/>
  <c r="W118" i="218" s="1"/>
  <c r="D7" i="220"/>
  <c r="P54" i="220"/>
  <c r="Q109" i="220"/>
  <c r="Q112" i="220" s="1"/>
  <c r="E109" i="218"/>
  <c r="E112" i="218" s="1"/>
  <c r="D54" i="218"/>
  <c r="K109" i="227"/>
  <c r="K112" i="227" s="1"/>
  <c r="J54" i="227"/>
  <c r="D7" i="214"/>
  <c r="D7" i="229"/>
  <c r="K119" i="225"/>
  <c r="K117" i="225"/>
  <c r="K118" i="225" s="1"/>
  <c r="K122" i="225"/>
  <c r="I147" i="225" s="1"/>
  <c r="W122" i="214"/>
  <c r="U147" i="214" s="1"/>
  <c r="W119" i="214"/>
  <c r="W117" i="214"/>
  <c r="W118" i="214" s="1"/>
  <c r="D54" i="220"/>
  <c r="E109" i="220"/>
  <c r="E112" i="220" s="1"/>
  <c r="K122" i="214"/>
  <c r="I147" i="214" s="1"/>
  <c r="K117" i="214"/>
  <c r="K118" i="214" s="1"/>
  <c r="K119" i="214"/>
  <c r="D7" i="218"/>
  <c r="D19" i="218" s="1"/>
  <c r="D20" i="218" s="1"/>
  <c r="D21" i="218" s="1"/>
  <c r="D7" i="223"/>
  <c r="D54" i="227"/>
  <c r="E109" i="227"/>
  <c r="E112" i="227" s="1"/>
  <c r="J54" i="223"/>
  <c r="K109" i="223"/>
  <c r="K112" i="223" s="1"/>
  <c r="P54" i="229"/>
  <c r="Q109" i="229"/>
  <c r="Q112" i="229" s="1"/>
  <c r="Q109" i="218"/>
  <c r="Q112" i="218" s="1"/>
  <c r="P54" i="218"/>
  <c r="D54" i="225"/>
  <c r="E109" i="225"/>
  <c r="E112" i="225" s="1"/>
  <c r="K109" i="216"/>
  <c r="K112" i="216" s="1"/>
  <c r="J54" i="216"/>
  <c r="E109" i="214"/>
  <c r="E112" i="214" s="1"/>
  <c r="E122" i="214" s="1"/>
  <c r="D54" i="214"/>
  <c r="Q122" i="227"/>
  <c r="O147" i="227" s="1"/>
  <c r="Q119" i="227"/>
  <c r="Q117" i="227"/>
  <c r="Q118" i="227" s="1"/>
  <c r="P54" i="214"/>
  <c r="Q109" i="214"/>
  <c r="Q112" i="214" s="1"/>
  <c r="D7" i="227"/>
  <c r="E122" i="223"/>
  <c r="C147" i="223" s="1"/>
  <c r="E117" i="223"/>
  <c r="E118" i="223" s="1"/>
  <c r="E119" i="223"/>
  <c r="Q119" i="223"/>
  <c r="Q117" i="223"/>
  <c r="Q118" i="223" s="1"/>
  <c r="Q122" i="223"/>
  <c r="O147" i="223" s="1"/>
  <c r="V54" i="229"/>
  <c r="W109" i="229"/>
  <c r="W112" i="229" s="1"/>
  <c r="W117" i="216"/>
  <c r="W118" i="216" s="1"/>
  <c r="W122" i="216"/>
  <c r="U147" i="216" s="1"/>
  <c r="W119" i="216"/>
  <c r="D7" i="216"/>
  <c r="V54" i="225"/>
  <c r="W109" i="225"/>
  <c r="W112" i="225" s="1"/>
  <c r="D54" i="216"/>
  <c r="E109" i="216"/>
  <c r="E112" i="216" s="1"/>
  <c r="E119" i="229"/>
  <c r="E117" i="229"/>
  <c r="E118" i="229" s="1"/>
  <c r="E122" i="229"/>
  <c r="C147" i="229" s="1"/>
  <c r="Q109" i="225"/>
  <c r="Q112" i="225" s="1"/>
  <c r="P54" i="225"/>
  <c r="J54" i="220"/>
  <c r="K109" i="220"/>
  <c r="K112" i="220" s="1"/>
  <c r="Q119" i="216"/>
  <c r="Q117" i="216"/>
  <c r="Q118" i="216" s="1"/>
  <c r="Q122" i="216"/>
  <c r="O147" i="216" s="1"/>
  <c r="Q120" i="216"/>
  <c r="Q123" i="216" s="1"/>
  <c r="Q130" i="216" s="1"/>
  <c r="D7" i="225"/>
  <c r="Q119" i="179"/>
  <c r="Q117" i="179"/>
  <c r="Q118" i="179" s="1"/>
  <c r="Q122" i="179"/>
  <c r="O147" i="179" s="1"/>
  <c r="E109" i="179"/>
  <c r="E112" i="179" s="1"/>
  <c r="D54" i="179"/>
  <c r="AV21" i="180"/>
  <c r="AW21" i="180"/>
  <c r="AV20" i="180"/>
  <c r="AX20" i="180" s="1"/>
  <c r="D3" i="159"/>
  <c r="E3" i="159" s="1"/>
  <c r="F3" i="159" s="1"/>
  <c r="G3" i="159" s="1"/>
  <c r="H3" i="159" s="1"/>
  <c r="I3" i="159" s="1"/>
  <c r="J3" i="159" s="1"/>
  <c r="K3" i="159" s="1"/>
  <c r="L3" i="159" s="1"/>
  <c r="M3" i="159" s="1"/>
  <c r="N3" i="159" s="1"/>
  <c r="O3" i="159" s="1"/>
  <c r="P3" i="159" s="1"/>
  <c r="Q3" i="159" s="1"/>
  <c r="R3" i="159" s="1"/>
  <c r="S3" i="159" s="1"/>
  <c r="T3" i="159" s="1"/>
  <c r="U3" i="159" s="1"/>
  <c r="V3" i="159" s="1"/>
  <c r="W3" i="159" s="1"/>
  <c r="X3" i="159" s="1"/>
  <c r="Y3" i="159" s="1"/>
  <c r="Z3" i="159" s="1"/>
  <c r="AA3" i="159" s="1"/>
  <c r="AB3" i="159" s="1"/>
  <c r="AC3" i="159" s="1"/>
  <c r="AD3" i="159" s="1"/>
  <c r="AE3" i="159" s="1"/>
  <c r="AF3" i="159" s="1"/>
  <c r="AG3" i="159" s="1"/>
  <c r="AH3" i="159" s="1"/>
  <c r="AI3" i="159" s="1"/>
  <c r="AJ3" i="159" s="1"/>
  <c r="AK3" i="159" s="1"/>
  <c r="AL3" i="159" s="1"/>
  <c r="AM3" i="159" s="1"/>
  <c r="W120" i="218" l="1"/>
  <c r="W123" i="218" s="1"/>
  <c r="W130" i="218" s="1"/>
  <c r="T156" i="218" s="1"/>
  <c r="W119" i="179"/>
  <c r="AC120" i="229"/>
  <c r="AC123" i="229" s="1"/>
  <c r="AC130" i="229" s="1"/>
  <c r="W120" i="214"/>
  <c r="W123" i="214" s="1"/>
  <c r="W130" i="214" s="1"/>
  <c r="U144" i="214" s="1"/>
  <c r="W122" i="179"/>
  <c r="U147" i="179" s="1"/>
  <c r="K117" i="179"/>
  <c r="K118" i="179" s="1"/>
  <c r="W119" i="227"/>
  <c r="W117" i="227"/>
  <c r="W118" i="227" s="1"/>
  <c r="W120" i="227" s="1"/>
  <c r="W123" i="227" s="1"/>
  <c r="W130" i="227" s="1"/>
  <c r="U144" i="227" s="1"/>
  <c r="W119" i="220"/>
  <c r="W117" i="220"/>
  <c r="W118" i="220" s="1"/>
  <c r="W120" i="220" s="1"/>
  <c r="W123" i="220" s="1"/>
  <c r="W130" i="220" s="1"/>
  <c r="U144" i="220" s="1"/>
  <c r="K119" i="179"/>
  <c r="K120" i="179" s="1"/>
  <c r="K123" i="179" s="1"/>
  <c r="K130" i="179" s="1"/>
  <c r="I144" i="179" s="1"/>
  <c r="Q120" i="227"/>
  <c r="Q123" i="227" s="1"/>
  <c r="Q130" i="227" s="1"/>
  <c r="O144" i="227" s="1"/>
  <c r="E120" i="223"/>
  <c r="E123" i="223" s="1"/>
  <c r="E130" i="223" s="1"/>
  <c r="Q120" i="179"/>
  <c r="Q123" i="179" s="1"/>
  <c r="Q130" i="179" s="1"/>
  <c r="N156" i="179" s="1"/>
  <c r="E120" i="229"/>
  <c r="E123" i="229" s="1"/>
  <c r="E130" i="229" s="1"/>
  <c r="W120" i="216"/>
  <c r="W123" i="216" s="1"/>
  <c r="W130" i="216" s="1"/>
  <c r="K117" i="229"/>
  <c r="K118" i="229" s="1"/>
  <c r="K119" i="229"/>
  <c r="W120" i="179"/>
  <c r="W123" i="179" s="1"/>
  <c r="W130" i="179" s="1"/>
  <c r="K120" i="225"/>
  <c r="K123" i="225" s="1"/>
  <c r="K130" i="225" s="1"/>
  <c r="H156" i="225" s="1"/>
  <c r="Q120" i="223"/>
  <c r="Q123" i="223" s="1"/>
  <c r="Q130" i="223" s="1"/>
  <c r="O144" i="223" s="1"/>
  <c r="K120" i="214"/>
  <c r="K123" i="214" s="1"/>
  <c r="K130" i="214" s="1"/>
  <c r="I144" i="214" s="1"/>
  <c r="Q119" i="214"/>
  <c r="Q122" i="214"/>
  <c r="O147" i="214" s="1"/>
  <c r="Q117" i="214"/>
  <c r="Q118" i="214" s="1"/>
  <c r="Q122" i="229"/>
  <c r="O147" i="229" s="1"/>
  <c r="Q117" i="229"/>
  <c r="Q118" i="229" s="1"/>
  <c r="Q119" i="229"/>
  <c r="Q119" i="220"/>
  <c r="Q117" i="220"/>
  <c r="Q118" i="220" s="1"/>
  <c r="Q122" i="220"/>
  <c r="O147" i="220" s="1"/>
  <c r="E117" i="218"/>
  <c r="E118" i="218" s="1"/>
  <c r="E122" i="218"/>
  <c r="C147" i="218" s="1"/>
  <c r="E119" i="218"/>
  <c r="K122" i="223"/>
  <c r="I147" i="223" s="1"/>
  <c r="K119" i="223"/>
  <c r="K117" i="223"/>
  <c r="K118" i="223" s="1"/>
  <c r="N156" i="216"/>
  <c r="O144" i="216"/>
  <c r="E119" i="227"/>
  <c r="E122" i="227"/>
  <c r="C147" i="227" s="1"/>
  <c r="E117" i="227"/>
  <c r="E118" i="227" s="1"/>
  <c r="E117" i="220"/>
  <c r="E118" i="220" s="1"/>
  <c r="E119" i="220"/>
  <c r="E122" i="220"/>
  <c r="C147" i="220" s="1"/>
  <c r="W119" i="225"/>
  <c r="W122" i="225"/>
  <c r="U147" i="225" s="1"/>
  <c r="W117" i="225"/>
  <c r="W118" i="225" s="1"/>
  <c r="C147" i="214"/>
  <c r="E119" i="214"/>
  <c r="E117" i="214"/>
  <c r="E118" i="214" s="1"/>
  <c r="Q119" i="218"/>
  <c r="Q122" i="218"/>
  <c r="O147" i="218" s="1"/>
  <c r="Q117" i="218"/>
  <c r="Q118" i="218" s="1"/>
  <c r="Q122" i="225"/>
  <c r="O147" i="225" s="1"/>
  <c r="Q119" i="225"/>
  <c r="Q117" i="225"/>
  <c r="Q118" i="225" s="1"/>
  <c r="K122" i="216"/>
  <c r="I147" i="216" s="1"/>
  <c r="K119" i="216"/>
  <c r="K117" i="216"/>
  <c r="K118" i="216" s="1"/>
  <c r="W119" i="223"/>
  <c r="W117" i="223"/>
  <c r="W118" i="223" s="1"/>
  <c r="W122" i="223"/>
  <c r="U147" i="223" s="1"/>
  <c r="K117" i="218"/>
  <c r="K118" i="218" s="1"/>
  <c r="K119" i="218"/>
  <c r="K122" i="218"/>
  <c r="I147" i="218" s="1"/>
  <c r="E119" i="216"/>
  <c r="E117" i="216"/>
  <c r="E118" i="216" s="1"/>
  <c r="E122" i="216"/>
  <c r="C147" i="216" s="1"/>
  <c r="T156" i="214"/>
  <c r="W117" i="229"/>
  <c r="W118" i="229" s="1"/>
  <c r="W122" i="229"/>
  <c r="U147" i="229" s="1"/>
  <c r="W119" i="229"/>
  <c r="K119" i="220"/>
  <c r="K117" i="220"/>
  <c r="K118" i="220" s="1"/>
  <c r="K122" i="220"/>
  <c r="I147" i="220" s="1"/>
  <c r="E119" i="225"/>
  <c r="E117" i="225"/>
  <c r="E118" i="225" s="1"/>
  <c r="E122" i="225"/>
  <c r="C147" i="225" s="1"/>
  <c r="K117" i="227"/>
  <c r="K118" i="227" s="1"/>
  <c r="K122" i="227"/>
  <c r="I147" i="227" s="1"/>
  <c r="K119" i="227"/>
  <c r="AX21" i="180"/>
  <c r="E119" i="179"/>
  <c r="E117" i="179"/>
  <c r="E122" i="179"/>
  <c r="AN3" i="159"/>
  <c r="AO3" i="159" s="1"/>
  <c r="AP3" i="159" s="1"/>
  <c r="AQ3" i="159" s="1"/>
  <c r="AR3" i="159" s="1"/>
  <c r="AS3" i="159" s="1"/>
  <c r="AT3" i="159" s="1"/>
  <c r="T156" i="216" l="1"/>
  <c r="U144" i="216"/>
  <c r="Q120" i="220"/>
  <c r="Q120" i="214"/>
  <c r="K120" i="223"/>
  <c r="K123" i="223" s="1"/>
  <c r="K130" i="223" s="1"/>
  <c r="Q123" i="214"/>
  <c r="Q130" i="214" s="1"/>
  <c r="O144" i="214" s="1"/>
  <c r="E120" i="216"/>
  <c r="Q123" i="220"/>
  <c r="Q130" i="220" s="1"/>
  <c r="N156" i="220" s="1"/>
  <c r="N156" i="227"/>
  <c r="AA144" i="229"/>
  <c r="AA152" i="229" s="1"/>
  <c r="AA153" i="229" s="1"/>
  <c r="Z155" i="229" s="1"/>
  <c r="Z156" i="229"/>
  <c r="U144" i="218"/>
  <c r="B21" i="227"/>
  <c r="B19" i="228" s="1"/>
  <c r="AH19" i="228" s="1"/>
  <c r="O144" i="179"/>
  <c r="T156" i="220"/>
  <c r="Q120" i="218"/>
  <c r="Q123" i="218" s="1"/>
  <c r="Q130" i="218" s="1"/>
  <c r="O144" i="218" s="1"/>
  <c r="E120" i="227"/>
  <c r="E123" i="227" s="1"/>
  <c r="E130" i="227" s="1"/>
  <c r="E120" i="218"/>
  <c r="E123" i="218" s="1"/>
  <c r="E130" i="218" s="1"/>
  <c r="W120" i="223"/>
  <c r="W123" i="223" s="1"/>
  <c r="W130" i="223" s="1"/>
  <c r="U144" i="223" s="1"/>
  <c r="E120" i="225"/>
  <c r="E123" i="225" s="1"/>
  <c r="U144" i="179"/>
  <c r="T156" i="179"/>
  <c r="T156" i="227"/>
  <c r="K120" i="218"/>
  <c r="K123" i="218" s="1"/>
  <c r="K130" i="218" s="1"/>
  <c r="W120" i="225"/>
  <c r="W123" i="225" s="1"/>
  <c r="W130" i="225" s="1"/>
  <c r="T156" i="225" s="1"/>
  <c r="K120" i="216"/>
  <c r="K123" i="216" s="1"/>
  <c r="K130" i="216" s="1"/>
  <c r="I144" i="216" s="1"/>
  <c r="E120" i="214"/>
  <c r="E123" i="214" s="1"/>
  <c r="H156" i="179"/>
  <c r="K120" i="229"/>
  <c r="K123" i="229" s="1"/>
  <c r="K130" i="229" s="1"/>
  <c r="B21" i="229"/>
  <c r="B19" i="230" s="1"/>
  <c r="AG19" i="230" s="1"/>
  <c r="K120" i="227"/>
  <c r="K123" i="227" s="1"/>
  <c r="K130" i="227" s="1"/>
  <c r="I144" i="225"/>
  <c r="H156" i="214"/>
  <c r="N156" i="223"/>
  <c r="E123" i="216"/>
  <c r="E130" i="216" s="1"/>
  <c r="Q120" i="225"/>
  <c r="Q123" i="225" s="1"/>
  <c r="Q130" i="225" s="1"/>
  <c r="N156" i="225" s="1"/>
  <c r="B21" i="220"/>
  <c r="B19" i="221" s="1"/>
  <c r="AW19" i="221" s="1"/>
  <c r="K120" i="220"/>
  <c r="K123" i="220" s="1"/>
  <c r="K130" i="220" s="1"/>
  <c r="H156" i="220" s="1"/>
  <c r="E120" i="220"/>
  <c r="E123" i="220" s="1"/>
  <c r="B21" i="214"/>
  <c r="B19" i="215" s="1"/>
  <c r="P19" i="215" s="1"/>
  <c r="Q120" i="229"/>
  <c r="Q123" i="229" s="1"/>
  <c r="Q130" i="229" s="1"/>
  <c r="B21" i="218"/>
  <c r="B19" i="219" s="1"/>
  <c r="AW19" i="219" s="1"/>
  <c r="AX19" i="219" s="1"/>
  <c r="B156" i="229"/>
  <c r="C144" i="229"/>
  <c r="W120" i="229"/>
  <c r="W123" i="229" s="1"/>
  <c r="W130" i="229" s="1"/>
  <c r="B21" i="225"/>
  <c r="B19" i="226" s="1"/>
  <c r="N156" i="214"/>
  <c r="B21" i="216"/>
  <c r="B19" i="217" s="1"/>
  <c r="B21" i="223"/>
  <c r="B19" i="224" s="1"/>
  <c r="C144" i="223"/>
  <c r="B156" i="223"/>
  <c r="C147" i="179"/>
  <c r="B21" i="179" s="1"/>
  <c r="B19" i="180" s="1"/>
  <c r="E118" i="179"/>
  <c r="E120" i="179" s="1"/>
  <c r="O144" i="220" l="1"/>
  <c r="D5" i="214"/>
  <c r="Z157" i="229"/>
  <c r="Z160" i="229" s="1"/>
  <c r="AA160" i="229" s="1"/>
  <c r="AI19" i="228"/>
  <c r="AI25" i="228" s="1"/>
  <c r="AW19" i="228"/>
  <c r="Z162" i="229"/>
  <c r="Z163" i="229"/>
  <c r="AA163" i="229" s="1"/>
  <c r="I144" i="227"/>
  <c r="H156" i="227"/>
  <c r="N156" i="218"/>
  <c r="U144" i="225"/>
  <c r="E130" i="214"/>
  <c r="D6" i="214" s="1"/>
  <c r="D19" i="214" s="1"/>
  <c r="D20" i="214" s="1"/>
  <c r="D21" i="214" s="1"/>
  <c r="D5" i="220"/>
  <c r="H156" i="218"/>
  <c r="I144" i="218"/>
  <c r="D5" i="216"/>
  <c r="T156" i="223"/>
  <c r="D5" i="218"/>
  <c r="H156" i="229"/>
  <c r="I144" i="229"/>
  <c r="AW19" i="230"/>
  <c r="AH19" i="230"/>
  <c r="D5" i="227"/>
  <c r="D8" i="227"/>
  <c r="B30" i="227" s="1"/>
  <c r="O144" i="225"/>
  <c r="AW19" i="215"/>
  <c r="AB19" i="221"/>
  <c r="AB25" i="221" s="1"/>
  <c r="I144" i="220"/>
  <c r="O19" i="215"/>
  <c r="D6" i="223"/>
  <c r="D19" i="223" s="1"/>
  <c r="D20" i="223" s="1"/>
  <c r="D21" i="223" s="1"/>
  <c r="AA19" i="221"/>
  <c r="E130" i="220"/>
  <c r="D8" i="220" s="1"/>
  <c r="B30" i="220" s="1"/>
  <c r="D5" i="223"/>
  <c r="H156" i="216"/>
  <c r="D8" i="223"/>
  <c r="B30" i="223" s="1"/>
  <c r="AA19" i="224"/>
  <c r="AA25" i="224" s="1"/>
  <c r="Z19" i="224"/>
  <c r="AW19" i="224"/>
  <c r="E130" i="225"/>
  <c r="D5" i="225"/>
  <c r="U144" i="229"/>
  <c r="T156" i="229"/>
  <c r="D6" i="216"/>
  <c r="D19" i="216" s="1"/>
  <c r="D20" i="216" s="1"/>
  <c r="D21" i="216" s="1"/>
  <c r="D8" i="216"/>
  <c r="B30" i="216" s="1"/>
  <c r="B156" i="216"/>
  <c r="C144" i="216"/>
  <c r="B18" i="216" s="1"/>
  <c r="B16" i="217" s="1"/>
  <c r="D6" i="229"/>
  <c r="D19" i="229" s="1"/>
  <c r="D20" i="229" s="1"/>
  <c r="D21" i="229" s="1"/>
  <c r="AV19" i="215"/>
  <c r="D8" i="229"/>
  <c r="B30" i="229" s="1"/>
  <c r="H156" i="223"/>
  <c r="I144" i="223"/>
  <c r="B18" i="223" s="1"/>
  <c r="B16" i="224" s="1"/>
  <c r="D5" i="229"/>
  <c r="AE19" i="226"/>
  <c r="AE25" i="226" s="1"/>
  <c r="AD19" i="226"/>
  <c r="AD25" i="226" s="1"/>
  <c r="AD40" i="226" s="1"/>
  <c r="AW19" i="226"/>
  <c r="B156" i="227"/>
  <c r="C144" i="227"/>
  <c r="B18" i="227" s="1"/>
  <c r="B16" i="228" s="1"/>
  <c r="D6" i="227"/>
  <c r="D19" i="227" s="1"/>
  <c r="D8" i="218"/>
  <c r="B30" i="218" s="1"/>
  <c r="D6" i="218"/>
  <c r="C144" i="218"/>
  <c r="B156" i="218"/>
  <c r="R19" i="217"/>
  <c r="S19" i="217"/>
  <c r="AW19" i="217"/>
  <c r="N156" i="229"/>
  <c r="O144" i="229"/>
  <c r="Q19" i="180"/>
  <c r="P19" i="180"/>
  <c r="AW18" i="180"/>
  <c r="E123" i="179"/>
  <c r="B18" i="218" l="1"/>
  <c r="B16" i="219" s="1"/>
  <c r="AW16" i="219" s="1"/>
  <c r="AX16" i="219" s="1"/>
  <c r="Z161" i="229"/>
  <c r="AA161" i="229" s="1"/>
  <c r="C144" i="214"/>
  <c r="B18" i="214" s="1"/>
  <c r="B16" i="215" s="1"/>
  <c r="N16" i="215" s="1"/>
  <c r="D8" i="214"/>
  <c r="B30" i="214" s="1"/>
  <c r="Z164" i="229"/>
  <c r="AA162" i="229"/>
  <c r="AA164" i="229" s="1"/>
  <c r="AV19" i="228"/>
  <c r="AX19" i="228" s="1"/>
  <c r="B156" i="214"/>
  <c r="D6" i="220"/>
  <c r="D19" i="220" s="1"/>
  <c r="D20" i="220" s="1"/>
  <c r="D21" i="220" s="1"/>
  <c r="B156" i="220"/>
  <c r="C144" i="220"/>
  <c r="B18" i="220" s="1"/>
  <c r="B16" i="221" s="1"/>
  <c r="W16" i="221" s="1"/>
  <c r="AX19" i="215"/>
  <c r="U16" i="224"/>
  <c r="V16" i="224"/>
  <c r="Y16" i="224"/>
  <c r="W16" i="224"/>
  <c r="X16" i="224"/>
  <c r="S16" i="224"/>
  <c r="S25" i="224" s="1"/>
  <c r="S40" i="224" s="1"/>
  <c r="T16" i="224"/>
  <c r="R16" i="224"/>
  <c r="AA25" i="221"/>
  <c r="AA40" i="221" s="1"/>
  <c r="AV19" i="230"/>
  <c r="AX19" i="230" s="1"/>
  <c r="AV19" i="221"/>
  <c r="AX19" i="221" s="1"/>
  <c r="B18" i="229"/>
  <c r="B16" i="230" s="1"/>
  <c r="AE16" i="230" s="1"/>
  <c r="AV19" i="226"/>
  <c r="AX19" i="226" s="1"/>
  <c r="AC16" i="228"/>
  <c r="AW16" i="228"/>
  <c r="AA16" i="228"/>
  <c r="AG16" i="228"/>
  <c r="AB16" i="228"/>
  <c r="AF16" i="228"/>
  <c r="W16" i="228"/>
  <c r="Z16" i="228"/>
  <c r="Y16" i="228"/>
  <c r="V16" i="228"/>
  <c r="X16" i="228"/>
  <c r="AE16" i="228"/>
  <c r="AD16" i="228"/>
  <c r="AW16" i="224"/>
  <c r="D20" i="227"/>
  <c r="D21" i="227" s="1"/>
  <c r="I16" i="215"/>
  <c r="K16" i="215"/>
  <c r="L16" i="215"/>
  <c r="AW16" i="215"/>
  <c r="C144" i="225"/>
  <c r="B18" i="225" s="1"/>
  <c r="B16" i="226" s="1"/>
  <c r="D8" i="225"/>
  <c r="B30" i="225" s="1"/>
  <c r="B156" i="225"/>
  <c r="D6" i="225"/>
  <c r="D19" i="225" s="1"/>
  <c r="D20" i="225" s="1"/>
  <c r="D21" i="225" s="1"/>
  <c r="AW16" i="217"/>
  <c r="N16" i="217"/>
  <c r="J16" i="217"/>
  <c r="O16" i="217"/>
  <c r="L16" i="217"/>
  <c r="K16" i="217"/>
  <c r="M16" i="217"/>
  <c r="AV19" i="217"/>
  <c r="AX19" i="217" s="1"/>
  <c r="AV19" i="224"/>
  <c r="AX19" i="224" s="1"/>
  <c r="AV19" i="180"/>
  <c r="E130" i="179"/>
  <c r="C144" i="179" s="1"/>
  <c r="B18" i="179" s="1"/>
  <c r="B16" i="180" s="1"/>
  <c r="D5" i="179"/>
  <c r="AV18" i="180"/>
  <c r="AX18" i="180" s="1"/>
  <c r="AW19" i="180"/>
  <c r="M16" i="215" l="1"/>
  <c r="AV16" i="215" s="1"/>
  <c r="AX16" i="215" s="1"/>
  <c r="D8" i="179"/>
  <c r="D6" i="179"/>
  <c r="D19" i="179" s="1"/>
  <c r="Y16" i="221"/>
  <c r="S16" i="221"/>
  <c r="T16" i="221"/>
  <c r="U16" i="221"/>
  <c r="R16" i="221"/>
  <c r="V16" i="221"/>
  <c r="X16" i="221"/>
  <c r="Z16" i="221"/>
  <c r="AW16" i="221"/>
  <c r="AF16" i="230"/>
  <c r="Z16" i="230"/>
  <c r="AW16" i="230"/>
  <c r="AA16" i="230"/>
  <c r="AB16" i="230"/>
  <c r="AC16" i="230"/>
  <c r="Y16" i="230"/>
  <c r="AD16" i="230"/>
  <c r="Z16" i="226"/>
  <c r="AA16" i="226"/>
  <c r="W16" i="226"/>
  <c r="AB16" i="226"/>
  <c r="X16" i="226"/>
  <c r="U16" i="226"/>
  <c r="Y16" i="226"/>
  <c r="V16" i="226"/>
  <c r="B156" i="179"/>
  <c r="R25" i="224"/>
  <c r="R40" i="224" s="1"/>
  <c r="AV16" i="224"/>
  <c r="AX16" i="224" s="1"/>
  <c r="AV16" i="228"/>
  <c r="AX16" i="228" s="1"/>
  <c r="S40" i="226"/>
  <c r="AW16" i="226"/>
  <c r="AV16" i="217"/>
  <c r="AX16" i="217" s="1"/>
  <c r="O16" i="180"/>
  <c r="K16" i="180"/>
  <c r="J16" i="180"/>
  <c r="N16" i="180"/>
  <c r="M16" i="180"/>
  <c r="L16" i="180"/>
  <c r="D20" i="179"/>
  <c r="D21" i="179" s="1"/>
  <c r="B30" i="179"/>
  <c r="AX19" i="180"/>
  <c r="AV16" i="221" l="1"/>
  <c r="AX16" i="221"/>
  <c r="AV16" i="230"/>
  <c r="AX16" i="230" s="1"/>
  <c r="AV16" i="226"/>
  <c r="AX16" i="226" s="1"/>
  <c r="R40" i="226"/>
  <c r="Y11" i="178" l="1"/>
  <c r="Z11" i="178" s="1"/>
  <c r="M40" i="178"/>
  <c r="D31" i="140" s="1"/>
  <c r="Y40" i="178"/>
  <c r="Z40" i="178" s="1"/>
  <c r="Y5" i="178"/>
  <c r="Z5" i="178" s="1"/>
  <c r="M5" i="178"/>
  <c r="D13" i="140" s="1"/>
  <c r="M20" i="178"/>
  <c r="D20" i="140" s="1"/>
  <c r="Y20" i="178"/>
  <c r="Z20" i="178" s="1"/>
  <c r="M19" i="178"/>
  <c r="D19" i="140" s="1"/>
  <c r="Y19" i="178"/>
  <c r="Z19" i="178" s="1"/>
  <c r="Y4" i="178"/>
  <c r="Z4" i="178" s="1"/>
  <c r="M4" i="178"/>
  <c r="Y27" i="178"/>
  <c r="Z27" i="178" s="1"/>
  <c r="Y28" i="178"/>
  <c r="Z28" i="178" s="1"/>
  <c r="M28" i="178"/>
  <c r="Y34" i="178"/>
  <c r="Z34" i="178" s="1"/>
  <c r="M34" i="178"/>
  <c r="Y32" i="178"/>
  <c r="Z32" i="178" s="1"/>
  <c r="M33" i="178"/>
  <c r="Y33" i="178"/>
  <c r="Z33" i="178" s="1"/>
  <c r="Y15" i="178"/>
  <c r="Z15" i="178" s="1"/>
  <c r="Y14" i="178"/>
  <c r="Z14" i="178" s="1"/>
  <c r="M41" i="178"/>
  <c r="D32" i="140" s="1"/>
  <c r="Y41" i="178"/>
  <c r="Z41" i="178" s="1"/>
  <c r="Y3" i="178"/>
  <c r="Z3" i="178" s="1"/>
  <c r="M23" i="178"/>
  <c r="Y23" i="178"/>
  <c r="Z23" i="178" s="1"/>
  <c r="Y18" i="178"/>
  <c r="Z18" i="178" s="1"/>
  <c r="M24" i="178"/>
  <c r="Y24" i="178"/>
  <c r="Z24" i="178" s="1"/>
  <c r="M35" i="178"/>
  <c r="Y35" i="178"/>
  <c r="Z35" i="178" s="1"/>
  <c r="Y39" i="178"/>
  <c r="Z39" i="178" s="1"/>
  <c r="Y8" i="178"/>
  <c r="Z8" i="178" s="1"/>
  <c r="Y43" i="178"/>
  <c r="Z43" i="178" s="1"/>
  <c r="M29" i="178"/>
  <c r="Y29" i="178"/>
  <c r="Z29" i="178" s="1"/>
  <c r="M8" i="178"/>
  <c r="M18" i="178"/>
  <c r="M43" i="178"/>
  <c r="D34" i="140" s="1"/>
  <c r="M11" i="178"/>
  <c r="D15" i="140" s="1"/>
  <c r="M32" i="178"/>
  <c r="M27" i="178"/>
  <c r="M39" i="178"/>
  <c r="M3" i="178"/>
  <c r="D22" i="140" l="1"/>
  <c r="D18" i="140"/>
  <c r="D21" i="140"/>
  <c r="D30" i="140"/>
  <c r="M21" i="178"/>
  <c r="D12" i="140"/>
  <c r="M9" i="178"/>
  <c r="D14" i="140"/>
  <c r="M12" i="178"/>
  <c r="M30" i="178"/>
  <c r="M25" i="178"/>
  <c r="M6" i="178"/>
  <c r="M36" i="178"/>
  <c r="D36" i="179" l="1"/>
  <c r="D55" i="179" s="1"/>
  <c r="C56" i="179" s="1"/>
  <c r="C72" i="179" l="1"/>
  <c r="D34" i="179" l="1"/>
  <c r="C133" i="179" s="1"/>
  <c r="D35" i="179"/>
  <c r="M42" i="178"/>
  <c r="Y42" i="178"/>
  <c r="Z42" i="178" s="1"/>
  <c r="N44" i="178"/>
  <c r="N45" i="178"/>
  <c r="B7" i="179" l="1"/>
  <c r="C134" i="179"/>
  <c r="B8" i="179" s="1"/>
  <c r="B6" i="180" s="1"/>
  <c r="M44" i="178"/>
  <c r="D33" i="140"/>
  <c r="D46" i="179"/>
  <c r="C47" i="179" s="1"/>
  <c r="C142" i="179" l="1"/>
  <c r="C138" i="179"/>
  <c r="C141" i="179"/>
  <c r="C145" i="179"/>
  <c r="C143" i="179"/>
  <c r="C139" i="179"/>
  <c r="B13" i="179" s="1"/>
  <c r="B15" i="179"/>
  <c r="B13" i="180" s="1"/>
  <c r="B5" i="180"/>
  <c r="C5" i="180" s="1"/>
  <c r="B19" i="179"/>
  <c r="B17" i="180" s="1"/>
  <c r="J17" i="180" s="1"/>
  <c r="L6" i="180"/>
  <c r="AW6" i="180"/>
  <c r="M6" i="180"/>
  <c r="N6" i="180"/>
  <c r="C6" i="180"/>
  <c r="O6" i="180"/>
  <c r="G6" i="180"/>
  <c r="H6" i="180"/>
  <c r="D6" i="180"/>
  <c r="E6" i="180"/>
  <c r="F6" i="180"/>
  <c r="I6" i="180"/>
  <c r="J6" i="180"/>
  <c r="K6" i="180"/>
  <c r="M13" i="180" l="1"/>
  <c r="L13" i="180"/>
  <c r="K13" i="180"/>
  <c r="D13" i="180"/>
  <c r="G13" i="180"/>
  <c r="F13" i="180"/>
  <c r="J13" i="180"/>
  <c r="I13" i="180"/>
  <c r="H13" i="180"/>
  <c r="E13" i="180"/>
  <c r="B11" i="180"/>
  <c r="AW11" i="180" s="1"/>
  <c r="B12" i="179"/>
  <c r="B10" i="180" s="1"/>
  <c r="J10" i="180" s="1"/>
  <c r="AW17" i="180"/>
  <c r="AV17" i="180"/>
  <c r="AV12" i="180"/>
  <c r="AW12" i="180"/>
  <c r="B16" i="179"/>
  <c r="B14" i="180" s="1"/>
  <c r="L5" i="180"/>
  <c r="AW5" i="180"/>
  <c r="G5" i="180"/>
  <c r="M5" i="180"/>
  <c r="H5" i="180"/>
  <c r="N5" i="180"/>
  <c r="O5" i="180"/>
  <c r="D5" i="180"/>
  <c r="E5" i="180"/>
  <c r="F5" i="180"/>
  <c r="J5" i="180"/>
  <c r="I5" i="180"/>
  <c r="K5" i="180"/>
  <c r="AW16" i="180"/>
  <c r="B17" i="179"/>
  <c r="B15" i="180" s="1"/>
  <c r="AV6" i="180"/>
  <c r="AX6" i="180" s="1"/>
  <c r="J14" i="180" l="1"/>
  <c r="O14" i="180"/>
  <c r="N14" i="180"/>
  <c r="M14" i="180"/>
  <c r="K14" i="180"/>
  <c r="L14" i="180"/>
  <c r="H11" i="180"/>
  <c r="G11" i="180"/>
  <c r="F11" i="180"/>
  <c r="E11" i="180"/>
  <c r="I11" i="180"/>
  <c r="K15" i="180"/>
  <c r="J15" i="180"/>
  <c r="N15" i="180"/>
  <c r="L15" i="180"/>
  <c r="O15" i="180"/>
  <c r="M15" i="180"/>
  <c r="AW10" i="180"/>
  <c r="AX12" i="180"/>
  <c r="V40" i="180"/>
  <c r="AW15" i="180"/>
  <c r="AX17" i="180"/>
  <c r="AW13" i="180"/>
  <c r="AV16" i="180"/>
  <c r="AX16" i="180" s="1"/>
  <c r="AV5" i="180"/>
  <c r="AX5" i="180" s="1"/>
  <c r="AW14" i="180"/>
  <c r="AV11" i="180" l="1"/>
  <c r="AX11" i="180" s="1"/>
  <c r="AV10" i="180"/>
  <c r="AX10" i="180" s="1"/>
  <c r="AV15" i="180"/>
  <c r="AX15" i="180" s="1"/>
  <c r="AV13" i="180"/>
  <c r="AX13" i="180" s="1"/>
  <c r="AV14" i="180"/>
  <c r="AX14" i="180" s="1"/>
  <c r="M14" i="178" l="1"/>
  <c r="D16" i="140" l="1"/>
  <c r="M15" i="178" l="1"/>
  <c r="M16" i="178" s="1"/>
  <c r="M45" i="178" s="1"/>
  <c r="O16" i="178"/>
  <c r="O45" i="178" s="1"/>
  <c r="D17" i="140"/>
  <c r="D35" i="140" s="1"/>
  <c r="R40" i="180" l="1"/>
  <c r="S40" i="180"/>
  <c r="T40" i="180"/>
  <c r="U40" i="180"/>
  <c r="V25" i="219" l="1"/>
  <c r="V40" i="219" s="1"/>
  <c r="W25" i="219"/>
  <c r="AV24" i="224"/>
  <c r="C25" i="224"/>
  <c r="D25" i="224"/>
  <c r="D40" i="224" s="1"/>
  <c r="E25" i="224"/>
  <c r="E40" i="224" s="1"/>
  <c r="F25" i="224"/>
  <c r="F40" i="224" s="1"/>
  <c r="G25" i="224"/>
  <c r="G40" i="224" s="1"/>
  <c r="H25" i="224"/>
  <c r="I25" i="224"/>
  <c r="J25" i="224"/>
  <c r="J40" i="224" s="1"/>
  <c r="K25" i="224"/>
  <c r="K40" i="224" s="1"/>
  <c r="L25" i="224"/>
  <c r="L40" i="224" s="1"/>
  <c r="M25" i="224"/>
  <c r="M40" i="224" s="1"/>
  <c r="N25" i="224"/>
  <c r="N40" i="224" s="1"/>
  <c r="O25" i="224"/>
  <c r="O40" i="224" s="1"/>
  <c r="P25" i="224"/>
  <c r="P40" i="224" s="1"/>
  <c r="H40" i="224"/>
  <c r="I40" i="224"/>
  <c r="C40" i="224" l="1"/>
  <c r="C28" i="224"/>
  <c r="C35" i="224" l="1"/>
  <c r="C29" i="224"/>
  <c r="Q35" i="230"/>
  <c r="R35" i="230"/>
  <c r="S35" i="230"/>
  <c r="Q40" i="230"/>
  <c r="R40" i="230"/>
  <c r="S40" i="230"/>
  <c r="C152" i="179" l="1"/>
  <c r="C153" i="179" l="1"/>
  <c r="B157" i="179" l="1"/>
  <c r="B160" i="179" s="1"/>
  <c r="C160" i="179" s="1"/>
  <c r="B154" i="179"/>
  <c r="B155" i="179"/>
  <c r="B162" i="179"/>
  <c r="B163" i="179"/>
  <c r="C163" i="179" s="1"/>
  <c r="B164" i="179" l="1"/>
  <c r="C162" i="179"/>
  <c r="C164" i="179" s="1"/>
  <c r="B161" i="179"/>
  <c r="C161" i="179" s="1"/>
  <c r="I152" i="179"/>
  <c r="I153" i="179" s="1"/>
  <c r="H154" i="179" l="1"/>
  <c r="H155" i="179"/>
  <c r="H163" i="179"/>
  <c r="I163" i="179" s="1"/>
  <c r="H157" i="179"/>
  <c r="H160" i="179" s="1"/>
  <c r="I160" i="179" s="1"/>
  <c r="H162" i="179"/>
  <c r="I162" i="179" l="1"/>
  <c r="I164" i="179" s="1"/>
  <c r="H164" i="179"/>
  <c r="H161" i="179"/>
  <c r="I161" i="179" s="1"/>
  <c r="O152" i="179"/>
  <c r="O153" i="179" s="1"/>
  <c r="N154" i="179" s="1"/>
  <c r="N157" i="179" l="1"/>
  <c r="N160" i="179" s="1"/>
  <c r="O160" i="179" s="1"/>
  <c r="N163" i="179"/>
  <c r="O163" i="179" s="1"/>
  <c r="N155" i="179"/>
  <c r="N162" i="179"/>
  <c r="N161" i="179" l="1"/>
  <c r="O161" i="179" s="1"/>
  <c r="O162" i="179"/>
  <c r="O164" i="179" s="1"/>
  <c r="N164" i="179"/>
  <c r="C152" i="216"/>
  <c r="C153" i="216" l="1"/>
  <c r="B157" i="216" l="1"/>
  <c r="B160" i="216" s="1"/>
  <c r="C160" i="216" s="1"/>
  <c r="B163" i="216"/>
  <c r="C163" i="216" s="1"/>
  <c r="B154" i="216"/>
  <c r="B155" i="216"/>
  <c r="B162" i="216"/>
  <c r="B161" i="216" l="1"/>
  <c r="C161" i="216" s="1"/>
  <c r="B164" i="216"/>
  <c r="C162" i="216"/>
  <c r="C164" i="216" s="1"/>
  <c r="C152" i="218"/>
  <c r="C153" i="218" s="1"/>
  <c r="B162" i="218" s="1"/>
  <c r="B157" i="218" l="1"/>
  <c r="B160" i="218" s="1"/>
  <c r="C160" i="218" s="1"/>
  <c r="C162" i="218"/>
  <c r="B163" i="218"/>
  <c r="C163" i="218" s="1"/>
  <c r="B154" i="218"/>
  <c r="B155" i="218"/>
  <c r="B161" i="218" l="1"/>
  <c r="C161" i="218" s="1"/>
  <c r="C164" i="218"/>
  <c r="B164" i="218"/>
  <c r="I152" i="218"/>
  <c r="I153" i="218" s="1"/>
  <c r="H154" i="218" s="1"/>
  <c r="H157" i="218" l="1"/>
  <c r="H160" i="218" s="1"/>
  <c r="I160" i="218" s="1"/>
  <c r="H162" i="218"/>
  <c r="H155" i="218"/>
  <c r="H163" i="218"/>
  <c r="I163" i="218" s="1"/>
  <c r="H161" i="218" l="1"/>
  <c r="I161" i="218" s="1"/>
  <c r="H164" i="218"/>
  <c r="I162" i="218"/>
  <c r="I164" i="218" s="1"/>
  <c r="C152" i="220"/>
  <c r="C153" i="220" l="1"/>
  <c r="B157" i="220" l="1"/>
  <c r="B160" i="220" s="1"/>
  <c r="C160" i="220" s="1"/>
  <c r="B154" i="220"/>
  <c r="B163" i="220"/>
  <c r="C163" i="220" s="1"/>
  <c r="B162" i="220"/>
  <c r="B155" i="220"/>
  <c r="B164" i="220" l="1"/>
  <c r="C162" i="220"/>
  <c r="C164" i="220" s="1"/>
  <c r="B161" i="220"/>
  <c r="C161" i="220" s="1"/>
  <c r="I152" i="220"/>
  <c r="I153" i="220" s="1"/>
  <c r="H154" i="220" l="1"/>
  <c r="H155" i="220"/>
  <c r="H157" i="220"/>
  <c r="H160" i="220" s="1"/>
  <c r="I160" i="220" s="1"/>
  <c r="H162" i="220"/>
  <c r="I162" i="220" s="1"/>
  <c r="H163" i="220"/>
  <c r="I163" i="220"/>
  <c r="O152" i="220"/>
  <c r="O153" i="220" s="1"/>
  <c r="N155" i="220" s="1"/>
  <c r="H161" i="220" l="1"/>
  <c r="I161" i="220" s="1"/>
  <c r="I164" i="220"/>
  <c r="H164" i="220"/>
  <c r="N162" i="220"/>
  <c r="O162" i="220"/>
  <c r="N157" i="220"/>
  <c r="N160" i="220" s="1"/>
  <c r="O160" i="220" s="1"/>
  <c r="N163" i="220"/>
  <c r="O163" i="220" s="1"/>
  <c r="O164" i="220" s="1"/>
  <c r="N154" i="220"/>
  <c r="N161" i="220" l="1"/>
  <c r="O161" i="220" s="1"/>
  <c r="N164" i="220"/>
  <c r="C152" i="223"/>
  <c r="C153" i="223" l="1"/>
  <c r="B163" i="223" l="1"/>
  <c r="C163" i="223" s="1"/>
  <c r="B154" i="223"/>
  <c r="B162" i="223"/>
  <c r="B155" i="223"/>
  <c r="B157" i="223"/>
  <c r="B160" i="223" s="1"/>
  <c r="C160" i="223" s="1"/>
  <c r="B161" i="223" l="1"/>
  <c r="C161" i="223" s="1"/>
  <c r="C162" i="223"/>
  <c r="C164" i="223" s="1"/>
  <c r="B164" i="223"/>
  <c r="I152" i="223"/>
  <c r="I153" i="223"/>
  <c r="H154" i="223" s="1"/>
  <c r="H157" i="223" l="1"/>
  <c r="H160" i="223" s="1"/>
  <c r="I160" i="223" s="1"/>
  <c r="H163" i="223"/>
  <c r="I163" i="223" s="1"/>
  <c r="H162" i="223"/>
  <c r="I162" i="223" s="1"/>
  <c r="H155" i="223"/>
  <c r="I152" i="225"/>
  <c r="I153" i="225" s="1"/>
  <c r="H155" i="225" s="1"/>
  <c r="H161" i="223" l="1"/>
  <c r="I161" i="223" s="1"/>
  <c r="H164" i="223"/>
  <c r="I164" i="223"/>
  <c r="H162" i="225"/>
  <c r="H157" i="225"/>
  <c r="H160" i="225" s="1"/>
  <c r="I160" i="225" s="1"/>
  <c r="H154" i="225"/>
  <c r="H163" i="225"/>
  <c r="I163" i="225" s="1"/>
  <c r="H161" i="225" l="1"/>
  <c r="I161" i="225" s="1"/>
  <c r="I162" i="225"/>
  <c r="I164" i="225" s="1"/>
  <c r="H164" i="225"/>
  <c r="C152" i="225"/>
  <c r="C153" i="225" l="1"/>
  <c r="B162" i="225" l="1"/>
  <c r="B154" i="225"/>
  <c r="B155" i="225"/>
  <c r="B163" i="225"/>
  <c r="C163" i="225" s="1"/>
  <c r="B157" i="225"/>
  <c r="B160" i="225" s="1"/>
  <c r="C160" i="225" s="1"/>
  <c r="B161" i="225" l="1"/>
  <c r="C161" i="225" s="1"/>
  <c r="B164" i="225"/>
  <c r="C162" i="225"/>
  <c r="C164" i="225" s="1"/>
  <c r="Q40" i="226"/>
  <c r="I152" i="227"/>
  <c r="I153" i="227" s="1"/>
  <c r="H155" i="227" l="1"/>
  <c r="H162" i="227"/>
  <c r="H157" i="227"/>
  <c r="H160" i="227" s="1"/>
  <c r="I160" i="227" s="1"/>
  <c r="H163" i="227"/>
  <c r="I163" i="227" s="1"/>
  <c r="H154" i="227"/>
  <c r="H161" i="227" l="1"/>
  <c r="I161" i="227" s="1"/>
  <c r="I162" i="227"/>
  <c r="I164" i="227" s="1"/>
  <c r="H164" i="227"/>
  <c r="C152" i="227"/>
  <c r="C153" i="227" s="1"/>
  <c r="B163" i="227" l="1"/>
  <c r="C163" i="227" s="1"/>
  <c r="B154" i="227"/>
  <c r="B157" i="227"/>
  <c r="B160" i="227" s="1"/>
  <c r="C160" i="227" s="1"/>
  <c r="B162" i="227"/>
  <c r="C162" i="227" s="1"/>
  <c r="B155" i="227"/>
  <c r="B164" i="227" l="1"/>
  <c r="B161" i="227"/>
  <c r="C161" i="227" s="1"/>
  <c r="C164" i="227"/>
  <c r="O152" i="225"/>
  <c r="O153" i="225" s="1"/>
  <c r="N155" i="225" l="1"/>
  <c r="N162" i="225"/>
  <c r="N157" i="225"/>
  <c r="N160" i="225" s="1"/>
  <c r="N163" i="225"/>
  <c r="O163" i="225" s="1"/>
  <c r="N154" i="225"/>
  <c r="O160" i="225" l="1"/>
  <c r="N161" i="225"/>
  <c r="O161" i="225" s="1"/>
  <c r="O162" i="225"/>
  <c r="O164" i="225" s="1"/>
  <c r="N164" i="225"/>
  <c r="C152" i="229"/>
  <c r="C153" i="229" s="1"/>
  <c r="B154" i="229" s="1"/>
  <c r="B163" i="229" l="1"/>
  <c r="C163" i="229" s="1"/>
  <c r="B157" i="229"/>
  <c r="B160" i="229" s="1"/>
  <c r="C160" i="229" s="1"/>
  <c r="B155" i="229"/>
  <c r="B162" i="229"/>
  <c r="B161" i="229" l="1"/>
  <c r="C161" i="229" s="1"/>
  <c r="C162" i="229"/>
  <c r="C164" i="229" s="1"/>
  <c r="B164" i="229"/>
  <c r="I152" i="229"/>
  <c r="I153" i="229" s="1"/>
  <c r="H157" i="229" l="1"/>
  <c r="H160" i="229" s="1"/>
  <c r="I160" i="229" s="1"/>
  <c r="H162" i="229"/>
  <c r="I162" i="229" s="1"/>
  <c r="H154" i="229"/>
  <c r="H155" i="229"/>
  <c r="H163" i="229"/>
  <c r="I163" i="229" s="1"/>
  <c r="O152" i="229"/>
  <c r="O153" i="229"/>
  <c r="N155" i="229" s="1"/>
  <c r="N162" i="229" l="1"/>
  <c r="I164" i="229"/>
  <c r="N157" i="229"/>
  <c r="N160" i="229" s="1"/>
  <c r="O160" i="229" s="1"/>
  <c r="H164" i="229"/>
  <c r="H161" i="229"/>
  <c r="I161" i="229" s="1"/>
  <c r="N163" i="229"/>
  <c r="O163" i="229" s="1"/>
  <c r="O162" i="229"/>
  <c r="N154" i="229"/>
  <c r="X22" i="230"/>
  <c r="AV22" i="230"/>
  <c r="B24" i="229"/>
  <c r="B22" i="230" s="1"/>
  <c r="AW22" i="230" s="1"/>
  <c r="B25" i="229"/>
  <c r="B23" i="230" s="1"/>
  <c r="AW23" i="230" s="1"/>
  <c r="B27" i="229"/>
  <c r="U152" i="229"/>
  <c r="U153" i="229" s="1"/>
  <c r="N161" i="229" l="1"/>
  <c r="O161" i="229" s="1"/>
  <c r="O164" i="229"/>
  <c r="B26" i="229"/>
  <c r="B24" i="230" s="1"/>
  <c r="N164" i="229"/>
  <c r="B25" i="230"/>
  <c r="D14" i="229"/>
  <c r="B30" i="230" s="1"/>
  <c r="B31" i="230" s="1"/>
  <c r="B31" i="229"/>
  <c r="D11" i="229" s="1"/>
  <c r="D13" i="229" s="1"/>
  <c r="B29" i="229"/>
  <c r="B28" i="229"/>
  <c r="T155" i="229"/>
  <c r="T157" i="229"/>
  <c r="T160" i="229" s="1"/>
  <c r="U160" i="229" s="1"/>
  <c r="T163" i="229"/>
  <c r="U163" i="229" s="1"/>
  <c r="T162" i="229"/>
  <c r="AX22" i="230"/>
  <c r="AA23" i="230"/>
  <c r="AB23" i="230"/>
  <c r="AC23" i="230"/>
  <c r="AG23" i="230"/>
  <c r="AF23" i="230"/>
  <c r="AE23" i="230"/>
  <c r="D15" i="229"/>
  <c r="AD23" i="230"/>
  <c r="Y24" i="230" l="1"/>
  <c r="W24" i="230"/>
  <c r="AE24" i="230"/>
  <c r="AE25" i="230" s="1"/>
  <c r="AE40" i="230" s="1"/>
  <c r="AD56" i="159" s="1"/>
  <c r="AH24" i="230"/>
  <c r="AH25" i="230" s="1"/>
  <c r="AA24" i="230"/>
  <c r="AA25" i="230" s="1"/>
  <c r="AD24" i="230"/>
  <c r="AD25" i="230" s="1"/>
  <c r="AD40" i="230" s="1"/>
  <c r="AC56" i="159" s="1"/>
  <c r="X24" i="230"/>
  <c r="U24" i="230"/>
  <c r="U25" i="230" s="1"/>
  <c r="U40" i="230" s="1"/>
  <c r="T56" i="159" s="1"/>
  <c r="AB24" i="230"/>
  <c r="AB25" i="230" s="1"/>
  <c r="AB40" i="230" s="1"/>
  <c r="AA56" i="159" s="1"/>
  <c r="Z24" i="230"/>
  <c r="Z25" i="230" s="1"/>
  <c r="Z40" i="230" s="1"/>
  <c r="Y56" i="159" s="1"/>
  <c r="AG24" i="230"/>
  <c r="AG25" i="230" s="1"/>
  <c r="AG40" i="230" s="1"/>
  <c r="AF56" i="159" s="1"/>
  <c r="AF24" i="230"/>
  <c r="AF25" i="230" s="1"/>
  <c r="AF40" i="230" s="1"/>
  <c r="AE56" i="159" s="1"/>
  <c r="V24" i="230"/>
  <c r="AW24" i="230"/>
  <c r="AW25" i="230" s="1"/>
  <c r="AC24" i="230"/>
  <c r="AC25" i="230" s="1"/>
  <c r="T24" i="230"/>
  <c r="T25" i="230" s="1"/>
  <c r="W25" i="230"/>
  <c r="W40" i="230" s="1"/>
  <c r="V56" i="159" s="1"/>
  <c r="V25" i="230"/>
  <c r="V40" i="230" s="1"/>
  <c r="U56" i="159" s="1"/>
  <c r="X25" i="230"/>
  <c r="X40" i="230" s="1"/>
  <c r="W56" i="159" s="1"/>
  <c r="Y25" i="230"/>
  <c r="Y40" i="230" s="1"/>
  <c r="X56" i="159" s="1"/>
  <c r="D22" i="229"/>
  <c r="B34" i="230" s="1"/>
  <c r="AH35" i="230" s="1"/>
  <c r="AG52" i="159" s="1"/>
  <c r="AC40" i="230"/>
  <c r="AB56" i="159" s="1"/>
  <c r="B26" i="230"/>
  <c r="B39" i="230" s="1"/>
  <c r="AH40" i="230" s="1"/>
  <c r="AG56" i="159" s="1"/>
  <c r="T161" i="229"/>
  <c r="U161" i="229" s="1"/>
  <c r="D23" i="229"/>
  <c r="B29" i="230"/>
  <c r="D28" i="230" s="1"/>
  <c r="T164" i="229"/>
  <c r="U162" i="229"/>
  <c r="U164" i="229" s="1"/>
  <c r="AA40" i="230"/>
  <c r="Z56" i="159" s="1"/>
  <c r="AV23" i="230"/>
  <c r="D16" i="229"/>
  <c r="AV24" i="230" l="1"/>
  <c r="AX24" i="230" s="1"/>
  <c r="B27" i="230"/>
  <c r="D24" i="229"/>
  <c r="T40" i="230"/>
  <c r="S56" i="159" s="1"/>
  <c r="B56" i="159" s="1"/>
  <c r="B57" i="159" s="1"/>
  <c r="B58" i="159" s="1"/>
  <c r="T28" i="230"/>
  <c r="T35" i="230" s="1"/>
  <c r="S52" i="159" s="1"/>
  <c r="D29" i="230"/>
  <c r="E28" i="230" s="1"/>
  <c r="E35" i="230" s="1"/>
  <c r="D52" i="159" s="1"/>
  <c r="D35" i="230"/>
  <c r="C52" i="159" s="1"/>
  <c r="AX23" i="230"/>
  <c r="AX25" i="230" s="1"/>
  <c r="AV25" i="230"/>
  <c r="E29" i="230" l="1"/>
  <c r="F28" i="230" s="1"/>
  <c r="F35" i="230" s="1"/>
  <c r="E52" i="159" s="1"/>
  <c r="B40" i="230"/>
  <c r="B41" i="230" s="1"/>
  <c r="B42" i="230" s="1"/>
  <c r="F29" i="230" l="1"/>
  <c r="G28" i="230" s="1"/>
  <c r="G35" i="230" s="1"/>
  <c r="F52" i="159" s="1"/>
  <c r="G29" i="230" l="1"/>
  <c r="H28" i="230" s="1"/>
  <c r="H35" i="230" s="1"/>
  <c r="G52" i="159" s="1"/>
  <c r="H29" i="230" l="1"/>
  <c r="I28" i="230" s="1"/>
  <c r="I35" i="230" s="1"/>
  <c r="H52" i="159" s="1"/>
  <c r="I29" i="230" l="1"/>
  <c r="J28" i="230" s="1"/>
  <c r="J35" i="230" s="1"/>
  <c r="I52" i="159" s="1"/>
  <c r="J29" i="230" l="1"/>
  <c r="K28" i="230" s="1"/>
  <c r="K35" i="230" s="1"/>
  <c r="J52" i="159" s="1"/>
  <c r="K29" i="230" l="1"/>
  <c r="L28" i="230" s="1"/>
  <c r="L29" i="230" s="1"/>
  <c r="M28" i="230" s="1"/>
  <c r="L35" i="230" l="1"/>
  <c r="K52" i="159" s="1"/>
  <c r="M35" i="230"/>
  <c r="L52" i="159" s="1"/>
  <c r="M29" i="230"/>
  <c r="N28" i="230" s="1"/>
  <c r="N35" i="230" l="1"/>
  <c r="M52" i="159" s="1"/>
  <c r="N29" i="230"/>
  <c r="O28" i="230" s="1"/>
  <c r="O35" i="230" l="1"/>
  <c r="N52" i="159" s="1"/>
  <c r="O29" i="230"/>
  <c r="P28" i="230" s="1"/>
  <c r="P35" i="230" l="1"/>
  <c r="O52" i="159" s="1"/>
  <c r="P29" i="230"/>
  <c r="T29" i="230"/>
  <c r="U28" i="230" s="1"/>
  <c r="U35" i="230" l="1"/>
  <c r="T52" i="159" s="1"/>
  <c r="U29" i="230"/>
  <c r="V28" i="230" s="1"/>
  <c r="V35" i="230" l="1"/>
  <c r="U52" i="159" s="1"/>
  <c r="V29" i="230"/>
  <c r="W28" i="230" s="1"/>
  <c r="W35" i="230" l="1"/>
  <c r="V52" i="159" s="1"/>
  <c r="W29" i="230"/>
  <c r="X28" i="230" s="1"/>
  <c r="X35" i="230" l="1"/>
  <c r="W52" i="159" s="1"/>
  <c r="X29" i="230"/>
  <c r="Y28" i="230" s="1"/>
  <c r="Y35" i="230" l="1"/>
  <c r="X52" i="159" s="1"/>
  <c r="Y29" i="230"/>
  <c r="Z28" i="230" s="1"/>
  <c r="Z35" i="230" l="1"/>
  <c r="Y52" i="159" s="1"/>
  <c r="Z29" i="230"/>
  <c r="AA28" i="230" s="1"/>
  <c r="AA35" i="230" l="1"/>
  <c r="Z52" i="159" s="1"/>
  <c r="AA29" i="230"/>
  <c r="AB28" i="230" s="1"/>
  <c r="AB35" i="230" l="1"/>
  <c r="AA52" i="159" s="1"/>
  <c r="AB29" i="230"/>
  <c r="AC28" i="230" s="1"/>
  <c r="AC35" i="230" l="1"/>
  <c r="AB52" i="159" s="1"/>
  <c r="AC29" i="230"/>
  <c r="AD28" i="230" s="1"/>
  <c r="AD35" i="230" l="1"/>
  <c r="AC52" i="159" s="1"/>
  <c r="AD29" i="230"/>
  <c r="AE28" i="230" s="1"/>
  <c r="AE35" i="230" l="1"/>
  <c r="AD52" i="159" s="1"/>
  <c r="AE29" i="230"/>
  <c r="AF28" i="230" s="1"/>
  <c r="AF35" i="230" l="1"/>
  <c r="AE52" i="159" s="1"/>
  <c r="AF29" i="230"/>
  <c r="AG28" i="230" s="1"/>
  <c r="AG35" i="230" l="1"/>
  <c r="AF52" i="159" s="1"/>
  <c r="B52" i="159" s="1"/>
  <c r="B53" i="159" s="1"/>
  <c r="B54" i="159" s="1"/>
  <c r="AG29" i="230"/>
  <c r="AH28" i="230" s="1"/>
  <c r="B28" i="230" l="1"/>
  <c r="AH29" i="230"/>
  <c r="B35" i="230"/>
  <c r="B36" i="230" s="1"/>
  <c r="B37" i="230" s="1"/>
  <c r="B24" i="179"/>
  <c r="B22" i="180" l="1"/>
  <c r="I22" i="180" l="1"/>
  <c r="AW22" i="180"/>
  <c r="AV22" i="180" l="1"/>
  <c r="AX22" i="180" l="1"/>
  <c r="B25" i="179"/>
  <c r="B23" i="180" s="1"/>
  <c r="B26" i="179"/>
  <c r="B24" i="180" s="1"/>
  <c r="H24" i="180" s="1"/>
  <c r="H25" i="180" s="1"/>
  <c r="H40" i="180" s="1"/>
  <c r="U153" i="179"/>
  <c r="T163" i="179" s="1"/>
  <c r="U163" i="179" s="1"/>
  <c r="L24" i="180" l="1"/>
  <c r="K24" i="180"/>
  <c r="T162" i="179"/>
  <c r="J24" i="180"/>
  <c r="J25" i="180" s="1"/>
  <c r="J40" i="180" s="1"/>
  <c r="I24" i="180"/>
  <c r="I25" i="180" s="1"/>
  <c r="I40" i="180" s="1"/>
  <c r="K23" i="180"/>
  <c r="L23" i="180"/>
  <c r="L25" i="180" s="1"/>
  <c r="L40" i="180" s="1"/>
  <c r="M23" i="180"/>
  <c r="N23" i="180"/>
  <c r="O23" i="180"/>
  <c r="O25" i="180" s="1"/>
  <c r="O40" i="180" s="1"/>
  <c r="P23" i="180"/>
  <c r="P25" i="180" s="1"/>
  <c r="P40" i="180" s="1"/>
  <c r="Q23" i="180"/>
  <c r="AW23" i="180"/>
  <c r="T157" i="179"/>
  <c r="T160" i="179" s="1"/>
  <c r="U160" i="179" s="1"/>
  <c r="N24" i="180"/>
  <c r="C24" i="180"/>
  <c r="O24" i="180"/>
  <c r="D24" i="180"/>
  <c r="D25" i="180" s="1"/>
  <c r="D40" i="180" s="1"/>
  <c r="P24" i="180"/>
  <c r="E24" i="180"/>
  <c r="E25" i="180" s="1"/>
  <c r="E40" i="180" s="1"/>
  <c r="Q24" i="180"/>
  <c r="F24" i="180"/>
  <c r="F25" i="180" s="1"/>
  <c r="F40" i="180" s="1"/>
  <c r="G24" i="180"/>
  <c r="G25" i="180" s="1"/>
  <c r="G40" i="180" s="1"/>
  <c r="AW24" i="180"/>
  <c r="M24" i="180"/>
  <c r="B27" i="179"/>
  <c r="T161" i="179" l="1"/>
  <c r="U161" i="179" s="1"/>
  <c r="U162" i="179"/>
  <c r="U164" i="179" s="1"/>
  <c r="T164" i="179"/>
  <c r="Q25" i="180"/>
  <c r="B28" i="179"/>
  <c r="D14" i="179"/>
  <c r="B25" i="180"/>
  <c r="D15" i="179"/>
  <c r="B31" i="179"/>
  <c r="D11" i="179" s="1"/>
  <c r="B26" i="180" s="1"/>
  <c r="B39" i="180" s="1"/>
  <c r="Q40" i="180" s="1"/>
  <c r="B29" i="179"/>
  <c r="AX24" i="180"/>
  <c r="AW25" i="180"/>
  <c r="AX23" i="180"/>
  <c r="N25" i="180"/>
  <c r="N40" i="180" s="1"/>
  <c r="M25" i="180"/>
  <c r="M40" i="180" s="1"/>
  <c r="AV24" i="180"/>
  <c r="C25" i="180"/>
  <c r="K25" i="180"/>
  <c r="K40" i="180" s="1"/>
  <c r="AV23" i="180"/>
  <c r="AV25" i="180" l="1"/>
  <c r="AX25" i="180"/>
  <c r="D23" i="179"/>
  <c r="B29" i="180"/>
  <c r="B27" i="180"/>
  <c r="B30" i="180"/>
  <c r="B31" i="180" s="1"/>
  <c r="D16" i="179"/>
  <c r="D22" i="179"/>
  <c r="D30" i="179"/>
  <c r="C28" i="180"/>
  <c r="C40" i="180"/>
  <c r="B40" i="180" s="1"/>
  <c r="B41" i="180" s="1"/>
  <c r="B42" i="180" s="1"/>
  <c r="D29" i="179" s="1"/>
  <c r="D13" i="179"/>
  <c r="C35" i="180" l="1"/>
  <c r="C29" i="180"/>
  <c r="D28" i="180" s="1"/>
  <c r="D35" i="180" s="1"/>
  <c r="B34" i="180"/>
  <c r="Q35" i="180" s="1"/>
  <c r="D24" i="179"/>
  <c r="D27" i="179" s="1"/>
  <c r="D29" i="180" l="1"/>
  <c r="E28" i="180" s="1"/>
  <c r="E35" i="180" s="1"/>
  <c r="E29" i="180" l="1"/>
  <c r="F28" i="180" s="1"/>
  <c r="F35" i="180" s="1"/>
  <c r="F29" i="180" l="1"/>
  <c r="G28" i="180" s="1"/>
  <c r="G35" i="180" l="1"/>
  <c r="G29" i="180"/>
  <c r="H28" i="180" s="1"/>
  <c r="H35" i="180" s="1"/>
  <c r="H29" i="180" l="1"/>
  <c r="I28" i="180" s="1"/>
  <c r="I35" i="180" l="1"/>
  <c r="I29" i="180"/>
  <c r="J28" i="180" s="1"/>
  <c r="J29" i="180" l="1"/>
  <c r="K28" i="180" s="1"/>
  <c r="K35" i="180" s="1"/>
  <c r="J35" i="180"/>
  <c r="K29" i="180" l="1"/>
  <c r="L28" i="180" s="1"/>
  <c r="L35" i="180" s="1"/>
  <c r="L29" i="180" l="1"/>
  <c r="M28" i="180" s="1"/>
  <c r="M35" i="180" s="1"/>
  <c r="M29" i="180" l="1"/>
  <c r="N28" i="180" s="1"/>
  <c r="N35" i="180" s="1"/>
  <c r="N29" i="180" l="1"/>
  <c r="O28" i="180" s="1"/>
  <c r="O35" i="180" s="1"/>
  <c r="O29" i="180" l="1"/>
  <c r="P28" i="180" s="1"/>
  <c r="P29" i="180" s="1"/>
  <c r="Q28" i="180" s="1"/>
  <c r="P35" i="180" l="1"/>
  <c r="B35" i="180" s="1"/>
  <c r="B36" i="180" s="1"/>
  <c r="B37" i="180" s="1"/>
  <c r="D28" i="179" s="1"/>
  <c r="Q29" i="180"/>
  <c r="B28" i="180"/>
  <c r="U152" i="214"/>
  <c r="T162" i="214" l="1"/>
  <c r="T157" i="214"/>
  <c r="T160" i="214" s="1"/>
  <c r="U160" i="214" s="1"/>
  <c r="T155" i="214"/>
  <c r="T163" i="214"/>
  <c r="U163" i="214" s="1"/>
  <c r="T161" i="214" l="1"/>
  <c r="U161" i="214" s="1"/>
  <c r="U162" i="214"/>
  <c r="U164" i="214" s="1"/>
  <c r="T164" i="214"/>
  <c r="B25" i="220"/>
  <c r="B23" i="221" s="1"/>
  <c r="T23" i="221" l="1"/>
  <c r="U23" i="221"/>
  <c r="V23" i="221"/>
  <c r="W23" i="221"/>
  <c r="AW23" i="221"/>
  <c r="X23" i="221"/>
  <c r="Y23" i="221"/>
  <c r="Z23" i="221"/>
  <c r="AV23" i="221" l="1"/>
  <c r="AX23" i="221" s="1"/>
  <c r="B4" i="159"/>
  <c r="C4" i="159"/>
  <c r="D4" i="159"/>
  <c r="E4" i="159"/>
  <c r="F4" i="159"/>
  <c r="G4" i="159"/>
  <c r="H4" i="159"/>
  <c r="I4" i="159"/>
  <c r="J4" i="159"/>
  <c r="K4" i="159"/>
  <c r="L4" i="159"/>
  <c r="M4" i="159"/>
  <c r="N4" i="159"/>
  <c r="O4" i="159"/>
  <c r="P4" i="159"/>
  <c r="Q4" i="159"/>
  <c r="R4" i="159"/>
  <c r="S4" i="159"/>
  <c r="T4" i="159"/>
  <c r="U4" i="159"/>
  <c r="V4" i="159"/>
  <c r="W4" i="159"/>
  <c r="X4" i="159"/>
  <c r="Y4" i="159"/>
  <c r="Z4" i="159"/>
  <c r="AA4" i="159"/>
  <c r="AB4" i="159"/>
  <c r="AC4" i="159"/>
  <c r="AD4" i="159"/>
  <c r="AE4" i="159"/>
  <c r="AF4" i="159"/>
  <c r="AG4" i="159"/>
  <c r="AH4" i="159"/>
  <c r="B5" i="159"/>
  <c r="B6" i="159"/>
  <c r="B8" i="159"/>
  <c r="C8" i="159"/>
  <c r="D8" i="159"/>
  <c r="E8" i="159"/>
  <c r="F8" i="159"/>
  <c r="G8" i="159"/>
  <c r="H8" i="159"/>
  <c r="I8" i="159"/>
  <c r="J8" i="159"/>
  <c r="K8" i="159"/>
  <c r="L8" i="159"/>
  <c r="M8" i="159"/>
  <c r="N8" i="159"/>
  <c r="O8" i="159"/>
  <c r="P8" i="159"/>
  <c r="Q8" i="159"/>
  <c r="R8" i="159"/>
  <c r="S8" i="159"/>
  <c r="T8" i="159"/>
  <c r="U8" i="159"/>
  <c r="V8" i="159"/>
  <c r="W8" i="159"/>
  <c r="X8" i="159"/>
  <c r="Y8" i="159"/>
  <c r="Z8" i="159"/>
  <c r="AA8" i="159"/>
  <c r="AB8" i="159"/>
  <c r="AC8" i="159"/>
  <c r="AD8" i="159"/>
  <c r="AE8" i="159"/>
  <c r="AF8" i="159"/>
  <c r="AG8" i="159"/>
  <c r="AH8" i="159"/>
  <c r="B9" i="159"/>
  <c r="B10" i="159"/>
  <c r="B16" i="159"/>
  <c r="C16" i="159"/>
  <c r="D16" i="159"/>
  <c r="E16" i="159"/>
  <c r="F16" i="159"/>
  <c r="G16" i="159"/>
  <c r="H16" i="159"/>
  <c r="I16" i="159"/>
  <c r="J16" i="159"/>
  <c r="K16" i="159"/>
  <c r="L16" i="159"/>
  <c r="M16" i="159"/>
  <c r="N16" i="159"/>
  <c r="O16" i="159"/>
  <c r="P16" i="159"/>
  <c r="Q16" i="159"/>
  <c r="R16" i="159"/>
  <c r="S16" i="159"/>
  <c r="T16" i="159"/>
  <c r="U16" i="159"/>
  <c r="V16" i="159"/>
  <c r="B17" i="159"/>
  <c r="B18" i="159"/>
  <c r="B20" i="159"/>
  <c r="C20" i="159"/>
  <c r="D20" i="159"/>
  <c r="E20" i="159"/>
  <c r="F20" i="159"/>
  <c r="G20" i="159"/>
  <c r="H20" i="159"/>
  <c r="I20" i="159"/>
  <c r="J20" i="159"/>
  <c r="K20" i="159"/>
  <c r="L20" i="159"/>
  <c r="M20" i="159"/>
  <c r="N20" i="159"/>
  <c r="O20" i="159"/>
  <c r="P20" i="159"/>
  <c r="Q20" i="159"/>
  <c r="R20" i="159"/>
  <c r="S20" i="159"/>
  <c r="T20" i="159"/>
  <c r="V20" i="159"/>
  <c r="B21" i="159"/>
  <c r="B22" i="159"/>
  <c r="B28" i="159"/>
  <c r="C28" i="159"/>
  <c r="D28" i="159"/>
  <c r="E28" i="159"/>
  <c r="F28" i="159"/>
  <c r="G28" i="159"/>
  <c r="H28" i="159"/>
  <c r="I28" i="159"/>
  <c r="J28" i="159"/>
  <c r="K28" i="159"/>
  <c r="L28" i="159"/>
  <c r="M28" i="159"/>
  <c r="N28" i="159"/>
  <c r="O28" i="159"/>
  <c r="P28" i="159"/>
  <c r="Q28" i="159"/>
  <c r="R28" i="159"/>
  <c r="S28" i="159"/>
  <c r="T28" i="159"/>
  <c r="U28" i="159"/>
  <c r="V28" i="159"/>
  <c r="W28" i="159"/>
  <c r="X28" i="159"/>
  <c r="Y28" i="159"/>
  <c r="Z28" i="159"/>
  <c r="AA28" i="159"/>
  <c r="B29" i="159"/>
  <c r="B30" i="159"/>
  <c r="B32" i="159"/>
  <c r="C32" i="159"/>
  <c r="D32" i="159"/>
  <c r="E32" i="159"/>
  <c r="F32" i="159"/>
  <c r="G32" i="159"/>
  <c r="H32" i="159"/>
  <c r="I32" i="159"/>
  <c r="J32" i="159"/>
  <c r="K32" i="159"/>
  <c r="L32" i="159"/>
  <c r="M32" i="159"/>
  <c r="N32" i="159"/>
  <c r="O32" i="159"/>
  <c r="P32" i="159"/>
  <c r="Q32" i="159"/>
  <c r="R32" i="159"/>
  <c r="S32" i="159"/>
  <c r="T32" i="159"/>
  <c r="U32" i="159"/>
  <c r="V32" i="159"/>
  <c r="W32" i="159"/>
  <c r="X32" i="159"/>
  <c r="Y32" i="159"/>
  <c r="Z32" i="159"/>
  <c r="AA32" i="159"/>
  <c r="B33" i="159"/>
  <c r="B34" i="159"/>
  <c r="B40" i="159"/>
  <c r="C40" i="159"/>
  <c r="D40" i="159"/>
  <c r="E40" i="159"/>
  <c r="F40" i="159"/>
  <c r="G40" i="159"/>
  <c r="H40" i="159"/>
  <c r="I40" i="159"/>
  <c r="J40" i="159"/>
  <c r="K40" i="159"/>
  <c r="L40" i="159"/>
  <c r="M40" i="159"/>
  <c r="N40" i="159"/>
  <c r="O40" i="159"/>
  <c r="P40" i="159"/>
  <c r="Q40" i="159"/>
  <c r="R40" i="159"/>
  <c r="S40" i="159"/>
  <c r="T40" i="159"/>
  <c r="U40" i="159"/>
  <c r="V40" i="159"/>
  <c r="W40" i="159"/>
  <c r="X40" i="159"/>
  <c r="Y40" i="159"/>
  <c r="Z40" i="159"/>
  <c r="AA40" i="159"/>
  <c r="AB40" i="159"/>
  <c r="AC40" i="159"/>
  <c r="AD40" i="159"/>
  <c r="AE40" i="159"/>
  <c r="AF40" i="159"/>
  <c r="AG40" i="159"/>
  <c r="AH40" i="159"/>
  <c r="B41" i="159"/>
  <c r="B42" i="159"/>
  <c r="B44" i="159"/>
  <c r="P44" i="159"/>
  <c r="Q44" i="159"/>
  <c r="R44" i="159"/>
  <c r="S44" i="159"/>
  <c r="T44" i="159"/>
  <c r="U44" i="159"/>
  <c r="V44" i="159"/>
  <c r="W44" i="159"/>
  <c r="X44" i="159"/>
  <c r="Y44" i="159"/>
  <c r="Z44" i="159"/>
  <c r="AA44" i="159"/>
  <c r="AB44" i="159"/>
  <c r="AC44" i="159"/>
  <c r="AD44" i="159"/>
  <c r="AE44" i="159"/>
  <c r="AF44" i="159"/>
  <c r="AG44" i="159"/>
  <c r="AH44" i="159"/>
  <c r="B45" i="159"/>
  <c r="B46" i="159"/>
  <c r="B22" i="215"/>
  <c r="J22" i="215"/>
  <c r="AV22" i="215"/>
  <c r="AW22" i="215"/>
  <c r="AX22" i="215"/>
  <c r="B23" i="215"/>
  <c r="J23" i="215"/>
  <c r="K23" i="215"/>
  <c r="L23" i="215"/>
  <c r="M23" i="215"/>
  <c r="N23" i="215"/>
  <c r="O23" i="215"/>
  <c r="P23" i="215"/>
  <c r="AV23" i="215"/>
  <c r="AW23" i="215"/>
  <c r="AX23" i="215"/>
  <c r="B24" i="215"/>
  <c r="C24" i="215"/>
  <c r="D24" i="215"/>
  <c r="E24" i="215"/>
  <c r="F24" i="215"/>
  <c r="G24" i="215"/>
  <c r="H24" i="215"/>
  <c r="I24" i="215"/>
  <c r="J24" i="215"/>
  <c r="K24" i="215"/>
  <c r="L24" i="215"/>
  <c r="M24" i="215"/>
  <c r="N24" i="215"/>
  <c r="O24" i="215"/>
  <c r="P24" i="215"/>
  <c r="AV24" i="215"/>
  <c r="AW24" i="215"/>
  <c r="AX24" i="215"/>
  <c r="B25" i="215"/>
  <c r="C25" i="215"/>
  <c r="D25" i="215"/>
  <c r="E25" i="215"/>
  <c r="F25" i="215"/>
  <c r="G25" i="215"/>
  <c r="H25" i="215"/>
  <c r="I25" i="215"/>
  <c r="J25" i="215"/>
  <c r="K25" i="215"/>
  <c r="L25" i="215"/>
  <c r="M25" i="215"/>
  <c r="N25" i="215"/>
  <c r="O25" i="215"/>
  <c r="P25" i="215"/>
  <c r="AV25" i="215"/>
  <c r="AW25" i="215"/>
  <c r="AX25" i="215"/>
  <c r="B26" i="215"/>
  <c r="B27" i="215"/>
  <c r="B28" i="215"/>
  <c r="C28" i="215"/>
  <c r="D28" i="215"/>
  <c r="E28" i="215"/>
  <c r="F28" i="215"/>
  <c r="G28" i="215"/>
  <c r="H28" i="215"/>
  <c r="I28" i="215"/>
  <c r="J28" i="215"/>
  <c r="K28" i="215"/>
  <c r="L28" i="215"/>
  <c r="M28" i="215"/>
  <c r="N28" i="215"/>
  <c r="O28" i="215"/>
  <c r="P28" i="215"/>
  <c r="B29" i="215"/>
  <c r="C29" i="215"/>
  <c r="D29" i="215"/>
  <c r="E29" i="215"/>
  <c r="F29" i="215"/>
  <c r="G29" i="215"/>
  <c r="H29" i="215"/>
  <c r="I29" i="215"/>
  <c r="J29" i="215"/>
  <c r="K29" i="215"/>
  <c r="L29" i="215"/>
  <c r="M29" i="215"/>
  <c r="N29" i="215"/>
  <c r="O29" i="215"/>
  <c r="P29" i="215"/>
  <c r="B30" i="215"/>
  <c r="B31" i="215"/>
  <c r="B34" i="215"/>
  <c r="B35" i="215"/>
  <c r="C35" i="215"/>
  <c r="D35" i="215"/>
  <c r="E35" i="215"/>
  <c r="F35" i="215"/>
  <c r="G35" i="215"/>
  <c r="H35" i="215"/>
  <c r="I35" i="215"/>
  <c r="J35" i="215"/>
  <c r="K35" i="215"/>
  <c r="L35" i="215"/>
  <c r="M35" i="215"/>
  <c r="N35" i="215"/>
  <c r="O35" i="215"/>
  <c r="P35" i="215"/>
  <c r="B36" i="215"/>
  <c r="B37" i="215"/>
  <c r="B39" i="215"/>
  <c r="B40" i="215"/>
  <c r="C40" i="215"/>
  <c r="D40" i="215"/>
  <c r="E40" i="215"/>
  <c r="F40" i="215"/>
  <c r="G40" i="215"/>
  <c r="H40" i="215"/>
  <c r="I40" i="215"/>
  <c r="J40" i="215"/>
  <c r="K40" i="215"/>
  <c r="L40" i="215"/>
  <c r="M40" i="215"/>
  <c r="N40" i="215"/>
  <c r="O40" i="215"/>
  <c r="P40" i="215"/>
  <c r="B41" i="215"/>
  <c r="B42" i="215"/>
  <c r="D11" i="214"/>
  <c r="D13" i="214"/>
  <c r="D14" i="214"/>
  <c r="D15" i="214"/>
  <c r="D16" i="214"/>
  <c r="D22" i="214"/>
  <c r="D23" i="214"/>
  <c r="B24" i="214"/>
  <c r="D24" i="214"/>
  <c r="B25" i="214"/>
  <c r="B26" i="214"/>
  <c r="B27" i="214"/>
  <c r="D27" i="214"/>
  <c r="B28" i="214"/>
  <c r="D28" i="214"/>
  <c r="B29" i="214"/>
  <c r="D29" i="214"/>
  <c r="D30" i="214"/>
  <c r="B31" i="214"/>
  <c r="C150" i="214"/>
  <c r="I150" i="214"/>
  <c r="O150" i="214"/>
  <c r="C151" i="214"/>
  <c r="I151" i="214"/>
  <c r="O151" i="214"/>
  <c r="C152" i="214"/>
  <c r="I152" i="214"/>
  <c r="O152" i="214"/>
  <c r="C153" i="214"/>
  <c r="I153" i="214"/>
  <c r="O153" i="214"/>
  <c r="B154" i="214"/>
  <c r="H154" i="214"/>
  <c r="N154" i="214"/>
  <c r="B155" i="214"/>
  <c r="H155" i="214"/>
  <c r="N155" i="214"/>
  <c r="B157" i="214"/>
  <c r="H157" i="214"/>
  <c r="N157" i="214"/>
  <c r="B160" i="214"/>
  <c r="C160" i="214"/>
  <c r="H160" i="214"/>
  <c r="I160" i="214"/>
  <c r="N160" i="214"/>
  <c r="O160" i="214"/>
  <c r="B161" i="214"/>
  <c r="C161" i="214"/>
  <c r="H161" i="214"/>
  <c r="I161" i="214"/>
  <c r="N161" i="214"/>
  <c r="O161" i="214"/>
  <c r="B162" i="214"/>
  <c r="C162" i="214"/>
  <c r="H162" i="214"/>
  <c r="I162" i="214"/>
  <c r="N162" i="214"/>
  <c r="O162" i="214"/>
  <c r="B163" i="214"/>
  <c r="C163" i="214"/>
  <c r="H163" i="214"/>
  <c r="I163" i="214"/>
  <c r="N163" i="214"/>
  <c r="O163" i="214"/>
  <c r="B164" i="214"/>
  <c r="C164" i="214"/>
  <c r="H164" i="214"/>
  <c r="I164" i="214"/>
  <c r="N164" i="214"/>
  <c r="O164" i="214"/>
  <c r="B22" i="217"/>
  <c r="J22" i="217"/>
  <c r="AV22" i="217"/>
  <c r="AW22" i="217"/>
  <c r="AX22" i="217"/>
  <c r="B23" i="217"/>
  <c r="M23" i="217"/>
  <c r="N23" i="217"/>
  <c r="O23" i="217"/>
  <c r="P23" i="217"/>
  <c r="Q23" i="217"/>
  <c r="R23" i="217"/>
  <c r="S23" i="217"/>
  <c r="AV23" i="217"/>
  <c r="AW23" i="217"/>
  <c r="AX23" i="217"/>
  <c r="B24" i="217"/>
  <c r="C24" i="217"/>
  <c r="D24" i="217"/>
  <c r="E24" i="217"/>
  <c r="F24" i="217"/>
  <c r="G24" i="217"/>
  <c r="H24" i="217"/>
  <c r="I24" i="217"/>
  <c r="J24" i="217"/>
  <c r="K24" i="217"/>
  <c r="L24" i="217"/>
  <c r="M24" i="217"/>
  <c r="N24" i="217"/>
  <c r="O24" i="217"/>
  <c r="P24" i="217"/>
  <c r="Q24" i="217"/>
  <c r="R24" i="217"/>
  <c r="S24" i="217"/>
  <c r="AV24" i="217"/>
  <c r="AW24" i="217"/>
  <c r="AX24" i="217"/>
  <c r="B25" i="217"/>
  <c r="C25" i="217"/>
  <c r="D25" i="217"/>
  <c r="E25" i="217"/>
  <c r="F25" i="217"/>
  <c r="G25" i="217"/>
  <c r="H25" i="217"/>
  <c r="I25" i="217"/>
  <c r="J25" i="217"/>
  <c r="K25" i="217"/>
  <c r="L25" i="217"/>
  <c r="M25" i="217"/>
  <c r="N25" i="217"/>
  <c r="O25" i="217"/>
  <c r="P25" i="217"/>
  <c r="Q25" i="217"/>
  <c r="R25" i="217"/>
  <c r="S25" i="217"/>
  <c r="AV25" i="217"/>
  <c r="AW25" i="217"/>
  <c r="AX25" i="217"/>
  <c r="B26" i="217"/>
  <c r="B27" i="217"/>
  <c r="B28" i="217"/>
  <c r="C28" i="217"/>
  <c r="D28" i="217"/>
  <c r="E28" i="217"/>
  <c r="F28" i="217"/>
  <c r="G28" i="217"/>
  <c r="H28" i="217"/>
  <c r="I28" i="217"/>
  <c r="J28" i="217"/>
  <c r="K28" i="217"/>
  <c r="L28" i="217"/>
  <c r="M28" i="217"/>
  <c r="N28" i="217"/>
  <c r="O28" i="217"/>
  <c r="P28" i="217"/>
  <c r="Q28" i="217"/>
  <c r="R28" i="217"/>
  <c r="B29" i="217"/>
  <c r="C29" i="217"/>
  <c r="D29" i="217"/>
  <c r="E29" i="217"/>
  <c r="F29" i="217"/>
  <c r="G29" i="217"/>
  <c r="H29" i="217"/>
  <c r="I29" i="217"/>
  <c r="J29" i="217"/>
  <c r="K29" i="217"/>
  <c r="L29" i="217"/>
  <c r="M29" i="217"/>
  <c r="N29" i="217"/>
  <c r="O29" i="217"/>
  <c r="P29" i="217"/>
  <c r="Q29" i="217"/>
  <c r="R29" i="217"/>
  <c r="B30" i="217"/>
  <c r="B31" i="217"/>
  <c r="B34" i="217"/>
  <c r="B35" i="217"/>
  <c r="C35" i="217"/>
  <c r="D35" i="217"/>
  <c r="E35" i="217"/>
  <c r="F35" i="217"/>
  <c r="G35" i="217"/>
  <c r="H35" i="217"/>
  <c r="I35" i="217"/>
  <c r="J35" i="217"/>
  <c r="K35" i="217"/>
  <c r="L35" i="217"/>
  <c r="M35" i="217"/>
  <c r="N35" i="217"/>
  <c r="O35" i="217"/>
  <c r="P35" i="217"/>
  <c r="Q35" i="217"/>
  <c r="R35" i="217"/>
  <c r="S35" i="217"/>
  <c r="B36" i="217"/>
  <c r="B37" i="217"/>
  <c r="B39" i="217"/>
  <c r="B40" i="217"/>
  <c r="C40" i="217"/>
  <c r="D40" i="217"/>
  <c r="E40" i="217"/>
  <c r="F40" i="217"/>
  <c r="G40" i="217"/>
  <c r="H40" i="217"/>
  <c r="I40" i="217"/>
  <c r="J40" i="217"/>
  <c r="K40" i="217"/>
  <c r="L40" i="217"/>
  <c r="M40" i="217"/>
  <c r="N40" i="217"/>
  <c r="O40" i="217"/>
  <c r="P40" i="217"/>
  <c r="Q40" i="217"/>
  <c r="R40" i="217"/>
  <c r="S40" i="217"/>
  <c r="B41" i="217"/>
  <c r="B42" i="217"/>
  <c r="D11" i="216"/>
  <c r="D13" i="216"/>
  <c r="D14" i="216"/>
  <c r="D15" i="216"/>
  <c r="D16" i="216"/>
  <c r="D22" i="216"/>
  <c r="D23" i="216"/>
  <c r="B24" i="216"/>
  <c r="D24" i="216"/>
  <c r="B25" i="216"/>
  <c r="B26" i="216"/>
  <c r="B27" i="216"/>
  <c r="D27" i="216"/>
  <c r="B28" i="216"/>
  <c r="B29" i="216"/>
  <c r="B31" i="216"/>
  <c r="I150" i="216"/>
  <c r="O150" i="216"/>
  <c r="U150" i="216"/>
  <c r="I151" i="216"/>
  <c r="O151" i="216"/>
  <c r="U151" i="216"/>
  <c r="I152" i="216"/>
  <c r="O152" i="216"/>
  <c r="U152" i="216"/>
  <c r="I153" i="216"/>
  <c r="O153" i="216"/>
  <c r="U153" i="216"/>
  <c r="H154" i="216"/>
  <c r="N154" i="216"/>
  <c r="H155" i="216"/>
  <c r="N155" i="216"/>
  <c r="T155" i="216"/>
  <c r="H157" i="216"/>
  <c r="N157" i="216"/>
  <c r="T157" i="216"/>
  <c r="H160" i="216"/>
  <c r="I160" i="216"/>
  <c r="N160" i="216"/>
  <c r="O160" i="216"/>
  <c r="T160" i="216"/>
  <c r="U160" i="216"/>
  <c r="H161" i="216"/>
  <c r="I161" i="216"/>
  <c r="N161" i="216"/>
  <c r="O161" i="216"/>
  <c r="T161" i="216"/>
  <c r="U161" i="216"/>
  <c r="H162" i="216"/>
  <c r="I162" i="216"/>
  <c r="N162" i="216"/>
  <c r="O162" i="216"/>
  <c r="T162" i="216"/>
  <c r="U162" i="216"/>
  <c r="H163" i="216"/>
  <c r="I163" i="216"/>
  <c r="N163" i="216"/>
  <c r="O163" i="216"/>
  <c r="T163" i="216"/>
  <c r="U163" i="216"/>
  <c r="H164" i="216"/>
  <c r="I164" i="216"/>
  <c r="N164" i="216"/>
  <c r="O164" i="216"/>
  <c r="T164" i="216"/>
  <c r="U164" i="216"/>
  <c r="B22" i="219"/>
  <c r="N22" i="219"/>
  <c r="AV22" i="219"/>
  <c r="AW22" i="219"/>
  <c r="AX22" i="219"/>
  <c r="B23" i="219"/>
  <c r="K23" i="219"/>
  <c r="L23" i="219"/>
  <c r="M23" i="219"/>
  <c r="N23" i="219"/>
  <c r="O23" i="219"/>
  <c r="P23" i="219"/>
  <c r="Q23" i="219"/>
  <c r="AV23" i="219"/>
  <c r="AW23" i="219"/>
  <c r="AX23" i="219"/>
  <c r="B24" i="219"/>
  <c r="C24" i="219"/>
  <c r="D24" i="219"/>
  <c r="E24" i="219"/>
  <c r="F24" i="219"/>
  <c r="G24" i="219"/>
  <c r="H24" i="219"/>
  <c r="I24" i="219"/>
  <c r="J24" i="219"/>
  <c r="K24" i="219"/>
  <c r="L24" i="219"/>
  <c r="M24" i="219"/>
  <c r="N24" i="219"/>
  <c r="O24" i="219"/>
  <c r="P24" i="219"/>
  <c r="Q24" i="219"/>
  <c r="R24" i="219"/>
  <c r="S24" i="219"/>
  <c r="T24" i="219"/>
  <c r="U24" i="219"/>
  <c r="AV24" i="219"/>
  <c r="AW24" i="219"/>
  <c r="AX24" i="219"/>
  <c r="B25" i="219"/>
  <c r="C25" i="219"/>
  <c r="D25" i="219"/>
  <c r="E25" i="219"/>
  <c r="F25" i="219"/>
  <c r="G25" i="219"/>
  <c r="H25" i="219"/>
  <c r="I25" i="219"/>
  <c r="J25" i="219"/>
  <c r="K25" i="219"/>
  <c r="L25" i="219"/>
  <c r="M25" i="219"/>
  <c r="N25" i="219"/>
  <c r="O25" i="219"/>
  <c r="P25" i="219"/>
  <c r="Q25" i="219"/>
  <c r="R25" i="219"/>
  <c r="S25" i="219"/>
  <c r="T25" i="219"/>
  <c r="U25" i="219"/>
  <c r="AV25" i="219"/>
  <c r="AW25" i="219"/>
  <c r="AX25" i="219"/>
  <c r="B26" i="219"/>
  <c r="B27" i="219"/>
  <c r="B28" i="219"/>
  <c r="C28" i="219"/>
  <c r="D28" i="219"/>
  <c r="E28" i="219"/>
  <c r="F28" i="219"/>
  <c r="G28" i="219"/>
  <c r="H28" i="219"/>
  <c r="I28" i="219"/>
  <c r="J28" i="219"/>
  <c r="K28" i="219"/>
  <c r="L28" i="219"/>
  <c r="M28" i="219"/>
  <c r="N28" i="219"/>
  <c r="O28" i="219"/>
  <c r="P28" i="219"/>
  <c r="Q28" i="219"/>
  <c r="R28" i="219"/>
  <c r="S28" i="219"/>
  <c r="T28" i="219"/>
  <c r="U28" i="219"/>
  <c r="V28" i="219"/>
  <c r="W28" i="219"/>
  <c r="B29" i="219"/>
  <c r="C29" i="219"/>
  <c r="D29" i="219"/>
  <c r="E29" i="219"/>
  <c r="F29" i="219"/>
  <c r="G29" i="219"/>
  <c r="H29" i="219"/>
  <c r="I29" i="219"/>
  <c r="J29" i="219"/>
  <c r="K29" i="219"/>
  <c r="L29" i="219"/>
  <c r="M29" i="219"/>
  <c r="N29" i="219"/>
  <c r="O29" i="219"/>
  <c r="P29" i="219"/>
  <c r="Q29" i="219"/>
  <c r="R29" i="219"/>
  <c r="S29" i="219"/>
  <c r="T29" i="219"/>
  <c r="U29" i="219"/>
  <c r="V29" i="219"/>
  <c r="W29" i="219"/>
  <c r="B30" i="219"/>
  <c r="B31" i="219"/>
  <c r="B34" i="219"/>
  <c r="B35" i="219"/>
  <c r="C35" i="219"/>
  <c r="D35" i="219"/>
  <c r="E35" i="219"/>
  <c r="F35" i="219"/>
  <c r="G35" i="219"/>
  <c r="H35" i="219"/>
  <c r="I35" i="219"/>
  <c r="J35" i="219"/>
  <c r="K35" i="219"/>
  <c r="L35" i="219"/>
  <c r="M35" i="219"/>
  <c r="N35" i="219"/>
  <c r="O35" i="219"/>
  <c r="P35" i="219"/>
  <c r="Q35" i="219"/>
  <c r="R35" i="219"/>
  <c r="S35" i="219"/>
  <c r="T35" i="219"/>
  <c r="U35" i="219"/>
  <c r="V35" i="219"/>
  <c r="W35" i="219"/>
  <c r="B36" i="219"/>
  <c r="B37" i="219"/>
  <c r="B39" i="219"/>
  <c r="B40" i="219"/>
  <c r="C40" i="219"/>
  <c r="D40" i="219"/>
  <c r="E40" i="219"/>
  <c r="F40" i="219"/>
  <c r="G40" i="219"/>
  <c r="H40" i="219"/>
  <c r="I40" i="219"/>
  <c r="J40" i="219"/>
  <c r="K40" i="219"/>
  <c r="L40" i="219"/>
  <c r="M40" i="219"/>
  <c r="N40" i="219"/>
  <c r="O40" i="219"/>
  <c r="P40" i="219"/>
  <c r="Q40" i="219"/>
  <c r="R40" i="219"/>
  <c r="S40" i="219"/>
  <c r="T40" i="219"/>
  <c r="U40" i="219"/>
  <c r="W40" i="219"/>
  <c r="B41" i="219"/>
  <c r="B42" i="219"/>
  <c r="D11" i="218"/>
  <c r="D13" i="218"/>
  <c r="D14" i="218"/>
  <c r="D15" i="218"/>
  <c r="D16" i="218"/>
  <c r="D22" i="218"/>
  <c r="D23" i="218"/>
  <c r="B24" i="218"/>
  <c r="D24" i="218"/>
  <c r="B25" i="218"/>
  <c r="B26" i="218"/>
  <c r="B27" i="218"/>
  <c r="D27" i="218"/>
  <c r="B28" i="218"/>
  <c r="B29" i="218"/>
  <c r="B31" i="218"/>
  <c r="O150" i="218"/>
  <c r="U150" i="218"/>
  <c r="O151" i="218"/>
  <c r="U151" i="218"/>
  <c r="O152" i="218"/>
  <c r="U152" i="218"/>
  <c r="O153" i="218"/>
  <c r="U153" i="218"/>
  <c r="N154" i="218"/>
  <c r="N155" i="218"/>
  <c r="T155" i="218"/>
  <c r="N157" i="218"/>
  <c r="T157" i="218"/>
  <c r="N160" i="218"/>
  <c r="O160" i="218"/>
  <c r="T160" i="218"/>
  <c r="U160" i="218"/>
  <c r="N161" i="218"/>
  <c r="O161" i="218"/>
  <c r="T161" i="218"/>
  <c r="U161" i="218"/>
  <c r="N162" i="218"/>
  <c r="O162" i="218"/>
  <c r="T162" i="218"/>
  <c r="U162" i="218"/>
  <c r="N163" i="218"/>
  <c r="O163" i="218"/>
  <c r="T163" i="218"/>
  <c r="U163" i="218"/>
  <c r="N164" i="218"/>
  <c r="O164" i="218"/>
  <c r="T164" i="218"/>
  <c r="U164" i="218"/>
  <c r="B22" i="221"/>
  <c r="Q22" i="221"/>
  <c r="AV22" i="221"/>
  <c r="AW22" i="221"/>
  <c r="AX22" i="221"/>
  <c r="B24" i="221"/>
  <c r="C24" i="221"/>
  <c r="D24" i="221"/>
  <c r="E24" i="221"/>
  <c r="F24" i="221"/>
  <c r="G24" i="221"/>
  <c r="H24" i="221"/>
  <c r="I24" i="221"/>
  <c r="J24" i="221"/>
  <c r="K24" i="221"/>
  <c r="L24" i="221"/>
  <c r="M24" i="221"/>
  <c r="N24" i="221"/>
  <c r="O24" i="221"/>
  <c r="P24" i="221"/>
  <c r="Q24" i="221"/>
  <c r="R24" i="221"/>
  <c r="S24" i="221"/>
  <c r="T24" i="221"/>
  <c r="U24" i="221"/>
  <c r="V24" i="221"/>
  <c r="W24" i="221"/>
  <c r="X24" i="221"/>
  <c r="Y24" i="221"/>
  <c r="Z24" i="221"/>
  <c r="AV24" i="221"/>
  <c r="AW24" i="221"/>
  <c r="AX24" i="221"/>
  <c r="B25" i="221"/>
  <c r="C25" i="221"/>
  <c r="D25" i="221"/>
  <c r="E25" i="221"/>
  <c r="F25" i="221"/>
  <c r="G25" i="221"/>
  <c r="H25" i="221"/>
  <c r="I25" i="221"/>
  <c r="J25" i="221"/>
  <c r="K25" i="221"/>
  <c r="L25" i="221"/>
  <c r="M25" i="221"/>
  <c r="N25" i="221"/>
  <c r="O25" i="221"/>
  <c r="P25" i="221"/>
  <c r="Q25" i="221"/>
  <c r="R25" i="221"/>
  <c r="S25" i="221"/>
  <c r="T25" i="221"/>
  <c r="U25" i="221"/>
  <c r="V25" i="221"/>
  <c r="W25" i="221"/>
  <c r="X25" i="221"/>
  <c r="Y25" i="221"/>
  <c r="Z25" i="221"/>
  <c r="AV25" i="221"/>
  <c r="AW25" i="221"/>
  <c r="AX25" i="221"/>
  <c r="B26" i="221"/>
  <c r="B27" i="221"/>
  <c r="B28" i="221"/>
  <c r="C28" i="221"/>
  <c r="D28" i="221"/>
  <c r="E28" i="221"/>
  <c r="F28" i="221"/>
  <c r="G28" i="221"/>
  <c r="H28" i="221"/>
  <c r="I28" i="221"/>
  <c r="J28" i="221"/>
  <c r="K28" i="221"/>
  <c r="L28" i="221"/>
  <c r="M28" i="221"/>
  <c r="N28" i="221"/>
  <c r="O28" i="221"/>
  <c r="P28" i="221"/>
  <c r="Q28" i="221"/>
  <c r="R28" i="221"/>
  <c r="S28" i="221"/>
  <c r="T28" i="221"/>
  <c r="U28" i="221"/>
  <c r="V28" i="221"/>
  <c r="W28" i="221"/>
  <c r="X28" i="221"/>
  <c r="Y28" i="221"/>
  <c r="Z28" i="221"/>
  <c r="AA28" i="221"/>
  <c r="AB28" i="221"/>
  <c r="B29" i="221"/>
  <c r="C29" i="221"/>
  <c r="D29" i="221"/>
  <c r="E29" i="221"/>
  <c r="F29" i="221"/>
  <c r="G29" i="221"/>
  <c r="H29" i="221"/>
  <c r="I29" i="221"/>
  <c r="J29" i="221"/>
  <c r="K29" i="221"/>
  <c r="L29" i="221"/>
  <c r="M29" i="221"/>
  <c r="N29" i="221"/>
  <c r="O29" i="221"/>
  <c r="P29" i="221"/>
  <c r="Q29" i="221"/>
  <c r="R29" i="221"/>
  <c r="S29" i="221"/>
  <c r="T29" i="221"/>
  <c r="U29" i="221"/>
  <c r="V29" i="221"/>
  <c r="W29" i="221"/>
  <c r="X29" i="221"/>
  <c r="Y29" i="221"/>
  <c r="Z29" i="221"/>
  <c r="AA29" i="221"/>
  <c r="AB29" i="221"/>
  <c r="B30" i="221"/>
  <c r="B31" i="221"/>
  <c r="B34" i="221"/>
  <c r="B35" i="221"/>
  <c r="C35" i="221"/>
  <c r="D35" i="221"/>
  <c r="E35" i="221"/>
  <c r="F35" i="221"/>
  <c r="G35" i="221"/>
  <c r="H35" i="221"/>
  <c r="I35" i="221"/>
  <c r="J35" i="221"/>
  <c r="K35" i="221"/>
  <c r="L35" i="221"/>
  <c r="M35" i="221"/>
  <c r="N35" i="221"/>
  <c r="O35" i="221"/>
  <c r="P35" i="221"/>
  <c r="Q35" i="221"/>
  <c r="R35" i="221"/>
  <c r="S35" i="221"/>
  <c r="T35" i="221"/>
  <c r="U35" i="221"/>
  <c r="V35" i="221"/>
  <c r="W35" i="221"/>
  <c r="X35" i="221"/>
  <c r="Y35" i="221"/>
  <c r="Z35" i="221"/>
  <c r="AA35" i="221"/>
  <c r="AB35" i="221"/>
  <c r="B36" i="221"/>
  <c r="B37" i="221"/>
  <c r="B39" i="221"/>
  <c r="B40" i="221"/>
  <c r="C40" i="221"/>
  <c r="D40" i="221"/>
  <c r="E40" i="221"/>
  <c r="F40" i="221"/>
  <c r="G40" i="221"/>
  <c r="H40" i="221"/>
  <c r="I40" i="221"/>
  <c r="J40" i="221"/>
  <c r="K40" i="221"/>
  <c r="L40" i="221"/>
  <c r="M40" i="221"/>
  <c r="N40" i="221"/>
  <c r="O40" i="221"/>
  <c r="P40" i="221"/>
  <c r="Q40" i="221"/>
  <c r="R40" i="221"/>
  <c r="S40" i="221"/>
  <c r="T40" i="221"/>
  <c r="U40" i="221"/>
  <c r="V40" i="221"/>
  <c r="W40" i="221"/>
  <c r="X40" i="221"/>
  <c r="Y40" i="221"/>
  <c r="Z40" i="221"/>
  <c r="AB40" i="221"/>
  <c r="B41" i="221"/>
  <c r="B42" i="221"/>
  <c r="D11" i="220"/>
  <c r="D13" i="220"/>
  <c r="D14" i="220"/>
  <c r="D15" i="220"/>
  <c r="D16" i="220"/>
  <c r="D22" i="220"/>
  <c r="D23" i="220"/>
  <c r="B24" i="220"/>
  <c r="D24" i="220"/>
  <c r="B26" i="220"/>
  <c r="B27" i="220"/>
  <c r="D27" i="220"/>
  <c r="B28" i="220"/>
  <c r="B29" i="220"/>
  <c r="B31" i="220"/>
  <c r="U150" i="220"/>
  <c r="U152" i="220"/>
  <c r="U153" i="220"/>
  <c r="T155" i="220"/>
  <c r="T157" i="220"/>
  <c r="T160" i="220"/>
  <c r="U160" i="220"/>
  <c r="T161" i="220"/>
  <c r="U161" i="220"/>
  <c r="T162" i="220"/>
  <c r="U162" i="220"/>
  <c r="T163" i="220"/>
  <c r="U163" i="220"/>
  <c r="T164" i="220"/>
  <c r="U164" i="220"/>
  <c r="B22" i="224"/>
  <c r="Q22" i="224"/>
  <c r="AV22" i="224"/>
  <c r="AW22" i="224"/>
  <c r="AX22" i="224"/>
  <c r="B23" i="224"/>
  <c r="T23" i="224"/>
  <c r="U23" i="224"/>
  <c r="V23" i="224"/>
  <c r="W23" i="224"/>
  <c r="X23" i="224"/>
  <c r="Y23" i="224"/>
  <c r="Z23" i="224"/>
  <c r="AV23" i="224"/>
  <c r="AW23" i="224"/>
  <c r="AX23" i="224"/>
  <c r="B24" i="224"/>
  <c r="AW24" i="224"/>
  <c r="AX24" i="224"/>
  <c r="B25" i="224"/>
  <c r="Q25" i="224"/>
  <c r="T25" i="224"/>
  <c r="U25" i="224"/>
  <c r="V25" i="224"/>
  <c r="W25" i="224"/>
  <c r="X25" i="224"/>
  <c r="Y25" i="224"/>
  <c r="Z25" i="224"/>
  <c r="AV25" i="224"/>
  <c r="AW25" i="224"/>
  <c r="AX25" i="224"/>
  <c r="B26" i="224"/>
  <c r="B27" i="224"/>
  <c r="B28" i="224"/>
  <c r="D28" i="224"/>
  <c r="E28" i="224"/>
  <c r="F28" i="224"/>
  <c r="G28" i="224"/>
  <c r="H28" i="224"/>
  <c r="I28" i="224"/>
  <c r="J28" i="224"/>
  <c r="K28" i="224"/>
  <c r="L28" i="224"/>
  <c r="M28" i="224"/>
  <c r="N28" i="224"/>
  <c r="O28" i="224"/>
  <c r="P28" i="224"/>
  <c r="Q28" i="224"/>
  <c r="R28" i="224"/>
  <c r="S28" i="224"/>
  <c r="T28" i="224"/>
  <c r="U28" i="224"/>
  <c r="V28" i="224"/>
  <c r="W28" i="224"/>
  <c r="X28" i="224"/>
  <c r="Y28" i="224"/>
  <c r="Z28" i="224"/>
  <c r="B29" i="224"/>
  <c r="D29" i="224"/>
  <c r="E29" i="224"/>
  <c r="F29" i="224"/>
  <c r="G29" i="224"/>
  <c r="H29" i="224"/>
  <c r="I29" i="224"/>
  <c r="J29" i="224"/>
  <c r="K29" i="224"/>
  <c r="L29" i="224"/>
  <c r="M29" i="224"/>
  <c r="N29" i="224"/>
  <c r="O29" i="224"/>
  <c r="P29" i="224"/>
  <c r="Q29" i="224"/>
  <c r="R29" i="224"/>
  <c r="S29" i="224"/>
  <c r="T29" i="224"/>
  <c r="U29" i="224"/>
  <c r="V29" i="224"/>
  <c r="W29" i="224"/>
  <c r="X29" i="224"/>
  <c r="Y29" i="224"/>
  <c r="Z29" i="224"/>
  <c r="B30" i="224"/>
  <c r="B31" i="224"/>
  <c r="B34" i="224"/>
  <c r="B35" i="224"/>
  <c r="D35" i="224"/>
  <c r="E35" i="224"/>
  <c r="F35" i="224"/>
  <c r="G35" i="224"/>
  <c r="H35" i="224"/>
  <c r="I35" i="224"/>
  <c r="J35" i="224"/>
  <c r="K35" i="224"/>
  <c r="L35" i="224"/>
  <c r="M35" i="224"/>
  <c r="N35" i="224"/>
  <c r="O35" i="224"/>
  <c r="P35" i="224"/>
  <c r="Q35" i="224"/>
  <c r="R35" i="224"/>
  <c r="S35" i="224"/>
  <c r="T35" i="224"/>
  <c r="U35" i="224"/>
  <c r="V35" i="224"/>
  <c r="W35" i="224"/>
  <c r="X35" i="224"/>
  <c r="Y35" i="224"/>
  <c r="Z35" i="224"/>
  <c r="AA35" i="224"/>
  <c r="B36" i="224"/>
  <c r="B37" i="224"/>
  <c r="B39" i="224"/>
  <c r="B40" i="224"/>
  <c r="Q40" i="224"/>
  <c r="T40" i="224"/>
  <c r="U40" i="224"/>
  <c r="V40" i="224"/>
  <c r="W40" i="224"/>
  <c r="X40" i="224"/>
  <c r="Y40" i="224"/>
  <c r="Z40" i="224"/>
  <c r="AA40" i="224"/>
  <c r="B41" i="224"/>
  <c r="B42" i="224"/>
  <c r="D11" i="223"/>
  <c r="D13" i="223"/>
  <c r="D14" i="223"/>
  <c r="D15" i="223"/>
  <c r="D16" i="223"/>
  <c r="D22" i="223"/>
  <c r="D23" i="223"/>
  <c r="B24" i="223"/>
  <c r="D24" i="223"/>
  <c r="B25" i="223"/>
  <c r="B26" i="223"/>
  <c r="B27" i="223"/>
  <c r="B28" i="223"/>
  <c r="B29" i="223"/>
  <c r="B31" i="223"/>
  <c r="O150" i="223"/>
  <c r="U150" i="223"/>
  <c r="O151" i="223"/>
  <c r="U151" i="223"/>
  <c r="O152" i="223"/>
  <c r="U152" i="223"/>
  <c r="O153" i="223"/>
  <c r="U153" i="223"/>
  <c r="N154" i="223"/>
  <c r="N155" i="223"/>
  <c r="T155" i="223"/>
  <c r="N157" i="223"/>
  <c r="T157" i="223"/>
  <c r="N160" i="223"/>
  <c r="O160" i="223"/>
  <c r="T160" i="223"/>
  <c r="U160" i="223"/>
  <c r="N161" i="223"/>
  <c r="O161" i="223"/>
  <c r="T161" i="223"/>
  <c r="U161" i="223"/>
  <c r="N162" i="223"/>
  <c r="O162" i="223"/>
  <c r="T162" i="223"/>
  <c r="U162" i="223"/>
  <c r="N163" i="223"/>
  <c r="O163" i="223"/>
  <c r="T163" i="223"/>
  <c r="U163" i="223"/>
  <c r="N164" i="223"/>
  <c r="O164" i="223"/>
  <c r="T164" i="223"/>
  <c r="U164" i="223"/>
  <c r="B22" i="226"/>
  <c r="T22" i="226"/>
  <c r="AV22" i="226"/>
  <c r="AW22" i="226"/>
  <c r="AX22" i="226"/>
  <c r="B23" i="226"/>
  <c r="W23" i="226"/>
  <c r="X23" i="226"/>
  <c r="Y23" i="226"/>
  <c r="Z23" i="226"/>
  <c r="AA23" i="226"/>
  <c r="AB23" i="226"/>
  <c r="AC23" i="226"/>
  <c r="AV23" i="226"/>
  <c r="AW23" i="226"/>
  <c r="AX23" i="226"/>
  <c r="B24" i="226"/>
  <c r="U24" i="226"/>
  <c r="V24" i="226"/>
  <c r="W24" i="226"/>
  <c r="X24" i="226"/>
  <c r="Y24" i="226"/>
  <c r="Z24" i="226"/>
  <c r="AA24" i="226"/>
  <c r="AB24" i="226"/>
  <c r="AC24" i="226"/>
  <c r="AV24" i="226"/>
  <c r="AW24" i="226"/>
  <c r="AX24" i="226"/>
  <c r="B25" i="226"/>
  <c r="T25" i="226"/>
  <c r="U25" i="226"/>
  <c r="V25" i="226"/>
  <c r="W25" i="226"/>
  <c r="X25" i="226"/>
  <c r="Y25" i="226"/>
  <c r="Z25" i="226"/>
  <c r="AA25" i="226"/>
  <c r="AB25" i="226"/>
  <c r="AC25" i="226"/>
  <c r="AV25" i="226"/>
  <c r="AW25" i="226"/>
  <c r="AX25" i="226"/>
  <c r="B26" i="226"/>
  <c r="B27" i="226"/>
  <c r="B28" i="226"/>
  <c r="D28" i="226"/>
  <c r="E28" i="226"/>
  <c r="F28" i="226"/>
  <c r="G28" i="226"/>
  <c r="H28" i="226"/>
  <c r="I28" i="226"/>
  <c r="J28" i="226"/>
  <c r="K28" i="226"/>
  <c r="L28" i="226"/>
  <c r="M28" i="226"/>
  <c r="N28" i="226"/>
  <c r="O28" i="226"/>
  <c r="P28" i="226"/>
  <c r="Q28" i="226"/>
  <c r="R28" i="226"/>
  <c r="S28" i="226"/>
  <c r="T28" i="226"/>
  <c r="U28" i="226"/>
  <c r="V28" i="226"/>
  <c r="W28" i="226"/>
  <c r="X28" i="226"/>
  <c r="Y28" i="226"/>
  <c r="Z28" i="226"/>
  <c r="AA28" i="226"/>
  <c r="AB28" i="226"/>
  <c r="AC28" i="226"/>
  <c r="AD28" i="226"/>
  <c r="B29" i="226"/>
  <c r="D29" i="226"/>
  <c r="E29" i="226"/>
  <c r="F29" i="226"/>
  <c r="G29" i="226"/>
  <c r="H29" i="226"/>
  <c r="I29" i="226"/>
  <c r="J29" i="226"/>
  <c r="K29" i="226"/>
  <c r="L29" i="226"/>
  <c r="M29" i="226"/>
  <c r="N29" i="226"/>
  <c r="O29" i="226"/>
  <c r="P29" i="226"/>
  <c r="Q29" i="226"/>
  <c r="R29" i="226"/>
  <c r="S29" i="226"/>
  <c r="T29" i="226"/>
  <c r="U29" i="226"/>
  <c r="V29" i="226"/>
  <c r="W29" i="226"/>
  <c r="X29" i="226"/>
  <c r="Y29" i="226"/>
  <c r="Z29" i="226"/>
  <c r="AA29" i="226"/>
  <c r="AB29" i="226"/>
  <c r="AC29" i="226"/>
  <c r="AD29" i="226"/>
  <c r="B30" i="226"/>
  <c r="B31" i="226"/>
  <c r="B34" i="226"/>
  <c r="B35" i="226"/>
  <c r="D35" i="226"/>
  <c r="E35" i="226"/>
  <c r="F35" i="226"/>
  <c r="G35" i="226"/>
  <c r="H35" i="226"/>
  <c r="I35" i="226"/>
  <c r="J35" i="226"/>
  <c r="K35" i="226"/>
  <c r="L35" i="226"/>
  <c r="M35" i="226"/>
  <c r="N35" i="226"/>
  <c r="O35" i="226"/>
  <c r="P35" i="226"/>
  <c r="Q35" i="226"/>
  <c r="R35" i="226"/>
  <c r="S35" i="226"/>
  <c r="T35" i="226"/>
  <c r="U35" i="226"/>
  <c r="V35" i="226"/>
  <c r="W35" i="226"/>
  <c r="X35" i="226"/>
  <c r="Y35" i="226"/>
  <c r="Z35" i="226"/>
  <c r="AA35" i="226"/>
  <c r="AB35" i="226"/>
  <c r="AC35" i="226"/>
  <c r="AD35" i="226"/>
  <c r="AE35" i="226"/>
  <c r="B36" i="226"/>
  <c r="B37" i="226"/>
  <c r="B39" i="226"/>
  <c r="B40" i="226"/>
  <c r="T40" i="226"/>
  <c r="U40" i="226"/>
  <c r="V40" i="226"/>
  <c r="W40" i="226"/>
  <c r="X40" i="226"/>
  <c r="Y40" i="226"/>
  <c r="Z40" i="226"/>
  <c r="AA40" i="226"/>
  <c r="AB40" i="226"/>
  <c r="AC40" i="226"/>
  <c r="AE40" i="226"/>
  <c r="B41" i="226"/>
  <c r="B42" i="226"/>
  <c r="D11" i="225"/>
  <c r="D13" i="225"/>
  <c r="D14" i="225"/>
  <c r="D15" i="225"/>
  <c r="D16" i="225"/>
  <c r="D22" i="225"/>
  <c r="D23" i="225"/>
  <c r="B24" i="225"/>
  <c r="D24" i="225"/>
  <c r="B25" i="225"/>
  <c r="B26" i="225"/>
  <c r="B27" i="225"/>
  <c r="B28" i="225"/>
  <c r="B29" i="225"/>
  <c r="B31" i="225"/>
  <c r="U150" i="225"/>
  <c r="U151" i="225"/>
  <c r="U152" i="225"/>
  <c r="U153" i="225"/>
  <c r="T155" i="225"/>
  <c r="T157" i="225"/>
  <c r="T160" i="225"/>
  <c r="U160" i="225"/>
  <c r="T161" i="225"/>
  <c r="U161" i="225"/>
  <c r="T162" i="225"/>
  <c r="U162" i="225"/>
  <c r="T163" i="225"/>
  <c r="U163" i="225"/>
  <c r="T164" i="225"/>
  <c r="U164" i="225"/>
  <c r="B22" i="228"/>
  <c r="U22" i="228"/>
  <c r="AV22" i="228"/>
  <c r="AW22" i="228"/>
  <c r="AX22" i="228"/>
  <c r="B23" i="228"/>
  <c r="W23" i="228"/>
  <c r="X23" i="228"/>
  <c r="Y23" i="228"/>
  <c r="Z23" i="228"/>
  <c r="AA23" i="228"/>
  <c r="AB23" i="228"/>
  <c r="AC23" i="228"/>
  <c r="AD23" i="228"/>
  <c r="AE23" i="228"/>
  <c r="AF23" i="228"/>
  <c r="AG23" i="228"/>
  <c r="AH23" i="228"/>
  <c r="AV23" i="228"/>
  <c r="AW23" i="228"/>
  <c r="AX23" i="228"/>
  <c r="B24" i="228"/>
  <c r="Q24" i="228"/>
  <c r="R24" i="228"/>
  <c r="S24" i="228"/>
  <c r="T24" i="228"/>
  <c r="U24" i="228"/>
  <c r="V24" i="228"/>
  <c r="W24" i="228"/>
  <c r="X24" i="228"/>
  <c r="Y24" i="228"/>
  <c r="Z24" i="228"/>
  <c r="AA24" i="228"/>
  <c r="AB24" i="228"/>
  <c r="AC24" i="228"/>
  <c r="AD24" i="228"/>
  <c r="AE24" i="228"/>
  <c r="AF24" i="228"/>
  <c r="AG24" i="228"/>
  <c r="AV24" i="228"/>
  <c r="AW24" i="228"/>
  <c r="AX24" i="228"/>
  <c r="B25" i="228"/>
  <c r="Q25" i="228"/>
  <c r="R25" i="228"/>
  <c r="S25" i="228"/>
  <c r="T25" i="228"/>
  <c r="U25" i="228"/>
  <c r="V25" i="228"/>
  <c r="W25" i="228"/>
  <c r="X25" i="228"/>
  <c r="Y25" i="228"/>
  <c r="Z25" i="228"/>
  <c r="AA25" i="228"/>
  <c r="AB25" i="228"/>
  <c r="AC25" i="228"/>
  <c r="AD25" i="228"/>
  <c r="AE25" i="228"/>
  <c r="AF25" i="228"/>
  <c r="AG25" i="228"/>
  <c r="AH25" i="228"/>
  <c r="AV25" i="228"/>
  <c r="AW25" i="228"/>
  <c r="AX25" i="228"/>
  <c r="B26" i="228"/>
  <c r="B27" i="228"/>
  <c r="B28" i="228"/>
  <c r="D28" i="228"/>
  <c r="E28" i="228"/>
  <c r="F28" i="228"/>
  <c r="G28" i="228"/>
  <c r="H28" i="228"/>
  <c r="I28" i="228"/>
  <c r="J28" i="228"/>
  <c r="K28" i="228"/>
  <c r="L28" i="228"/>
  <c r="M28" i="228"/>
  <c r="N28" i="228"/>
  <c r="O28" i="228"/>
  <c r="P28" i="228"/>
  <c r="Q28" i="228"/>
  <c r="R28" i="228"/>
  <c r="S28" i="228"/>
  <c r="T28" i="228"/>
  <c r="U28" i="228"/>
  <c r="V28" i="228"/>
  <c r="W28" i="228"/>
  <c r="X28" i="228"/>
  <c r="Y28" i="228"/>
  <c r="Z28" i="228"/>
  <c r="AA28" i="228"/>
  <c r="AB28" i="228"/>
  <c r="AC28" i="228"/>
  <c r="AD28" i="228"/>
  <c r="AE28" i="228"/>
  <c r="AF28" i="228"/>
  <c r="AG28" i="228"/>
  <c r="AH28" i="228"/>
  <c r="B29" i="228"/>
  <c r="D29" i="228"/>
  <c r="E29" i="228"/>
  <c r="F29" i="228"/>
  <c r="G29" i="228"/>
  <c r="H29" i="228"/>
  <c r="I29" i="228"/>
  <c r="J29" i="228"/>
  <c r="K29" i="228"/>
  <c r="L29" i="228"/>
  <c r="M29" i="228"/>
  <c r="N29" i="228"/>
  <c r="O29" i="228"/>
  <c r="P29" i="228"/>
  <c r="Q29" i="228"/>
  <c r="R29" i="228"/>
  <c r="S29" i="228"/>
  <c r="T29" i="228"/>
  <c r="U29" i="228"/>
  <c r="V29" i="228"/>
  <c r="W29" i="228"/>
  <c r="X29" i="228"/>
  <c r="Y29" i="228"/>
  <c r="Z29" i="228"/>
  <c r="AA29" i="228"/>
  <c r="AB29" i="228"/>
  <c r="AC29" i="228"/>
  <c r="AD29" i="228"/>
  <c r="AE29" i="228"/>
  <c r="AF29" i="228"/>
  <c r="AG29" i="228"/>
  <c r="AH29" i="228"/>
  <c r="B30" i="228"/>
  <c r="B31" i="228"/>
  <c r="B34" i="228"/>
  <c r="B35" i="228"/>
  <c r="D35" i="228"/>
  <c r="E35" i="228"/>
  <c r="F35" i="228"/>
  <c r="G35" i="228"/>
  <c r="H35" i="228"/>
  <c r="I35" i="228"/>
  <c r="J35" i="228"/>
  <c r="K35" i="228"/>
  <c r="L35" i="228"/>
  <c r="M35" i="228"/>
  <c r="N35" i="228"/>
  <c r="O35" i="228"/>
  <c r="P35" i="228"/>
  <c r="Q35" i="228"/>
  <c r="R35" i="228"/>
  <c r="S35" i="228"/>
  <c r="T35" i="228"/>
  <c r="U35" i="228"/>
  <c r="V35" i="228"/>
  <c r="W35" i="228"/>
  <c r="X35" i="228"/>
  <c r="Y35" i="228"/>
  <c r="Z35" i="228"/>
  <c r="AA35" i="228"/>
  <c r="AB35" i="228"/>
  <c r="AC35" i="228"/>
  <c r="AD35" i="228"/>
  <c r="AE35" i="228"/>
  <c r="AF35" i="228"/>
  <c r="AG35" i="228"/>
  <c r="AH35" i="228"/>
  <c r="AI35" i="228"/>
  <c r="B36" i="228"/>
  <c r="B37" i="228"/>
  <c r="B39" i="228"/>
  <c r="B40" i="228"/>
  <c r="Q40" i="228"/>
  <c r="R40" i="228"/>
  <c r="S40" i="228"/>
  <c r="T40" i="228"/>
  <c r="U40" i="228"/>
  <c r="V40" i="228"/>
  <c r="W40" i="228"/>
  <c r="X40" i="228"/>
  <c r="Y40" i="228"/>
  <c r="Z40" i="228"/>
  <c r="AA40" i="228"/>
  <c r="AB40" i="228"/>
  <c r="AC40" i="228"/>
  <c r="AD40" i="228"/>
  <c r="AE40" i="228"/>
  <c r="AF40" i="228"/>
  <c r="AG40" i="228"/>
  <c r="AH40" i="228"/>
  <c r="AI40" i="228"/>
  <c r="B41" i="228"/>
  <c r="B42" i="228"/>
  <c r="D11" i="227"/>
  <c r="D13" i="227"/>
  <c r="D14" i="227"/>
  <c r="D15" i="227"/>
  <c r="D16" i="227"/>
  <c r="D22" i="227"/>
  <c r="D23" i="227"/>
  <c r="B24" i="227"/>
  <c r="D24" i="227"/>
  <c r="B25" i="227"/>
  <c r="B26" i="227"/>
  <c r="B27" i="227"/>
  <c r="B28" i="227"/>
  <c r="B29" i="227"/>
  <c r="B31" i="227"/>
  <c r="O150" i="227"/>
  <c r="U150" i="227"/>
  <c r="O151" i="227"/>
  <c r="U151" i="227"/>
  <c r="O152" i="227"/>
  <c r="U152" i="227"/>
  <c r="O153" i="227"/>
  <c r="U153" i="227"/>
  <c r="N154" i="227"/>
  <c r="N155" i="227"/>
  <c r="T155" i="227"/>
  <c r="N157" i="227"/>
  <c r="T157" i="227"/>
  <c r="N160" i="227"/>
  <c r="O160" i="227"/>
  <c r="T160" i="227"/>
  <c r="U160" i="227"/>
  <c r="N161" i="227"/>
  <c r="O161" i="227"/>
  <c r="T161" i="227"/>
  <c r="U161" i="227"/>
  <c r="N162" i="227"/>
  <c r="O162" i="227"/>
  <c r="T162" i="227"/>
  <c r="U162" i="227"/>
  <c r="N163" i="227"/>
  <c r="O163" i="227"/>
  <c r="T163" i="227"/>
  <c r="U163" i="227"/>
  <c r="N164" i="227"/>
  <c r="O164" i="227"/>
  <c r="T164" i="227"/>
  <c r="U164" i="227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AB504E88-EF46-4417-A21F-1960416F931B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79E1C071-AB69-4703-8B04-398252540B33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3BF29008-A034-4C87-A096-2E1809270D63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910448D5-4187-49C5-95A2-9685DD35FBA2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086BCD66-F343-457A-8ADB-FD1C2EDB2388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E354AAC7-BC95-461E-94F6-E01A30916602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4406CA27-18E1-49F5-BC10-CB5D4FF14D78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7713CE32-ECD9-47BD-9328-2A064BFCA194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C20" authorId="0" shapeId="0" xr:uid="{0CAA8503-00C9-48DC-86AE-2187A638E640}">
      <text>
        <r>
          <rPr>
            <b/>
            <sz val="10"/>
            <color indexed="81"/>
            <rFont val="Calibri"/>
            <family val="2"/>
          </rPr>
          <t>Microsoft Office User:</t>
        </r>
        <r>
          <rPr>
            <sz val="14"/>
            <color indexed="81"/>
            <rFont val="Calibri"/>
            <family val="2"/>
          </rPr>
          <t xml:space="preserve">
Need to confirm transfer taxes and brokerage commissions combined are 3% or less</t>
        </r>
      </text>
    </comment>
  </commentList>
</comments>
</file>

<file path=xl/sharedStrings.xml><?xml version="1.0" encoding="utf-8"?>
<sst xmlns="http://schemas.openxmlformats.org/spreadsheetml/2006/main" count="8827" uniqueCount="433">
  <si>
    <t>Retail</t>
  </si>
  <si>
    <t>Demolition</t>
  </si>
  <si>
    <t>Affordable</t>
  </si>
  <si>
    <t>Studio</t>
  </si>
  <si>
    <t>1BR</t>
  </si>
  <si>
    <t>2BR</t>
  </si>
  <si>
    <t>3BR</t>
  </si>
  <si>
    <r>
      <rPr>
        <b/>
        <sz val="10"/>
        <color theme="1"/>
        <rFont val="Arial"/>
        <family val="2"/>
      </rPr>
      <t>TEAM</t>
    </r>
    <r>
      <rPr>
        <sz val="10"/>
        <color theme="1"/>
        <rFont val="Arial"/>
        <family val="2"/>
      </rPr>
      <t xml:space="preserve"> #______</t>
    </r>
  </si>
  <si>
    <t>Rents, Sales prices, NOI and cap rates</t>
  </si>
  <si>
    <t>Rent per SF(NNN)</t>
  </si>
  <si>
    <t>Exit Assumptions</t>
  </si>
  <si>
    <t>Rents/Month</t>
  </si>
  <si>
    <t>Sale Prices/SF</t>
  </si>
  <si>
    <t>Cap Rate</t>
  </si>
  <si>
    <t>Average Size in SF</t>
  </si>
  <si>
    <t>Rent or Price PSF</t>
  </si>
  <si>
    <t>Parking</t>
  </si>
  <si>
    <t>NOI Calculation</t>
  </si>
  <si>
    <t>Additional Mixed use revenues after parking</t>
  </si>
  <si>
    <t>Leverage Assumptions</t>
  </si>
  <si>
    <t>Debt percentage</t>
  </si>
  <si>
    <t>Project Cost Estimating parameters</t>
  </si>
  <si>
    <t>Parking Mix</t>
  </si>
  <si>
    <t>Type</t>
  </si>
  <si>
    <t>Basis</t>
  </si>
  <si>
    <t xml:space="preserve">   Parking Ratio Requirements</t>
  </si>
  <si>
    <t xml:space="preserve">     Residential</t>
  </si>
  <si>
    <t>1 space per unit</t>
  </si>
  <si>
    <t xml:space="preserve">     Retail/Office</t>
  </si>
  <si>
    <t>1 space per 1,000 sf</t>
  </si>
  <si>
    <t>Underground, Structure and Surface</t>
  </si>
  <si>
    <t>Parking Costs</t>
  </si>
  <si>
    <t>See Parking Mix table</t>
  </si>
  <si>
    <t xml:space="preserve">    SF per space(including circulation)</t>
  </si>
  <si>
    <t>Hard Cost Contingency</t>
  </si>
  <si>
    <t xml:space="preserve">  Structured Parking</t>
  </si>
  <si>
    <t>Municipal Fees and Allowances</t>
  </si>
  <si>
    <t xml:space="preserve">  Surface Parking</t>
  </si>
  <si>
    <t>Share of Infrastructure</t>
  </si>
  <si>
    <t>Estimated allocation from FPC</t>
  </si>
  <si>
    <t>Lifts</t>
  </si>
  <si>
    <t>Legal</t>
  </si>
  <si>
    <t>Estimate</t>
  </si>
  <si>
    <t>Land Closing Costs/commissions</t>
  </si>
  <si>
    <t xml:space="preserve">    $/space</t>
  </si>
  <si>
    <t xml:space="preserve">Design </t>
  </si>
  <si>
    <t>Monthly Rent / Space</t>
  </si>
  <si>
    <t>Developer Fee</t>
  </si>
  <si>
    <t>Construction Management Fee</t>
  </si>
  <si>
    <t xml:space="preserve">     Public garage</t>
  </si>
  <si>
    <t xml:space="preserve">  Affordable </t>
  </si>
  <si>
    <t>Insurance</t>
  </si>
  <si>
    <t xml:space="preserve">  Suburban Surface</t>
  </si>
  <si>
    <t>Marketing, FFE and Preleasing</t>
  </si>
  <si>
    <t>Operating Deficit</t>
  </si>
  <si>
    <t>Commercial Tenant Improvements</t>
  </si>
  <si>
    <t>Retail and office brokerage</t>
  </si>
  <si>
    <t>Construction Loan Origination</t>
  </si>
  <si>
    <t>Construction Interest</t>
  </si>
  <si>
    <t>Development Program</t>
  </si>
  <si>
    <t>Item</t>
  </si>
  <si>
    <t>Total Cost</t>
  </si>
  <si>
    <t>TOTAL</t>
  </si>
  <si>
    <t>Pre-Development</t>
  </si>
  <si>
    <t>Construction</t>
  </si>
  <si>
    <t>Close-out</t>
  </si>
  <si>
    <t>Return on Cost requirement</t>
  </si>
  <si>
    <t>DEVELOPMENT PLAN</t>
  </si>
  <si>
    <t>Quick Rent Adjuster</t>
  </si>
  <si>
    <t># of Units</t>
  </si>
  <si>
    <t>$/SF/Mo.</t>
  </si>
  <si>
    <t>Total Annual</t>
  </si>
  <si>
    <t>Studios</t>
  </si>
  <si>
    <t>1 bedroom/1 bath</t>
  </si>
  <si>
    <t>2 bedroom/2 bath</t>
  </si>
  <si>
    <t>3 bedroom/3 bath</t>
  </si>
  <si>
    <t>Totals:</t>
  </si>
  <si>
    <t>Averages:</t>
  </si>
  <si>
    <t>NNN Rent</t>
  </si>
  <si>
    <t>Residential</t>
  </si>
  <si>
    <t>Commercial</t>
  </si>
  <si>
    <t>NET OPERATING INCOME</t>
  </si>
  <si>
    <t>Per Unit</t>
  </si>
  <si>
    <t>Un-Trended</t>
  </si>
  <si>
    <t>Other Income</t>
  </si>
  <si>
    <t>Additional Income</t>
  </si>
  <si>
    <t>Total Other Income</t>
  </si>
  <si>
    <t>Effective Gross Income</t>
  </si>
  <si>
    <t>EXPENSES</t>
  </si>
  <si>
    <t>Total Operating Expenses</t>
  </si>
  <si>
    <t>Net Operating Income</t>
  </si>
  <si>
    <t>Market Cap Rate=</t>
  </si>
  <si>
    <t>BASIS</t>
  </si>
  <si>
    <t xml:space="preserve">   Budget     </t>
  </si>
  <si>
    <t>Hard Costs for Construction</t>
  </si>
  <si>
    <t>Infrastructure allocation</t>
  </si>
  <si>
    <t>Taxes</t>
  </si>
  <si>
    <t>Additional Contingency</t>
  </si>
  <si>
    <t>Total Project Cost</t>
  </si>
  <si>
    <t>Yield on cost</t>
  </si>
  <si>
    <t>Return on cost</t>
  </si>
  <si>
    <t>FINANCING</t>
  </si>
  <si>
    <t>Total</t>
  </si>
  <si>
    <t>Gap Funding reduction</t>
  </si>
  <si>
    <t>Private financing Amount</t>
  </si>
  <si>
    <t>Total Sources</t>
  </si>
  <si>
    <t>SALES ANALYSIS</t>
  </si>
  <si>
    <t>Untrended</t>
  </si>
  <si>
    <t>Gross Sales Proceeds</t>
  </si>
  <si>
    <t>Net Sales Proceeds</t>
  </si>
  <si>
    <t>LESS: Construction Debt</t>
  </si>
  <si>
    <t>LESS: Investor Equity</t>
  </si>
  <si>
    <t>Net Profit</t>
  </si>
  <si>
    <t>YIELD INDICATORS</t>
  </si>
  <si>
    <t>Equity multiple</t>
  </si>
  <si>
    <t>Leveraged Project IRR</t>
  </si>
  <si>
    <t>UnLeveraged Project IRR</t>
  </si>
  <si>
    <t>Debt Yield</t>
  </si>
  <si>
    <t>Exit Cap Rate</t>
  </si>
  <si>
    <t>Schedule----&gt;</t>
  </si>
  <si>
    <t>Duration----&gt;</t>
  </si>
  <si>
    <t>Predevelopment ends</t>
  </si>
  <si>
    <t>Construction begins</t>
  </si>
  <si>
    <t>Construction ends</t>
  </si>
  <si>
    <t>Close-out begins</t>
  </si>
  <si>
    <t>Close-out ends</t>
  </si>
  <si>
    <t>&lt;---- columns to unhide for longer development period</t>
  </si>
  <si>
    <t>TOTAL EXPENDED</t>
  </si>
  <si>
    <t>TOTAL COST</t>
  </si>
  <si>
    <t>Hard Cost Draw Percentage</t>
  </si>
  <si>
    <t>difference</t>
  </si>
  <si>
    <t>Gap Funding</t>
  </si>
  <si>
    <t>Net Total Private Financing</t>
  </si>
  <si>
    <t>Equity DRAW</t>
  </si>
  <si>
    <t>TOTAL Equity</t>
  </si>
  <si>
    <t>Permanent loan debt</t>
  </si>
  <si>
    <t>Total annual debt service</t>
  </si>
  <si>
    <t>Operating cash flow during closeout</t>
  </si>
  <si>
    <t>Leveraged</t>
  </si>
  <si>
    <t>Net Proceeds from Sale after debt repayment</t>
  </si>
  <si>
    <t>Leveraged QUARTERLY IRR</t>
  </si>
  <si>
    <t>Leveraged Annual IRR</t>
  </si>
  <si>
    <t>Unleveraged</t>
  </si>
  <si>
    <t>Total Net proceeds from Sale+GAP FUNDING</t>
  </si>
  <si>
    <t>UNLeveraged QUARTERLY TOTAL Cash flow</t>
  </si>
  <si>
    <t>UNLeveraged QUARTERLY IRR</t>
  </si>
  <si>
    <t>UNLeveraged Annual IRR</t>
  </si>
  <si>
    <t>Leveraged Quarterly IRR</t>
  </si>
  <si>
    <t>ALL Draw-all parcels</t>
  </si>
  <si>
    <t>Quarter----&gt;</t>
  </si>
  <si>
    <t>UNLeveraged Quarterly TOTAL Cash flow</t>
  </si>
  <si>
    <t>UNLeveraged Quarterly IRR</t>
  </si>
  <si>
    <t>Parcel Number</t>
  </si>
  <si>
    <t>Owner</t>
  </si>
  <si>
    <t>Address</t>
  </si>
  <si>
    <t>105-02-001</t>
  </si>
  <si>
    <t>Lake Shore Acquisition Company LLC</t>
  </si>
  <si>
    <t>6800 South Marginal Ave</t>
  </si>
  <si>
    <t>105-02-007</t>
  </si>
  <si>
    <t>City of Cleveland Land Reutlization Program</t>
  </si>
  <si>
    <t>5700 South Marginal Road</t>
  </si>
  <si>
    <t>105-02-002</t>
  </si>
  <si>
    <t>5500 North Maringal Cleveland Memorial Shwy Drive</t>
  </si>
  <si>
    <t>2025 Site parcels</t>
  </si>
  <si>
    <t>Equity quarterly draw</t>
  </si>
  <si>
    <t>45 Erieview Plz-The Bell</t>
  </si>
  <si>
    <t>99 W Saint Clair Ave - Standard Building</t>
  </si>
  <si>
    <t>526 Superior Ave E - Residences at Leader</t>
  </si>
  <si>
    <t>1701 E 12th St - Reserve Square</t>
  </si>
  <si>
    <t>10001 Chester Ave - Innova</t>
  </si>
  <si>
    <t>11471 Euclid Ave - Uptown Apartments</t>
  </si>
  <si>
    <t>Location</t>
  </si>
  <si>
    <t>Location-wide</t>
  </si>
  <si>
    <t>Downtown</t>
  </si>
  <si>
    <t>University Circle</t>
  </si>
  <si>
    <t>Apartment</t>
  </si>
  <si>
    <t>Apartments Condo</t>
  </si>
  <si>
    <t>Stories</t>
  </si>
  <si>
    <t>GBA</t>
  </si>
  <si>
    <t>Typical Floor</t>
  </si>
  <si>
    <t># of Buildings</t>
  </si>
  <si>
    <t>Rental Type</t>
  </si>
  <si>
    <t>Market</t>
  </si>
  <si>
    <t>Market/Affordable</t>
  </si>
  <si>
    <t>Year Renovated</t>
  </si>
  <si>
    <t>Opportunity Zone</t>
  </si>
  <si>
    <t>Yes</t>
  </si>
  <si>
    <t>Infrastructure</t>
  </si>
  <si>
    <t>Nearby Station</t>
  </si>
  <si>
    <t>Retail District</t>
  </si>
  <si>
    <t>Civic</t>
  </si>
  <si>
    <t>Student Housing 1</t>
  </si>
  <si>
    <t>Student Housing 2</t>
  </si>
  <si>
    <t>Student Housing 3</t>
  </si>
  <si>
    <t>A</t>
  </si>
  <si>
    <t>B</t>
  </si>
  <si>
    <t>C</t>
  </si>
  <si>
    <t>D</t>
  </si>
  <si>
    <t>H</t>
  </si>
  <si>
    <t>E</t>
  </si>
  <si>
    <t>F</t>
  </si>
  <si>
    <t>G</t>
  </si>
  <si>
    <t>District</t>
  </si>
  <si>
    <t>Gross Building Area</t>
  </si>
  <si>
    <t>Laboratory</t>
  </si>
  <si>
    <t>Student Housing</t>
  </si>
  <si>
    <t>Buildings</t>
  </si>
  <si>
    <t>Stalls</t>
  </si>
  <si>
    <t>GBA SF</t>
  </si>
  <si>
    <t>SF</t>
  </si>
  <si>
    <t>Efficiency Ratio Table</t>
  </si>
  <si>
    <t>1600 Euclid Ave - The Lumen</t>
  </si>
  <si>
    <t>10730 Euclid Ave - One University Circle</t>
  </si>
  <si>
    <t>1999 Circle Dr - Centric</t>
  </si>
  <si>
    <t>Specific</t>
  </si>
  <si>
    <t>4-Star High Rise Apartments</t>
  </si>
  <si>
    <t>4-Star High Rise Apartments Condo</t>
  </si>
  <si>
    <t>4-Star Mid Rise Apartments</t>
  </si>
  <si>
    <t>Land Size (ac)</t>
  </si>
  <si>
    <t>Land Size (sf)</t>
  </si>
  <si>
    <t>FAR</t>
  </si>
  <si>
    <t>Zoning</t>
  </si>
  <si>
    <t>GR</t>
  </si>
  <si>
    <t>Construction Start</t>
  </si>
  <si>
    <t>Construction End</t>
  </si>
  <si>
    <t>Construction Period</t>
  </si>
  <si>
    <t>Affordable Units</t>
  </si>
  <si>
    <t>Affordable Type</t>
  </si>
  <si>
    <t>Rent Restricted</t>
  </si>
  <si>
    <t>Vacancy</t>
  </si>
  <si>
    <t>Unit Composition</t>
  </si>
  <si>
    <t>1 Bed</t>
  </si>
  <si>
    <t>2 Bed</t>
  </si>
  <si>
    <t>3 Bed</t>
  </si>
  <si>
    <t>4 Bed</t>
  </si>
  <si>
    <t>Unit Composition Ratio</t>
  </si>
  <si>
    <t>Average Size (sf)</t>
  </si>
  <si>
    <t>Average Total</t>
  </si>
  <si>
    <t>Average Asking Rent/Unit</t>
  </si>
  <si>
    <t>Average total</t>
  </si>
  <si>
    <t>Average Asking Rent/SF</t>
  </si>
  <si>
    <t>Total # of Units Available</t>
  </si>
  <si>
    <t>Category</t>
  </si>
  <si>
    <t>NRASF</t>
  </si>
  <si>
    <t>Multifamily 1</t>
  </si>
  <si>
    <t>Multifamily 2</t>
  </si>
  <si>
    <t>Multifamily 3</t>
  </si>
  <si>
    <t>Multifamily 4</t>
  </si>
  <si>
    <t>Multifamily 5</t>
  </si>
  <si>
    <t>Multifamily 6</t>
  </si>
  <si>
    <t>Multifamily 7</t>
  </si>
  <si>
    <t>Bedroom Models</t>
  </si>
  <si>
    <t># of Beds</t>
  </si>
  <si>
    <t>Market Rate Multifamily Rents and Sales Prices</t>
  </si>
  <si>
    <t>1 bedroom</t>
  </si>
  <si>
    <t>2 bedroom</t>
  </si>
  <si>
    <t>3 bedroom</t>
  </si>
  <si>
    <t>Total # of Beds Available</t>
  </si>
  <si>
    <t>Student Housing Unit Type % Table</t>
  </si>
  <si>
    <t>Building Name</t>
  </si>
  <si>
    <t>Contains Residential?</t>
  </si>
  <si>
    <t>Contains Resi and Parking?</t>
  </si>
  <si>
    <t>Parking lot</t>
  </si>
  <si>
    <t>School</t>
  </si>
  <si>
    <t>Civic+Retail</t>
  </si>
  <si>
    <t xml:space="preserve"> </t>
  </si>
  <si>
    <t>I</t>
  </si>
  <si>
    <t>Parking Criteria</t>
  </si>
  <si>
    <t>Gross Multifamily Rental Income</t>
  </si>
  <si>
    <t>Non-Residential</t>
  </si>
  <si>
    <t>Parking Income - Residential</t>
  </si>
  <si>
    <t>Parking Income - Non-Residential</t>
  </si>
  <si>
    <t>$/stall</t>
  </si>
  <si>
    <t xml:space="preserve">    Unbundled rent/space (Residential)</t>
  </si>
  <si>
    <t xml:space="preserve">    Unbundled rent/space (Non-Residential)</t>
  </si>
  <si>
    <t>Gross Rental Income</t>
  </si>
  <si>
    <t>Per Unit Res</t>
  </si>
  <si>
    <t>Per SF Res</t>
  </si>
  <si>
    <t>Per SF Non-Res</t>
  </si>
  <si>
    <t>Per SF Total</t>
  </si>
  <si>
    <t>Rental Income: Multifamily</t>
  </si>
  <si>
    <t>Rental Income: Retail</t>
  </si>
  <si>
    <t>Per Gross SF Res</t>
  </si>
  <si>
    <t>Per Gross SF Non-Res</t>
  </si>
  <si>
    <t>Educational/Civic Type</t>
  </si>
  <si>
    <t>University</t>
  </si>
  <si>
    <t>University 1</t>
  </si>
  <si>
    <t>University 2</t>
  </si>
  <si>
    <t>-</t>
  </si>
  <si>
    <t>Parking Within?</t>
  </si>
  <si>
    <t>Residential Type 2</t>
  </si>
  <si>
    <t>Multifamily-Market</t>
  </si>
  <si>
    <t>Multifamily-Affordable</t>
  </si>
  <si>
    <t>Residential Type 1</t>
  </si>
  <si>
    <t>Commercial Type 2</t>
  </si>
  <si>
    <t>Commercial Type 1</t>
  </si>
  <si>
    <t>Net Rentable Area SF (NRASF)</t>
  </si>
  <si>
    <t>Total Annual Revenue</t>
  </si>
  <si>
    <t>Net Available Rentable Area SF</t>
  </si>
  <si>
    <t>Commercial Component 1</t>
  </si>
  <si>
    <t>Commercial Component 2</t>
  </si>
  <si>
    <t>Gross SF</t>
  </si>
  <si>
    <t>Educational/Civic Component</t>
  </si>
  <si>
    <t>Retail Buildings</t>
  </si>
  <si>
    <t>Multifamily+Retail 2</t>
  </si>
  <si>
    <t>Multifamily+Retail 3</t>
  </si>
  <si>
    <t>Multifamily+Retail 1</t>
  </si>
  <si>
    <t>Laboratory 5</t>
  </si>
  <si>
    <t>Laboratory 1</t>
  </si>
  <si>
    <t>Laboratory 2</t>
  </si>
  <si>
    <t>Laboratory 3</t>
  </si>
  <si>
    <t>Laboratory 4</t>
  </si>
  <si>
    <t>Residential Type 3</t>
  </si>
  <si>
    <t>Gross Commercial Rental Income</t>
  </si>
  <si>
    <t>Gross Educational/Civic Rental Income</t>
  </si>
  <si>
    <t>Parking Allocation</t>
  </si>
  <si>
    <t>Commercial brokerage</t>
  </si>
  <si>
    <t>Building Value</t>
  </si>
  <si>
    <t>COSTS</t>
  </si>
  <si>
    <t>Building COSTS</t>
  </si>
  <si>
    <t>Budget</t>
  </si>
  <si>
    <t>Total Project Value</t>
  </si>
  <si>
    <t>Total Project Overview</t>
  </si>
  <si>
    <t>Multifamily Largest</t>
  </si>
  <si>
    <t>Acquisition or Lease Required</t>
  </si>
  <si>
    <t>Given</t>
  </si>
  <si>
    <t>Status</t>
  </si>
  <si>
    <t>Building Type</t>
  </si>
  <si>
    <t>Type 1</t>
  </si>
  <si>
    <t>Type 3 over Type 1</t>
  </si>
  <si>
    <t>Affordable Housing Rents and Sales Prices</t>
  </si>
  <si>
    <t>Phase 1</t>
  </si>
  <si>
    <t>Phase 2</t>
  </si>
  <si>
    <t>Phase 3</t>
  </si>
  <si>
    <t>Phase 4</t>
  </si>
  <si>
    <t>Phase</t>
  </si>
  <si>
    <t>No.of Residential Units (Market)</t>
  </si>
  <si>
    <t>No.of Residential Units (Affordable)</t>
  </si>
  <si>
    <t>Close-Out</t>
  </si>
  <si>
    <t>O</t>
  </si>
  <si>
    <t>Building Timeline</t>
  </si>
  <si>
    <t>Timeline</t>
  </si>
  <si>
    <t>Acre</t>
  </si>
  <si>
    <t>Residential Type 4</t>
  </si>
  <si>
    <t>Multifamily-Market-Sale</t>
  </si>
  <si>
    <t>Unit Size (SF)</t>
  </si>
  <si>
    <t>Price/SF</t>
  </si>
  <si>
    <t>Total Sales Value</t>
  </si>
  <si>
    <t>Net Available Unit Area SF</t>
  </si>
  <si>
    <t>Educational/Civic</t>
  </si>
  <si>
    <t>Multifamily - Rental Unit Type % Table</t>
  </si>
  <si>
    <t>Multifamily - Sales Unit Type % Table</t>
  </si>
  <si>
    <t>Market Rate Student Housing Rents</t>
  </si>
  <si>
    <t>INCOME-Rental</t>
  </si>
  <si>
    <t>INCOME-Sales</t>
  </si>
  <si>
    <t>SALES INCOME</t>
  </si>
  <si>
    <t>Value=NOI/Cap</t>
  </si>
  <si>
    <t>Road expansion</t>
  </si>
  <si>
    <t>Water feature/park</t>
  </si>
  <si>
    <t>Plaza</t>
  </si>
  <si>
    <t>Bioswales</t>
  </si>
  <si>
    <t>Land</t>
  </si>
  <si>
    <t>Addison Road</t>
  </si>
  <si>
    <t>Bus Stations</t>
  </si>
  <si>
    <t>Residential Type 5</t>
  </si>
  <si>
    <t>Multifamily-Affordable-Sale</t>
  </si>
  <si>
    <t>Hard Cost Construction</t>
  </si>
  <si>
    <t>Pre-Development Duration</t>
  </si>
  <si>
    <t>Construction Duration</t>
  </si>
  <si>
    <t>18 Months</t>
  </si>
  <si>
    <t>15 Months</t>
  </si>
  <si>
    <t>1/1/26 to 3/31/27</t>
  </si>
  <si>
    <t>1/1/26 to 12/31/26</t>
  </si>
  <si>
    <t>1/1/26 to 6/30/27</t>
  </si>
  <si>
    <t>1/1/27 to 3/31/28</t>
  </si>
  <si>
    <t>7/1/27 to 6/30/29</t>
  </si>
  <si>
    <t>Close-out Duration</t>
  </si>
  <si>
    <t>3 Months</t>
  </si>
  <si>
    <t>6 Months</t>
  </si>
  <si>
    <t>7/1/29 to 9/30/29</t>
  </si>
  <si>
    <t>Individual Components</t>
  </si>
  <si>
    <t>Sales Value</t>
  </si>
  <si>
    <t>Rental Assets Value</t>
  </si>
  <si>
    <t>Infrastructure Allocation</t>
  </si>
  <si>
    <t>Land Cost</t>
  </si>
  <si>
    <t>Condominium</t>
  </si>
  <si>
    <t>Multifamily 8</t>
  </si>
  <si>
    <t>Apartments 1</t>
  </si>
  <si>
    <t>Apartments 2</t>
  </si>
  <si>
    <t>1/1/28 to 3/31/29</t>
  </si>
  <si>
    <t>10/1/28 to 12/31/29</t>
  </si>
  <si>
    <t>7/1/31 to 12/31/31</t>
  </si>
  <si>
    <t>1/1/29 to 3/31/30</t>
  </si>
  <si>
    <t>10/1/29 to 12/31/30</t>
  </si>
  <si>
    <t>4/1/32 to 9/30/32</t>
  </si>
  <si>
    <t>4/1/27 to 9/30/28</t>
  </si>
  <si>
    <t>10/1/28 to 3/31/28</t>
  </si>
  <si>
    <t>1/1/27 to 6/30/28</t>
  </si>
  <si>
    <t>7/1/28 to 9/30/28</t>
  </si>
  <si>
    <t>24 Months</t>
  </si>
  <si>
    <t>4/1/28 to 3/31/30</t>
  </si>
  <si>
    <t>4/1/30 to 9/30/30</t>
  </si>
  <si>
    <t>27 Months</t>
  </si>
  <si>
    <t>4/1/29 to 6/30/31</t>
  </si>
  <si>
    <t>1/1/30 to 3/31/32</t>
  </si>
  <si>
    <t>36 Months</t>
  </si>
  <si>
    <t>4/1/30 to 3/31/33</t>
  </si>
  <si>
    <t>4/1/33 to 9/30/33</t>
  </si>
  <si>
    <t>1/1/31 to 12/31/32</t>
  </si>
  <si>
    <t>1/1/33 to 6/30/33</t>
  </si>
  <si>
    <t>Retail (Type III over Type I)</t>
  </si>
  <si>
    <t>Residential/Mixed (Type I)</t>
  </si>
  <si>
    <t>Residential/Mixed (Type III over Type I)</t>
  </si>
  <si>
    <t>Laboratory (Type I)</t>
  </si>
  <si>
    <t>Taxes during construction (Cleveland)</t>
  </si>
  <si>
    <t>Tax rate approxmiation over Value</t>
  </si>
  <si>
    <t>Total NOI Generated</t>
  </si>
  <si>
    <t>Subsidy Allocation</t>
  </si>
  <si>
    <t>CHIF</t>
  </si>
  <si>
    <t>Total Amount</t>
  </si>
  <si>
    <t>Infrastructure Cost less Subsidy</t>
  </si>
  <si>
    <t>Predevelopment starts</t>
  </si>
  <si>
    <t>4/1/29 to 3/31/31</t>
  </si>
  <si>
    <t>4/1/31 to 9/30/31</t>
  </si>
  <si>
    <t>Multifamily Rental</t>
  </si>
  <si>
    <t>Lab-Office</t>
  </si>
  <si>
    <t>LIHTC After Phase 1</t>
  </si>
  <si>
    <t>LIHTC After Phase 3</t>
  </si>
  <si>
    <t>Plaza 2</t>
  </si>
  <si>
    <t>Residential Units (Affordable)</t>
  </si>
  <si>
    <t>Residential Units (Market)</t>
  </si>
  <si>
    <t>Mainly Used</t>
  </si>
  <si>
    <t>Higher debt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</si>
</sst>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40">
    <numFmt numFmtId="5" formatCode="&quot;$&quot;#,##0_);\(&quot;$&quot;#,##0\)"/>
    <numFmt numFmtId="6" formatCode="&quot;$&quot;#,##0_);[Red]\(&quot;$&quot;#,##0\)"/>
    <numFmt numFmtId="7" formatCode="&quot;$&quot;#,##0.00_);\(&quot;$&quot;#,##0.00\)"/>
    <numFmt numFmtId="8" formatCode="&quot;$&quot;#,##0.00_);[Red]\(&quot;$&quot;#,##0.00\)"/>
    <numFmt numFmtId="42" formatCode="_(&quot;$&quot;* #,##0_);_(&quot;$&quot;* \(#,##0\);_(&quot;$&quot;* &quot;-&quot;_);_(@_)"/>
    <numFmt numFmtId="41" formatCode="_(* #,##0_);_(* \(#,##0\);_(* &quot;-&quot;_);_(@_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&quot;$&quot;#,##0;[Red]\-&quot;$&quot;#,##0"/>
    <numFmt numFmtId="165" formatCode="&quot;$&quot;#,##0.00"/>
    <numFmt numFmtId="166" formatCode="&quot;$&quot;#,##0"/>
    <numFmt numFmtId="167" formatCode="0.0%"/>
    <numFmt numFmtId="168" formatCode="_(* #,##0_);_(* \(#,##0\);_(* &quot;-&quot;??_);_(@_)"/>
    <numFmt numFmtId="169" formatCode="_(&quot;$&quot;* #,##0_);_(&quot;$&quot;* \(#,##0\);_(&quot;$&quot;* &quot;-&quot;??_);_(@_)"/>
    <numFmt numFmtId="170" formatCode="#,##0.0"/>
    <numFmt numFmtId="171" formatCode="0.0"/>
    <numFmt numFmtId="172" formatCode="[$-409]mmm\-yy;@"/>
    <numFmt numFmtId="173" formatCode="&quot;LESS:&quot;\ #%\ \ &quot;Selling Costs&quot;"/>
    <numFmt numFmtId="174" formatCode="&quot;LESS:&quot;\ #%\ &quot;Vacancy&quot;"/>
    <numFmt numFmtId="175" formatCode="&quot;Density=&quot;#\ &quot;Units/Acre&quot;"/>
    <numFmt numFmtId="176" formatCode="##,###&quot; SF&quot;"/>
    <numFmt numFmtId="177" formatCode="###&quot; SF&quot;"/>
    <numFmt numFmtId="178" formatCode="&quot;Studio---&quot;#%"/>
    <numFmt numFmtId="179" formatCode="###\ &quot;Units&quot;"/>
    <numFmt numFmtId="180" formatCode="##%\ \ \ &quot;Debt&quot;"/>
    <numFmt numFmtId="181" formatCode="##%\ \ \ &quot;Equity&quot;"/>
    <numFmt numFmtId="182" formatCode="#.##%\ "/>
    <numFmt numFmtId="183" formatCode="&quot;$&quot;#,##0;\(&quot;$&quot;#,##0\)"/>
    <numFmt numFmtId="184" formatCode="&quot;$&quot;#,##0.0;\(&quot;$&quot;#,##0.0\)"/>
    <numFmt numFmtId="185" formatCode="&quot;$&quot;#,##0.00;\(&quot;$&quot;#,##0.00\)"/>
    <numFmt numFmtId="186" formatCode="0.0_)\%;\(0.0\)\%;0.0_)\%;@_)_%"/>
    <numFmt numFmtId="187" formatCode="#,##0.0_)_%;\(#,##0.0\)_%;0.0_)_%;@_)_%"/>
    <numFmt numFmtId="188" formatCode="#,##0.0_);\(#,##0.0\);#,##0.0_);@_)"/>
    <numFmt numFmtId="189" formatCode="#,##0.0_);\(#,##0.0\)"/>
    <numFmt numFmtId="190" formatCode="&quot;$&quot;_(#,##0.00_);&quot;$&quot;\(#,##0.00\);&quot;$&quot;_(0.00_);@_)"/>
    <numFmt numFmtId="191" formatCode="&quot;$&quot;_(#,##0.00_);&quot;$&quot;\(#,##0.00\)"/>
    <numFmt numFmtId="192" formatCode="&quot;\&quot;_(#,##0.00_);&quot;\&quot;\(#,##0.00\)"/>
    <numFmt numFmtId="193" formatCode="#,##0.00_);\(#,##0.00\);0.00_);@_)"/>
    <numFmt numFmtId="194" formatCode="\€_(#,##0.00_);\€\(#,##0.00\);\€_(0.00_);@_)"/>
    <numFmt numFmtId="195" formatCode="#,##0_)\x;\(#,##0\)\x;0_)\x;@_)_x"/>
    <numFmt numFmtId="196" formatCode="#,##0.0_)\x;\(#,##0.0\)\x"/>
    <numFmt numFmtId="197" formatCode="#,##0_)_x;\(#,##0\)_x;0_)_x;@_)_x"/>
    <numFmt numFmtId="198" formatCode="m/d/yy\ h:mm\ AM/PM"/>
    <numFmt numFmtId="199" formatCode="#,##0.0_)_x;\(#,##0.0\)_x"/>
    <numFmt numFmtId="200" formatCode="0.0_)\%;\(0.0\)\%"/>
    <numFmt numFmtId="201" formatCode="mmmm\ d\,\ yyyy"/>
    <numFmt numFmtId="202" formatCode="#,##0.0_)_%;\(#,##0.0\)_%"/>
    <numFmt numFmtId="203" formatCode="General_)"/>
    <numFmt numFmtId="204" formatCode="0.0\ \x"/>
    <numFmt numFmtId="205" formatCode="&quot;$&quot;#,##0.000_);\(&quot;$&quot;#,##0.000\)"/>
    <numFmt numFmtId="206" formatCode="m\-d\-yy"/>
    <numFmt numFmtId="207" formatCode="#,##0_);\(#,##0\);&quot;- &quot;"/>
    <numFmt numFmtId="208" formatCode="0.0%;\(0.0%\);&quot;- &quot;"/>
    <numFmt numFmtId="209" formatCode="mm/dd/yy_)"/>
    <numFmt numFmtId="210" formatCode="#,##0;\-#,##0;&quot;-&quot;"/>
    <numFmt numFmtId="211" formatCode="#,##0.00;\(#,##0.00"/>
    <numFmt numFmtId="212" formatCode="d\ mmm\ yy"/>
    <numFmt numFmtId="213" formatCode="#,##0.0_);[Red]\(#,##0.0\)"/>
    <numFmt numFmtId="214" formatCode="_(* #,##0.0_);_(* \(#,##0.0\);_(* &quot;-&quot;?_);_(@_)"/>
    <numFmt numFmtId="215" formatCode="#,##0_%_);\(#,##0\)_%;**;@_%_)"/>
    <numFmt numFmtId="216" formatCode="#,##0_%_);\(#,##0\)_%;#,##0_%_);@_%_)"/>
    <numFmt numFmtId="217" formatCode="&quot;$&quot;#,##0\ ;\(&quot;$&quot;#,##0\)"/>
    <numFmt numFmtId="218" formatCode="&quot;$&quot;#,##0.0\ ;\(&quot;$&quot;#,##0.0\)"/>
    <numFmt numFmtId="219" formatCode="0.00\x"/>
    <numFmt numFmtId="220" formatCode="m/d/yyyy\ \ h:mm\ AM/PM"/>
    <numFmt numFmtId="221" formatCode="#,##0;\(#,##0\)"/>
    <numFmt numFmtId="222" formatCode="#,##0.0;\(#,##0.0\)"/>
    <numFmt numFmtId="223" formatCode="\ #,##0.0_);\(#,##0.0\);\-\ \ ??"/>
    <numFmt numFmtId="224" formatCode="&quot;$&quot;#,##0.0_);\(&quot;$&quot;#,##0.0\)"/>
    <numFmt numFmtId="225" formatCode="&quot;$&quot;#,##0.0"/>
    <numFmt numFmtId="226" formatCode="_-* #,##0.00\ [$€-1]_-;\-* #,##0.00\ [$€-1]_-;_-* &quot;-&quot;??\ [$€-1]_-"/>
    <numFmt numFmtId="227" formatCode="00"/>
    <numFmt numFmtId="228" formatCode=";;;"/>
    <numFmt numFmtId="229" formatCode="0.00_)"/>
    <numFmt numFmtId="230" formatCode="mm/yyyy"/>
    <numFmt numFmtId="231" formatCode="&quot;Standard&quot;_);;&quot;Reverse&quot;_)"/>
    <numFmt numFmtId="232" formatCode="_-* #,##0_-;\-* #,##0_-;_-* &quot;-&quot;_-;_-@_-"/>
    <numFmt numFmtId="233" formatCode="_-* #,##0.00_-;\-* #,##0.00_-;_-* &quot;-&quot;??_-;_-@_-"/>
    <numFmt numFmtId="234" formatCode="#,##0.00&quot; F&quot;_);\(#,##0.00&quot; F&quot;\)"/>
    <numFmt numFmtId="235" formatCode="#,##0&quot; $&quot;;\-#,##0&quot; $&quot;"/>
    <numFmt numFmtId="236" formatCode="_-* #,##0\ _F_-;\-* #,##0\ _F_-;_-* &quot;-&quot;\ _F_-;_-@_-"/>
    <numFmt numFmtId="237" formatCode="_-* #,##0.00\ &quot;F&quot;_-;\-* #,##0.00\ &quot;F&quot;_-;_-* &quot;-&quot;??\ &quot;F&quot;_-;_-@_-"/>
    <numFmt numFmtId="238" formatCode="_-* #,##0\ &quot;Esc.&quot;_-;\-* #,##0\ &quot;Esc.&quot;_-;_-* &quot;-&quot;\ &quot;Esc.&quot;_-;_-@_-"/>
    <numFmt numFmtId="239" formatCode="#,##0.00&quot;$&quot;;[Red]\-#,##0.00&quot;$&quot;"/>
    <numFmt numFmtId="240" formatCode="#,##0&quot; F&quot;_);[Red]\(#,##0&quot; F&quot;\)"/>
    <numFmt numFmtId="241" formatCode="#,##0.00&quot; F&quot;_);[Red]\(#,##0.00&quot; F&quot;\)"/>
    <numFmt numFmtId="242" formatCode="_-* #,##0\ &quot;F&quot;_-;\-* #,##0\ &quot;F&quot;_-;_-* &quot;-&quot;\ &quot;F&quot;_-;_-@_-"/>
    <numFmt numFmtId="243" formatCode="0.0_x_);\(0.0\)_x"/>
    <numFmt numFmtId="244" formatCode="0.0\x_);\(0.0\x\)"/>
    <numFmt numFmtId="245" formatCode="0.0\x_)_);&quot;NM&quot;_x_)_);0.0\x_)_);@_%_)"/>
    <numFmt numFmtId="246" formatCode="_(* #,##0.0000_);_(* \(#,##0.0000\);_(* &quot;-&quot;??_);_(@_)"/>
    <numFmt numFmtId="247" formatCode="0.0%;\(0.0%\)"/>
    <numFmt numFmtId="248" formatCode="#,##0_ "/>
    <numFmt numFmtId="249" formatCode="&quot;$&quot;#,##0.00_);\(&quot;$&quot;#,##0.00\);\-\ ??"/>
    <numFmt numFmtId="250" formatCode="[&lt;=9999999]###\-####;\(###\)\ ###\-####"/>
    <numFmt numFmtId="251" formatCode="#,##0.0\%_);\(#,##0.0\%\);#,##0.0\%_);@_%_)"/>
    <numFmt numFmtId="252" formatCode="#,##0.0_x\);\(#,##0.0\)"/>
    <numFmt numFmtId="253" formatCode="_(&quot;$&quot;* #,##0.0000000000000_);_(&quot;$&quot;* \(#,##0.0000000000000\);_(&quot;$&quot;* &quot;-&quot;??_);_(@_)"/>
    <numFmt numFmtId="254" formatCode="_-* #,##0\ _E_s_c_._-;\-* #,##0\ _E_s_c_._-;_-* &quot;-&quot;\ _E_s_c_._-;_-@_-"/>
    <numFmt numFmtId="255" formatCode="_(&quot;$&quot;* #,##0.000_);_(&quot;$&quot;* \(#,##0.000\);_(&quot;$&quot;* &quot;-&quot;??_);_(@_)"/>
    <numFmt numFmtId="256" formatCode="_-&quot;L.&quot;\ * #,##0_-;\-&quot;L.&quot;\ * #,##0_-;_-&quot;L.&quot;\ * &quot;-&quot;_-;_-@_-"/>
    <numFmt numFmtId="257" formatCode="_-&quot;L.&quot;\ * #,##0.00_-;\-&quot;L.&quot;\ * #,##0.00_-;_-&quot;L.&quot;\ * &quot;-&quot;??_-;_-@_-"/>
    <numFmt numFmtId="258" formatCode="0\ \ ;\(0\)\ \ \ "/>
    <numFmt numFmtId="259" formatCode="&quot;Yes&quot;;;&quot;No&quot;"/>
    <numFmt numFmtId="260" formatCode="#,###\ &quot;SF Retail Income&quot;"/>
    <numFmt numFmtId="261" formatCode="##%\ &quot;of GMP costs&quot;"/>
    <numFmt numFmtId="262" formatCode="&quot;$&quot;##,###\ &quot;per unit&quot;"/>
    <numFmt numFmtId="263" formatCode="##%\ &quot;of total hard costs&quot;"/>
    <numFmt numFmtId="264" formatCode="&quot;$&quot;###\ &quot;per SF of retail&quot;"/>
    <numFmt numFmtId="265" formatCode="##.00%\ &quot;of loan amount&quot;"/>
    <numFmt numFmtId="267" formatCode="&quot;$&quot;###\ &quot;per SF net leasable&quot;"/>
    <numFmt numFmtId="268" formatCode="#\ &quot;Months of OPEX&quot;"/>
    <numFmt numFmtId="270" formatCode="#%\ &quot;on a five year term&quot;"/>
    <numFmt numFmtId="271" formatCode="##%\ &quot;of Project Budget&quot;"/>
    <numFmt numFmtId="273" formatCode="&quot;Gap at&quot;\ ##%"/>
    <numFmt numFmtId="275" formatCode="##.0%\ &quot;of gross revenue&quot;"/>
    <numFmt numFmtId="276" formatCode="##%\ &quot;of loan amount&quot;"/>
    <numFmt numFmtId="279" formatCode="##\ &quot;stories&quot;"/>
    <numFmt numFmtId="283" formatCode="#,###\ &quot;SF&quot;"/>
    <numFmt numFmtId="285" formatCode="&quot;Retail&quot;\ #,###\ &quot;SF&quot;"/>
    <numFmt numFmtId="286" formatCode="#,###\ &quot;Units&quot;"/>
    <numFmt numFmtId="287" formatCode="m/d/yy;@"/>
    <numFmt numFmtId="288" formatCode="&quot;Commercial&quot;\ #,###\ &quot;SF&quot;"/>
    <numFmt numFmtId="289" formatCode="&quot;Feasible Project Costs at&quot;\ ##%\ &quot;ROC&quot;"/>
    <numFmt numFmtId="290" formatCode="_(* #,##0.0_);_(* \(#,##0.0\);_(* &quot;-&quot;??_);_(@_)"/>
    <numFmt numFmtId="291" formatCode="0%\ &quot;Efficiency&quot;"/>
    <numFmt numFmtId="292" formatCode="0\ &quot;Months&quot;"/>
    <numFmt numFmtId="293" formatCode="&quot;$&quot;###\ &quot;per SF of Commercial&quot;"/>
    <numFmt numFmtId="294" formatCode="00000"/>
    <numFmt numFmtId="295" formatCode="&quot;Gross SF Non-Residential Rental Income (&quot;\ #,###\ &quot;SF)&quot;"/>
    <numFmt numFmtId="296" formatCode="&quot;$&quot;###\ &quot;per GSF&quot;"/>
    <numFmt numFmtId="297" formatCode="0%\ &quot;Residential&quot;"/>
    <numFmt numFmtId="298" formatCode="0%\ &quot;Non-Residential&quot;"/>
    <numFmt numFmtId="299" formatCode="&quot;LESS:&quot;\ #%\ &quot;Selling Costs&quot;"/>
    <numFmt numFmtId="300" formatCode="###"/>
    <numFmt numFmtId="301" formatCode="General\ &quot;Months&quot;"/>
    <numFmt numFmtId="302" formatCode="##.0%\ &quot;of total hard costs&quot;"/>
    <numFmt numFmtId="303" formatCode="##%\ &quot;of NOI/Cap&quot;"/>
    <numFmt numFmtId="304" formatCode="##.00%\ &quot;Estimated&quot;"/>
    <numFmt numFmtId="305" formatCode="##%\ &quot;costs excluding hard costs&quot;"/>
  </numFmts>
  <fonts count="197">
    <font>
      <sz val="11"/>
      <color theme="1"/>
      <name val="Calibri"/>
      <family val="2"/>
      <scheme val="minor"/>
    </font>
    <font>
      <sz val="12"/>
      <color theme="1"/>
      <name val="Times New Roman"/>
      <family val="2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Times New Roman"/>
      <family val="2"/>
    </font>
    <font>
      <sz val="12"/>
      <color theme="1"/>
      <name val="Times New Roman"/>
      <family val="2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Times New Roman"/>
      <family val="1"/>
    </font>
    <font>
      <sz val="10"/>
      <name val="Times New Roman"/>
      <family val="1"/>
    </font>
    <font>
      <b/>
      <sz val="10"/>
      <name val="Times New Roman"/>
      <family val="1"/>
    </font>
    <font>
      <b/>
      <sz val="12"/>
      <name val="Times New Roman"/>
      <family val="1"/>
    </font>
    <font>
      <b/>
      <sz val="11"/>
      <name val="Times New Roman"/>
      <family val="1"/>
    </font>
    <font>
      <sz val="12"/>
      <name val="Arial"/>
      <family val="2"/>
    </font>
    <font>
      <b/>
      <sz val="8"/>
      <name val="Times New Roman"/>
      <family val="1"/>
    </font>
    <font>
      <sz val="10"/>
      <name val="Arial"/>
      <family val="2"/>
    </font>
    <font>
      <sz val="14"/>
      <name val="Times New Roman"/>
      <family val="1"/>
    </font>
    <font>
      <sz val="12"/>
      <name val="Times New Roman"/>
      <family val="1"/>
    </font>
    <font>
      <sz val="12"/>
      <name val="Arial MT"/>
    </font>
    <font>
      <b/>
      <sz val="18"/>
      <name val="Times New Roman"/>
      <family val="1"/>
    </font>
    <font>
      <b/>
      <sz val="16"/>
      <name val="Times New Roman"/>
      <family val="1"/>
    </font>
    <font>
      <b/>
      <sz val="14"/>
      <name val="Times New Roman"/>
      <family val="1"/>
    </font>
    <font>
      <u/>
      <sz val="11"/>
      <color theme="11"/>
      <name val="Calibri"/>
      <family val="2"/>
      <scheme val="minor"/>
    </font>
    <font>
      <b/>
      <sz val="10"/>
      <name val="Arial"/>
      <family val="2"/>
    </font>
    <font>
      <sz val="10"/>
      <color indexed="8"/>
      <name val="Arial"/>
      <family val="2"/>
    </font>
    <font>
      <sz val="8"/>
      <name val="Times New Roman"/>
      <family val="1"/>
    </font>
    <font>
      <sz val="11"/>
      <name val="ＭＳ Ｐゴシック"/>
      <charset val="128"/>
    </font>
    <font>
      <sz val="8"/>
      <name val="Palatino"/>
      <family val="1"/>
    </font>
    <font>
      <b/>
      <sz val="22"/>
      <color indexed="18"/>
      <name val="Arial"/>
      <family val="2"/>
    </font>
    <font>
      <b/>
      <sz val="14"/>
      <color indexed="18"/>
      <name val="Arial"/>
      <family val="2"/>
    </font>
    <font>
      <sz val="9"/>
      <color indexed="8"/>
      <name val="Arial"/>
      <family val="2"/>
    </font>
    <font>
      <b/>
      <sz val="10"/>
      <color indexed="18"/>
      <name val="Arial"/>
      <family val="2"/>
    </font>
    <font>
      <b/>
      <u val="singleAccounting"/>
      <sz val="10"/>
      <color indexed="18"/>
      <name val="Arial"/>
      <family val="2"/>
    </font>
    <font>
      <sz val="10"/>
      <color indexed="8"/>
      <name val="Palatino"/>
      <family val="1"/>
    </font>
    <font>
      <b/>
      <sz val="12"/>
      <name val="Helv"/>
    </font>
    <font>
      <b/>
      <i/>
      <sz val="10"/>
      <name val="Helv"/>
      <family val="2"/>
    </font>
    <font>
      <b/>
      <sz val="8"/>
      <name val="Helv"/>
      <family val="2"/>
    </font>
    <font>
      <sz val="7"/>
      <color indexed="12"/>
      <name val="Times New Roman"/>
      <family val="1"/>
    </font>
    <font>
      <sz val="9"/>
      <name val="Tahoma"/>
      <family val="2"/>
    </font>
    <font>
      <sz val="8"/>
      <name val="Times"/>
      <family val="1"/>
    </font>
    <font>
      <sz val="9"/>
      <color indexed="8"/>
      <name val="Times New Roman"/>
      <family val="1"/>
    </font>
    <font>
      <sz val="8"/>
      <color indexed="12"/>
      <name val="Tms Rmn"/>
    </font>
    <font>
      <sz val="10"/>
      <color indexed="12"/>
      <name val="Times New Roman"/>
      <family val="1"/>
    </font>
    <font>
      <sz val="12"/>
      <name val="Tms Rmn"/>
      <family val="1"/>
    </font>
    <font>
      <b/>
      <sz val="12"/>
      <name val="SWISS"/>
    </font>
    <font>
      <b/>
      <i/>
      <sz val="10"/>
      <color indexed="30"/>
      <name val="Comic Sans MS"/>
      <family val="4"/>
    </font>
    <font>
      <sz val="8"/>
      <color indexed="30"/>
      <name val="Comic Sans MS"/>
      <family val="4"/>
    </font>
    <font>
      <b/>
      <sz val="8"/>
      <color indexed="30"/>
      <name val="Comic Sans MS"/>
      <family val="4"/>
    </font>
    <font>
      <sz val="10"/>
      <color indexed="30"/>
      <name val="Comic Sans MS"/>
      <family val="4"/>
    </font>
    <font>
      <sz val="8"/>
      <name val="Helvetica-Narrow"/>
    </font>
    <font>
      <u val="singleAccounting"/>
      <sz val="10"/>
      <name val="Arial"/>
      <family val="2"/>
    </font>
    <font>
      <sz val="12"/>
      <name val="±¼¸²Ã¼"/>
      <family val="3"/>
      <charset val="129"/>
    </font>
    <font>
      <sz val="9"/>
      <color indexed="8"/>
      <name val="Helvetica-Narrow"/>
    </font>
    <font>
      <sz val="8"/>
      <color indexed="13"/>
      <name val="Helvetica-Narrow"/>
    </font>
    <font>
      <b/>
      <sz val="7"/>
      <name val="Helvetica-Narrow"/>
      <family val="2"/>
    </font>
    <font>
      <b/>
      <sz val="7"/>
      <name val="GillSans"/>
    </font>
    <font>
      <b/>
      <sz val="9"/>
      <name val="Tahoma"/>
      <family val="2"/>
    </font>
    <font>
      <sz val="12"/>
      <color indexed="24"/>
      <name val="Arial"/>
      <family val="2"/>
    </font>
    <font>
      <sz val="10"/>
      <name val="Helv"/>
    </font>
    <font>
      <sz val="12"/>
      <name val="Helv"/>
    </font>
    <font>
      <b/>
      <sz val="24"/>
      <name val="Courier New"/>
      <family val="3"/>
    </font>
    <font>
      <b/>
      <sz val="10"/>
      <color indexed="30"/>
      <name val="Comic Sans MS"/>
      <family val="4"/>
    </font>
    <font>
      <sz val="12"/>
      <color indexed="30"/>
      <name val="Comic Sans MS"/>
      <family val="4"/>
    </font>
    <font>
      <sz val="10"/>
      <name val="MS Serif"/>
      <family val="1"/>
    </font>
    <font>
      <sz val="10"/>
      <name val="Courier"/>
      <family val="3"/>
    </font>
    <font>
      <sz val="10"/>
      <name val="Book Antiqua"/>
      <family val="1"/>
    </font>
    <font>
      <sz val="10"/>
      <name val="Times New Roman Special G1"/>
    </font>
    <font>
      <sz val="10"/>
      <color indexed="24"/>
      <name val="Arial"/>
      <family val="2"/>
    </font>
    <font>
      <sz val="9"/>
      <name val="Times New Roman"/>
      <family val="1"/>
    </font>
    <font>
      <u/>
      <sz val="8"/>
      <color indexed="12"/>
      <name val="Times New Roman"/>
      <family val="1"/>
    </font>
    <font>
      <sz val="9"/>
      <name val="Arial"/>
      <family val="2"/>
    </font>
    <font>
      <sz val="8"/>
      <color indexed="12"/>
      <name val="Times New Roman"/>
      <family val="1"/>
    </font>
    <font>
      <u val="doubleAccounting"/>
      <sz val="10"/>
      <name val="Arial"/>
      <family val="2"/>
    </font>
    <font>
      <sz val="14"/>
      <color indexed="8"/>
      <name val="Times New Roman"/>
      <family val="1"/>
    </font>
    <font>
      <b/>
      <sz val="10"/>
      <color indexed="8"/>
      <name val="Times New Roman"/>
      <family val="1"/>
    </font>
    <font>
      <sz val="8"/>
      <color indexed="8"/>
      <name val="Times New Roman"/>
      <family val="1"/>
    </font>
    <font>
      <i/>
      <sz val="9"/>
      <name val="Times New Roman"/>
      <family val="1"/>
    </font>
    <font>
      <i/>
      <sz val="10"/>
      <name val="Times New Roman"/>
      <family val="1"/>
    </font>
    <font>
      <i/>
      <sz val="9"/>
      <color indexed="8"/>
      <name val="Times New Roman"/>
      <family val="1"/>
    </font>
    <font>
      <b/>
      <sz val="9"/>
      <name val="Times New Roman"/>
      <family val="1"/>
    </font>
    <font>
      <sz val="22"/>
      <name val="Times New Roman"/>
      <family val="1"/>
    </font>
    <font>
      <b/>
      <i/>
      <sz val="8"/>
      <color indexed="12"/>
      <name val="Arial"/>
      <family val="2"/>
    </font>
    <font>
      <sz val="10"/>
      <color indexed="16"/>
      <name val="MS Serif"/>
      <family val="1"/>
    </font>
    <font>
      <sz val="7"/>
      <name val="Palatino"/>
      <family val="1"/>
    </font>
    <font>
      <sz val="9"/>
      <name val="CharterITC BT"/>
      <family val="1"/>
    </font>
    <font>
      <b/>
      <sz val="10"/>
      <name val="Tahoma"/>
      <family val="2"/>
    </font>
    <font>
      <sz val="8"/>
      <name val="Arial"/>
      <family val="2"/>
    </font>
    <font>
      <b/>
      <sz val="12"/>
      <color indexed="9"/>
      <name val="Tms Rmn"/>
    </font>
    <font>
      <u/>
      <sz val="12"/>
      <name val="Tahoma"/>
      <family val="2"/>
    </font>
    <font>
      <i/>
      <u/>
      <sz val="11"/>
      <name val="Tahoma"/>
      <family val="2"/>
    </font>
    <font>
      <u/>
      <sz val="11"/>
      <name val="Tahoma"/>
      <family val="2"/>
    </font>
    <font>
      <i/>
      <u/>
      <sz val="10"/>
      <name val="Tahoma"/>
      <family val="2"/>
    </font>
    <font>
      <u/>
      <sz val="10"/>
      <name val="Tahoma"/>
      <family val="2"/>
    </font>
    <font>
      <i/>
      <u/>
      <sz val="9"/>
      <name val="Tahoma"/>
      <family val="2"/>
    </font>
    <font>
      <u/>
      <sz val="9"/>
      <name val="Tahoma"/>
      <family val="2"/>
    </font>
    <font>
      <b/>
      <u/>
      <sz val="11"/>
      <color indexed="37"/>
      <name val="Arial"/>
      <family val="2"/>
    </font>
    <font>
      <b/>
      <sz val="12"/>
      <name val="Arial"/>
      <family val="2"/>
    </font>
    <font>
      <b/>
      <i/>
      <sz val="22"/>
      <name val="Times New Roman"/>
      <family val="1"/>
    </font>
    <font>
      <b/>
      <sz val="8"/>
      <name val="MS Sans Serif"/>
      <family val="2"/>
    </font>
    <font>
      <b/>
      <sz val="24"/>
      <name val="Geneva"/>
    </font>
    <font>
      <b/>
      <u/>
      <sz val="8"/>
      <name val="Arial"/>
      <family val="2"/>
    </font>
    <font>
      <sz val="10"/>
      <color indexed="12"/>
      <name val="Arial"/>
      <family val="2"/>
    </font>
    <font>
      <i/>
      <sz val="10"/>
      <name val="Arial"/>
      <family val="2"/>
    </font>
    <font>
      <sz val="10"/>
      <color indexed="16"/>
      <name val="MS Sans Serif"/>
      <family val="2"/>
    </font>
    <font>
      <sz val="10"/>
      <name val="Geneva"/>
    </font>
    <font>
      <sz val="14"/>
      <name val="Architecture"/>
      <family val="2"/>
    </font>
    <font>
      <sz val="7"/>
      <name val="Small Fonts"/>
      <family val="2"/>
    </font>
    <font>
      <sz val="11"/>
      <name val="明朝"/>
      <family val="1"/>
      <charset val="128"/>
    </font>
    <font>
      <sz val="10"/>
      <name val="Palatino"/>
      <family val="1"/>
    </font>
    <font>
      <sz val="10"/>
      <name val="ＭＳ Ｐゴシック"/>
      <family val="3"/>
      <charset val="128"/>
    </font>
    <font>
      <sz val="11"/>
      <name val="Times New Roman"/>
      <family val="1"/>
    </font>
    <font>
      <sz val="11"/>
      <name val="‚l‚r –¾’©"/>
      <family val="3"/>
      <charset val="128"/>
    </font>
    <font>
      <b/>
      <i/>
      <sz val="10"/>
      <color indexed="8"/>
      <name val="Arial"/>
      <family val="2"/>
    </font>
    <font>
      <b/>
      <sz val="10"/>
      <color indexed="8"/>
      <name val="Arial"/>
      <family val="2"/>
    </font>
    <font>
      <b/>
      <i/>
      <sz val="22"/>
      <color indexed="8"/>
      <name val="Times New Roman"/>
      <family val="1"/>
    </font>
    <font>
      <b/>
      <sz val="26"/>
      <name val="Times New Roman"/>
      <family val="1"/>
    </font>
    <font>
      <sz val="10"/>
      <color indexed="16"/>
      <name val="Helvetica-Black"/>
    </font>
    <font>
      <b/>
      <sz val="14"/>
      <color indexed="12"/>
      <name val="Arial"/>
      <family val="2"/>
    </font>
    <font>
      <sz val="22"/>
      <name val="UBSHeadline"/>
      <family val="1"/>
    </font>
    <font>
      <sz val="10"/>
      <name val="Tms Rmn"/>
      <family val="1"/>
    </font>
    <font>
      <sz val="10"/>
      <name val="MS Sans Serif"/>
      <family val="2"/>
    </font>
    <font>
      <b/>
      <sz val="10"/>
      <name val="MS Sans Serif"/>
      <family val="2"/>
    </font>
    <font>
      <sz val="8"/>
      <name val="Wingdings"/>
      <charset val="2"/>
    </font>
    <font>
      <sz val="8"/>
      <name val="Helv"/>
    </font>
    <font>
      <sz val="10"/>
      <name val="GillSans Light"/>
    </font>
    <font>
      <sz val="9.5"/>
      <color indexed="23"/>
      <name val="Helvetica-Black"/>
    </font>
    <font>
      <b/>
      <sz val="16"/>
      <color indexed="16"/>
      <name val="Arial"/>
      <family val="2"/>
    </font>
    <font>
      <sz val="8"/>
      <name val="MS Sans Serif"/>
      <family val="2"/>
    </font>
    <font>
      <sz val="10"/>
      <color indexed="14"/>
      <name val="Century Schoolbook"/>
      <family val="1"/>
    </font>
    <font>
      <b/>
      <sz val="11"/>
      <name val="Helv"/>
    </font>
    <font>
      <b/>
      <u/>
      <sz val="10"/>
      <name val="Tahoma"/>
      <family val="2"/>
    </font>
    <font>
      <b/>
      <sz val="9"/>
      <name val="Arial"/>
      <family val="2"/>
    </font>
    <font>
      <b/>
      <sz val="9"/>
      <name val="Palatino"/>
      <family val="1"/>
    </font>
    <font>
      <sz val="9"/>
      <color indexed="21"/>
      <name val="Helvetica-Black"/>
    </font>
    <font>
      <b/>
      <sz val="10"/>
      <name val="Palatino"/>
      <family val="1"/>
    </font>
    <font>
      <b/>
      <sz val="8"/>
      <name val="Arial"/>
      <family val="2"/>
    </font>
    <font>
      <b/>
      <sz val="7"/>
      <name val="Arial"/>
      <family val="2"/>
    </font>
    <font>
      <sz val="9"/>
      <name val="Helvetica-Black"/>
    </font>
    <font>
      <sz val="9"/>
      <name val="Palatino"/>
      <family val="1"/>
    </font>
    <font>
      <sz val="12"/>
      <color indexed="8"/>
      <name val="Palatino"/>
      <family val="1"/>
    </font>
    <font>
      <sz val="11"/>
      <color indexed="8"/>
      <name val="Helvetica-Black"/>
    </font>
    <font>
      <b/>
      <sz val="11"/>
      <name val="Tahoma"/>
      <family val="2"/>
    </font>
    <font>
      <u/>
      <sz val="8"/>
      <name val="Times New Roman"/>
      <family val="1"/>
    </font>
    <font>
      <b/>
      <sz val="12"/>
      <name val="CG Times (W1)"/>
      <family val="1"/>
    </font>
    <font>
      <b/>
      <i/>
      <sz val="12"/>
      <name val="CG Times (W1)"/>
      <family val="1"/>
    </font>
    <font>
      <b/>
      <i/>
      <sz val="24"/>
      <name val="Arial"/>
      <family val="2"/>
    </font>
    <font>
      <sz val="12"/>
      <name val="Tahoma"/>
      <family val="2"/>
    </font>
    <font>
      <i/>
      <sz val="11"/>
      <name val="Tahoma"/>
      <family val="2"/>
    </font>
    <font>
      <sz val="11"/>
      <name val="Tahoma"/>
      <family val="2"/>
    </font>
    <font>
      <i/>
      <sz val="10"/>
      <name val="Tahoma"/>
      <family val="2"/>
    </font>
    <font>
      <sz val="10"/>
      <name val="Tahoma"/>
      <family val="2"/>
    </font>
    <font>
      <i/>
      <sz val="9"/>
      <name val="Tahoma"/>
      <family val="2"/>
    </font>
    <font>
      <b/>
      <sz val="10"/>
      <color indexed="30"/>
      <name val="Arial"/>
      <family val="2"/>
    </font>
    <font>
      <b/>
      <sz val="7"/>
      <color indexed="12"/>
      <name val="Arial"/>
      <family val="2"/>
    </font>
    <font>
      <u/>
      <sz val="8"/>
      <color indexed="8"/>
      <name val="Arial"/>
      <family val="2"/>
    </font>
    <font>
      <sz val="8"/>
      <color indexed="12"/>
      <name val="Arial"/>
      <family val="2"/>
    </font>
    <font>
      <sz val="10"/>
      <color indexed="9"/>
      <name val="Tms Rmn"/>
    </font>
    <font>
      <sz val="7"/>
      <name val="Times New Roman"/>
      <family val="1"/>
    </font>
    <font>
      <b/>
      <i/>
      <sz val="8"/>
      <name val="Helv"/>
    </font>
    <font>
      <sz val="10"/>
      <name val="ＭＳ 明朝"/>
      <family val="1"/>
      <charset val="128"/>
    </font>
    <font>
      <sz val="9"/>
      <color indexed="8"/>
      <name val="ＭＳ Ｐゴシック"/>
      <family val="3"/>
      <charset val="128"/>
    </font>
    <font>
      <b/>
      <sz val="10"/>
      <color indexed="81"/>
      <name val="Calibri"/>
      <family val="2"/>
    </font>
    <font>
      <sz val="14"/>
      <color indexed="81"/>
      <name val="Calibri"/>
      <family val="2"/>
    </font>
    <font>
      <u/>
      <sz val="11"/>
      <color theme="10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b/>
      <sz val="13"/>
      <color theme="1"/>
      <name val="Arial"/>
      <family val="2"/>
    </font>
    <font>
      <sz val="8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10"/>
      <color rgb="FF0432FF"/>
      <name val="Arial"/>
      <family val="2"/>
    </font>
    <font>
      <b/>
      <sz val="10"/>
      <color theme="1"/>
      <name val="Arial"/>
      <family val="2"/>
    </font>
    <font>
      <sz val="10"/>
      <color theme="0"/>
      <name val="Arial"/>
      <family val="2"/>
    </font>
    <font>
      <sz val="10"/>
      <color theme="9" tint="-0.249977111117893"/>
      <name val="Arial"/>
      <family val="2"/>
    </font>
    <font>
      <sz val="10"/>
      <color rgb="FF00B0F0"/>
      <name val="Arial"/>
      <family val="2"/>
    </font>
    <font>
      <u/>
      <sz val="10"/>
      <name val="Arial"/>
      <family val="2"/>
    </font>
    <font>
      <b/>
      <sz val="10"/>
      <color rgb="FF00B0F0"/>
      <name val="Arial"/>
      <family val="2"/>
    </font>
    <font>
      <b/>
      <sz val="9"/>
      <color theme="1"/>
      <name val="Arial"/>
      <family val="2"/>
    </font>
    <font>
      <b/>
      <sz val="14"/>
      <color theme="0"/>
      <name val="Arial"/>
      <family val="2"/>
    </font>
    <font>
      <b/>
      <sz val="16"/>
      <color theme="1"/>
      <name val="Arial"/>
      <family val="2"/>
    </font>
    <font>
      <b/>
      <sz val="12"/>
      <color theme="1"/>
      <name val="Arial"/>
      <family val="2"/>
    </font>
    <font>
      <sz val="12"/>
      <color theme="1"/>
      <name val="Arial"/>
      <family val="2"/>
    </font>
    <font>
      <b/>
      <sz val="10"/>
      <color rgb="FF00B050"/>
      <name val="Arial"/>
      <family val="2"/>
    </font>
    <font>
      <sz val="14"/>
      <color theme="1"/>
      <name val="Arial"/>
      <family val="2"/>
    </font>
    <font>
      <b/>
      <sz val="14"/>
      <color theme="1"/>
      <name val="Arial"/>
      <family val="2"/>
    </font>
    <font>
      <b/>
      <sz val="20"/>
      <color theme="0"/>
      <name val="Arial"/>
      <family val="2"/>
    </font>
    <font>
      <b/>
      <sz val="18"/>
      <color theme="0"/>
      <name val="Arial"/>
      <family val="2"/>
    </font>
    <font>
      <sz val="16"/>
      <color theme="1"/>
      <name val="Arial"/>
      <family val="2"/>
    </font>
    <font>
      <sz val="14"/>
      <color rgb="FF000000"/>
      <name val="Arial"/>
      <family val="2"/>
    </font>
    <font>
      <sz val="14"/>
      <color theme="0"/>
      <name val="Arial"/>
      <family val="2"/>
    </font>
    <font>
      <b/>
      <sz val="15"/>
      <color theme="0"/>
      <name val="Arial"/>
      <family val="2"/>
    </font>
    <font>
      <b/>
      <sz val="20"/>
      <color rgb="FF00B050"/>
      <name val="Arial"/>
      <family val="2"/>
    </font>
    <font>
      <b/>
      <sz val="25"/>
      <color theme="1"/>
      <name val="Arial"/>
      <family val="2"/>
    </font>
    <font>
      <sz val="10"/>
      <color rgb="FF00B050"/>
      <name val="Arial"/>
      <family val="2"/>
    </font>
  </fonts>
  <fills count="41">
    <fill>
      <patternFill patternType="none"/>
    </fill>
    <fill>
      <patternFill patternType="gray125"/>
    </fill>
    <fill>
      <patternFill patternType="solid">
        <fgColor indexed="8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indexed="43"/>
      </patternFill>
    </fill>
    <fill>
      <patternFill patternType="solid">
        <fgColor indexed="44"/>
        <bgColor indexed="64"/>
      </patternFill>
    </fill>
    <fill>
      <patternFill patternType="lightGray">
        <fgColor indexed="15"/>
      </patternFill>
    </fill>
    <fill>
      <patternFill patternType="solid">
        <fgColor indexed="2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10"/>
        <bgColor indexed="10"/>
      </patternFill>
    </fill>
    <fill>
      <patternFill patternType="solid">
        <fgColor indexed="22"/>
        <bgColor indexed="22"/>
      </patternFill>
    </fill>
    <fill>
      <patternFill patternType="solid">
        <fgColor indexed="41"/>
        <bgColor indexed="64"/>
      </patternFill>
    </fill>
    <fill>
      <patternFill patternType="mediumGray">
        <fgColor indexed="22"/>
      </patternFill>
    </fill>
    <fill>
      <patternFill patternType="darkVertical"/>
    </fill>
    <fill>
      <patternFill patternType="solid">
        <fgColor indexed="63"/>
        <bgColor indexed="64"/>
      </patternFill>
    </fill>
    <fill>
      <patternFill patternType="solid">
        <fgColor indexed="16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13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C6EFCE"/>
      </patternFill>
    </fill>
    <fill>
      <patternFill patternType="solid">
        <fgColor theme="6" tint="-0.499984740745262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1"/>
        <bgColor indexed="64"/>
      </patternFill>
    </fill>
  </fills>
  <borders count="15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 style="medium">
        <color auto="1"/>
      </right>
      <top/>
      <bottom/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double">
        <color auto="1"/>
      </bottom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/>
      <right/>
      <top style="hair">
        <color indexed="8"/>
      </top>
      <bottom style="hair">
        <color indexed="8"/>
      </bottom>
      <diagonal/>
    </border>
    <border>
      <left/>
      <right/>
      <top/>
      <bottom style="medium">
        <color indexed="18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/>
      <top/>
      <bottom style="hair">
        <color auto="1"/>
      </bottom>
      <diagonal/>
    </border>
    <border>
      <left/>
      <right/>
      <top style="thick">
        <color indexed="30"/>
      </top>
      <bottom/>
      <diagonal/>
    </border>
    <border>
      <left style="thin">
        <color indexed="30"/>
      </left>
      <right style="thin">
        <color indexed="30"/>
      </right>
      <top/>
      <bottom style="double">
        <color indexed="30"/>
      </bottom>
      <diagonal/>
    </border>
    <border>
      <left/>
      <right/>
      <top/>
      <bottom style="thin">
        <color indexed="30"/>
      </bottom>
      <diagonal/>
    </border>
    <border>
      <left/>
      <right/>
      <top/>
      <bottom style="medium">
        <color auto="1"/>
      </bottom>
      <diagonal/>
    </border>
    <border>
      <left/>
      <right/>
      <top/>
      <bottom style="thin">
        <color indexed="22"/>
      </bottom>
      <diagonal/>
    </border>
    <border>
      <left/>
      <right/>
      <top/>
      <bottom style="thick">
        <color indexed="30"/>
      </bottom>
      <diagonal/>
    </border>
    <border>
      <left style="thin">
        <color indexed="30"/>
      </left>
      <right style="thin">
        <color indexed="30"/>
      </right>
      <top/>
      <bottom style="thin">
        <color indexed="30"/>
      </bottom>
      <diagonal/>
    </border>
    <border>
      <left/>
      <right/>
      <top/>
      <bottom style="hair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indexed="30"/>
      </left>
      <right/>
      <top/>
      <bottom/>
      <diagonal/>
    </border>
    <border>
      <left style="thin">
        <color indexed="30"/>
      </left>
      <right style="thin">
        <color indexed="30"/>
      </right>
      <top/>
      <bottom/>
      <diagonal/>
    </border>
    <border>
      <left/>
      <right/>
      <top/>
      <bottom style="dotted">
        <color auto="1"/>
      </bottom>
      <diagonal/>
    </border>
    <border>
      <left/>
      <right/>
      <top/>
      <bottom style="medium">
        <color indexed="63"/>
      </bottom>
      <diagonal/>
    </border>
    <border>
      <left/>
      <right/>
      <top style="hair">
        <color auto="1"/>
      </top>
      <bottom/>
      <diagonal/>
    </border>
    <border>
      <left/>
      <right/>
      <top/>
      <bottom style="thin">
        <color indexed="23"/>
      </bottom>
      <diagonal/>
    </border>
    <border>
      <left/>
      <right/>
      <top style="thick">
        <color indexed="17"/>
      </top>
      <bottom/>
      <diagonal/>
    </border>
    <border>
      <left/>
      <right/>
      <top/>
      <bottom style="thick">
        <color indexed="18"/>
      </bottom>
      <diagonal/>
    </border>
    <border>
      <left/>
      <right/>
      <top/>
      <bottom style="thin">
        <color indexed="18"/>
      </bottom>
      <diagonal/>
    </border>
    <border>
      <left style="dashed">
        <color auto="1"/>
      </left>
      <right style="dashed">
        <color auto="1"/>
      </right>
      <top style="dashed">
        <color auto="1"/>
      </top>
      <bottom style="dashed">
        <color auto="1"/>
      </bottom>
      <diagonal/>
    </border>
    <border>
      <left/>
      <right/>
      <top/>
      <bottom style="hair">
        <color indexed="22"/>
      </bottom>
      <diagonal/>
    </border>
    <border>
      <left/>
      <right/>
      <top/>
      <bottom style="thick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thin">
        <color indexed="30"/>
      </left>
      <right/>
      <top/>
      <bottom style="thin">
        <color indexed="30"/>
      </bottom>
      <diagonal/>
    </border>
    <border>
      <left/>
      <right style="thin">
        <color indexed="30"/>
      </right>
      <top/>
      <bottom/>
      <diagonal/>
    </border>
    <border>
      <left style="thin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ck">
        <color indexed="30"/>
      </left>
      <right style="thin">
        <color indexed="30"/>
      </right>
      <top style="thick">
        <color indexed="30"/>
      </top>
      <bottom style="thick">
        <color indexed="30"/>
      </bottom>
      <diagonal/>
    </border>
    <border>
      <left/>
      <right/>
      <top style="thin">
        <color auto="1"/>
      </top>
      <bottom style="hair">
        <color indexed="22"/>
      </bottom>
      <diagonal/>
    </border>
    <border>
      <left style="medium">
        <color indexed="8"/>
      </left>
      <right/>
      <top style="medium">
        <color indexed="8"/>
      </top>
      <bottom style="thin">
        <color indexed="8"/>
      </bottom>
      <diagonal/>
    </border>
    <border>
      <left/>
      <right/>
      <top/>
      <bottom style="medium">
        <color indexed="45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n">
        <color indexed="45"/>
      </bottom>
      <diagonal/>
    </border>
    <border>
      <left/>
      <right/>
      <top style="medium">
        <color indexed="45"/>
      </top>
      <bottom/>
      <diagonal/>
    </border>
    <border>
      <left/>
      <right/>
      <top/>
      <bottom style="double">
        <color indexed="45"/>
      </bottom>
      <diagonal/>
    </border>
    <border>
      <left/>
      <right/>
      <top style="medium">
        <color indexed="23"/>
      </top>
      <bottom style="medium">
        <color indexed="23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/>
      <bottom style="thick">
        <color theme="4" tint="0.3999755851924192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double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double">
        <color auto="1"/>
      </top>
      <bottom style="double">
        <color auto="1"/>
      </bottom>
      <diagonal/>
    </border>
    <border>
      <left/>
      <right style="medium">
        <color auto="1"/>
      </right>
      <top/>
      <bottom style="double">
        <color auto="1"/>
      </bottom>
      <diagonal/>
    </border>
    <border>
      <left style="medium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auto="1"/>
      </bottom>
      <diagonal/>
    </border>
    <border>
      <left/>
      <right/>
      <top style="medium">
        <color indexed="64"/>
      </top>
      <bottom style="medium">
        <color auto="1"/>
      </bottom>
      <diagonal/>
    </border>
    <border>
      <left/>
      <right style="medium">
        <color indexed="64"/>
      </right>
      <top style="medium">
        <color indexed="64"/>
      </top>
      <bottom style="medium">
        <color auto="1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 style="double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indexed="64"/>
      </left>
      <right style="medium">
        <color indexed="64"/>
      </right>
      <top style="thin">
        <color auto="1"/>
      </top>
      <bottom style="double">
        <color auto="1"/>
      </bottom>
      <diagonal/>
    </border>
    <border>
      <left style="medium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auto="1"/>
      </left>
      <right/>
      <top style="thin">
        <color auto="1"/>
      </top>
      <bottom style="double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double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/>
      <right/>
      <top style="medium">
        <color auto="1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 style="double">
        <color auto="1"/>
      </top>
      <bottom style="double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/>
      <bottom style="double">
        <color auto="1"/>
      </bottom>
      <diagonal/>
    </border>
    <border>
      <left/>
      <right style="thin">
        <color auto="1"/>
      </right>
      <top style="thin">
        <color indexed="64"/>
      </top>
      <bottom style="double">
        <color indexed="64"/>
      </bottom>
      <diagonal/>
    </border>
    <border>
      <left/>
      <right/>
      <top style="thin">
        <color auto="1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auto="1"/>
      </right>
      <top style="medium">
        <color indexed="64"/>
      </top>
      <bottom style="medium">
        <color indexed="64"/>
      </bottom>
      <diagonal/>
    </border>
  </borders>
  <cellStyleXfs count="1361">
    <xf numFmtId="0" fontId="0" fillId="0" borderId="0"/>
    <xf numFmtId="9" fontId="8" fillId="0" borderId="0" applyFont="0" applyFill="0" applyBorder="0" applyAlignment="0" applyProtection="0"/>
    <xf numFmtId="0" fontId="8" fillId="0" borderId="0"/>
    <xf numFmtId="43" fontId="8" fillId="0" borderId="0" applyFont="0" applyFill="0" applyBorder="0" applyAlignment="0" applyProtection="0"/>
    <xf numFmtId="44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44" fontId="15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8" fillId="0" borderId="0"/>
    <xf numFmtId="0" fontId="16" fillId="0" borderId="0"/>
    <xf numFmtId="9" fontId="16" fillId="0" borderId="0" applyFont="0" applyFill="0" applyBorder="0" applyAlignment="0" applyProtection="0"/>
    <xf numFmtId="43" fontId="16" fillId="0" borderId="0" applyFont="0" applyFill="0" applyBorder="0" applyAlignment="0" applyProtection="0"/>
    <xf numFmtId="44" fontId="7" fillId="0" borderId="0" applyFont="0" applyFill="0" applyBorder="0" applyAlignment="0" applyProtection="0"/>
    <xf numFmtId="0" fontId="17" fillId="0" borderId="0"/>
    <xf numFmtId="43" fontId="17" fillId="0" borderId="0" applyFont="0" applyFill="0" applyBorder="0" applyAlignment="0" applyProtection="0"/>
    <xf numFmtId="0" fontId="7" fillId="0" borderId="0"/>
    <xf numFmtId="43" fontId="15" fillId="0" borderId="0" applyFont="0" applyFill="0" applyBorder="0" applyAlignment="0" applyProtection="0"/>
    <xf numFmtId="0" fontId="18" fillId="0" borderId="0"/>
    <xf numFmtId="9" fontId="15" fillId="0" borderId="0" applyFon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6" fillId="0" borderId="0"/>
    <xf numFmtId="9" fontId="6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183" fontId="25" fillId="0" borderId="0">
      <alignment horizontal="right"/>
    </xf>
    <xf numFmtId="184" fontId="25" fillId="0" borderId="0">
      <alignment horizontal="right"/>
    </xf>
    <xf numFmtId="185" fontId="25" fillId="0" borderId="0">
      <alignment horizontal="right"/>
    </xf>
    <xf numFmtId="186" fontId="15" fillId="0" borderId="0" applyFont="0" applyFill="0" applyBorder="0" applyAlignment="0" applyProtection="0"/>
    <xf numFmtId="187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7" fontId="15" fillId="0" borderId="0" applyFont="0" applyFill="0" applyBorder="0" applyAlignment="0" applyProtection="0"/>
    <xf numFmtId="187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26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26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9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89" fontId="26" fillId="0" borderId="0" applyFont="0" applyFill="0" applyBorder="0" applyAlignment="0" applyProtection="0"/>
    <xf numFmtId="188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88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27" fillId="0" borderId="0" applyFont="0" applyFill="0" applyBorder="0" applyAlignment="0" applyProtection="0"/>
    <xf numFmtId="0" fontId="27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27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2" fontId="26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2" fontId="26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67" fontId="27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191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2" fontId="26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19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26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26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39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39" fontId="26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4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94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28" fillId="0" borderId="0" applyNumberFormat="0" applyFill="0" applyBorder="0" applyAlignment="0" applyProtection="0"/>
    <xf numFmtId="0" fontId="15" fillId="11" borderId="0" applyNumberFormat="0" applyFont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67" fontId="27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67" fontId="27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26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26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6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6" fontId="26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7" fontId="15" fillId="0" borderId="0" applyFont="0" applyFill="0" applyBorder="0" applyProtection="0">
      <alignment horizontal="right"/>
    </xf>
    <xf numFmtId="198" fontId="27" fillId="0" borderId="0" applyFont="0" applyFill="0" applyBorder="0" applyAlignment="0" applyProtection="0"/>
    <xf numFmtId="197" fontId="15" fillId="0" borderId="0" applyFont="0" applyFill="0" applyBorder="0" applyProtection="0">
      <alignment horizontal="right"/>
    </xf>
    <xf numFmtId="198" fontId="27" fillId="0" borderId="0" applyFont="0" applyFill="0" applyBorder="0" applyAlignment="0" applyProtection="0"/>
    <xf numFmtId="197" fontId="15" fillId="0" borderId="0" applyFont="0" applyFill="0" applyBorder="0" applyProtection="0">
      <alignment horizontal="right"/>
    </xf>
    <xf numFmtId="197" fontId="15" fillId="0" borderId="0" applyFont="0" applyFill="0" applyBorder="0" applyProtection="0">
      <alignment horizontal="right"/>
    </xf>
    <xf numFmtId="199" fontId="26" fillId="0" borderId="0" applyFont="0" applyFill="0" applyBorder="0" applyAlignment="0" applyProtection="0"/>
    <xf numFmtId="197" fontId="15" fillId="0" borderId="0" applyFont="0" applyFill="0" applyBorder="0" applyProtection="0">
      <alignment horizontal="right"/>
    </xf>
    <xf numFmtId="199" fontId="26" fillId="0" borderId="0" applyFont="0" applyFill="0" applyBorder="0" applyAlignment="0" applyProtection="0"/>
    <xf numFmtId="197" fontId="15" fillId="0" borderId="0" applyFont="0" applyFill="0" applyBorder="0" applyProtection="0">
      <alignment horizontal="right"/>
    </xf>
    <xf numFmtId="199" fontId="26" fillId="0" borderId="0" applyFont="0" applyFill="0" applyBorder="0" applyAlignment="0" applyProtection="0"/>
    <xf numFmtId="200" fontId="26" fillId="0" borderId="0" applyFont="0" applyFill="0" applyBorder="0" applyAlignment="0" applyProtection="0"/>
    <xf numFmtId="201" fontId="27" fillId="0" borderId="0" applyFont="0" applyFill="0" applyBorder="0" applyAlignment="0" applyProtection="0"/>
    <xf numFmtId="201" fontId="27" fillId="0" borderId="0" applyFont="0" applyFill="0" applyBorder="0" applyAlignment="0" applyProtection="0"/>
    <xf numFmtId="202" fontId="26" fillId="0" borderId="0" applyFont="0" applyFill="0" applyBorder="0" applyAlignment="0" applyProtection="0"/>
    <xf numFmtId="203" fontId="27" fillId="0" borderId="0" applyFont="0" applyFill="0" applyBorder="0" applyAlignment="0" applyProtection="0"/>
    <xf numFmtId="203" fontId="27" fillId="0" borderId="0" applyFont="0" applyFill="0" applyBorder="0" applyAlignment="0" applyProtection="0"/>
    <xf numFmtId="0" fontId="29" fillId="0" borderId="0" applyNumberFormat="0" applyFill="0" applyBorder="0" applyProtection="0">
      <alignment vertical="top"/>
    </xf>
    <xf numFmtId="0" fontId="30" fillId="0" borderId="15" applyNumberFormat="0" applyFill="0" applyAlignment="0" applyProtection="0"/>
    <xf numFmtId="0" fontId="31" fillId="0" borderId="16" applyNumberFormat="0" applyFill="0" applyProtection="0">
      <alignment horizontal="center"/>
    </xf>
    <xf numFmtId="0" fontId="31" fillId="0" borderId="0" applyNumberFormat="0" applyFill="0" applyBorder="0" applyProtection="0">
      <alignment horizontal="left"/>
    </xf>
    <xf numFmtId="0" fontId="32" fillId="0" borderId="0" applyNumberFormat="0" applyFill="0" applyBorder="0" applyProtection="0">
      <alignment horizontal="centerContinuous"/>
    </xf>
    <xf numFmtId="204" fontId="33" fillId="0" borderId="0">
      <alignment horizontal="left"/>
      <protection locked="0"/>
    </xf>
    <xf numFmtId="38" fontId="9" fillId="0" borderId="17"/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0" fontId="34" fillId="0" borderId="0">
      <alignment horizontal="center"/>
    </xf>
    <xf numFmtId="39" fontId="34" fillId="0" borderId="0">
      <alignment horizontal="center"/>
    </xf>
    <xf numFmtId="39" fontId="34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0" fontId="35" fillId="0" borderId="0">
      <alignment horizontal="center"/>
    </xf>
    <xf numFmtId="39" fontId="36" fillId="0" borderId="0">
      <alignment horizontal="center"/>
    </xf>
    <xf numFmtId="205" fontId="37" fillId="0" borderId="0">
      <protection locked="0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39" fontId="36" fillId="0" borderId="0">
      <alignment horizontal="center"/>
    </xf>
    <xf numFmtId="14" fontId="38" fillId="0" borderId="0"/>
    <xf numFmtId="206" fontId="23" fillId="12" borderId="18">
      <alignment horizontal="center" vertical="center"/>
    </xf>
    <xf numFmtId="0" fontId="39" fillId="0" borderId="0"/>
    <xf numFmtId="37" fontId="21" fillId="0" borderId="0" applyFont="0" applyAlignment="0">
      <alignment horizontal="centerContinuous" vertical="top"/>
    </xf>
    <xf numFmtId="0" fontId="25" fillId="0" borderId="0">
      <alignment horizontal="center" wrapText="1"/>
      <protection locked="0"/>
    </xf>
    <xf numFmtId="0" fontId="15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5" fillId="0" borderId="0" applyNumberFormat="0" applyFill="0" applyBorder="0" applyAlignment="0" applyProtection="0"/>
    <xf numFmtId="207" fontId="15" fillId="0" borderId="0" applyFont="0" applyFill="0" applyBorder="0" applyAlignment="0"/>
    <xf numFmtId="208" fontId="40" fillId="0" borderId="0" applyFont="0" applyFill="0" applyBorder="0" applyAlignment="0">
      <alignment horizontal="right"/>
    </xf>
    <xf numFmtId="0" fontId="41" fillId="0" borderId="0" applyNumberFormat="0" applyFill="0" applyBorder="0" applyAlignment="0" applyProtection="0"/>
    <xf numFmtId="0" fontId="37" fillId="0" borderId="0">
      <protection locked="0"/>
    </xf>
    <xf numFmtId="209" fontId="37" fillId="0" borderId="0">
      <alignment horizontal="right"/>
      <protection locked="0"/>
    </xf>
    <xf numFmtId="7" fontId="42" fillId="0" borderId="0">
      <alignment horizontal="right"/>
      <protection locked="0"/>
    </xf>
    <xf numFmtId="203" fontId="37" fillId="0" borderId="0">
      <alignment horizontal="right"/>
      <protection locked="0"/>
    </xf>
    <xf numFmtId="0" fontId="43" fillId="0" borderId="0" applyNumberFormat="0" applyFill="0" applyBorder="0" applyAlignment="0" applyProtection="0"/>
    <xf numFmtId="0" fontId="44" fillId="0" borderId="0"/>
    <xf numFmtId="0" fontId="45" fillId="0" borderId="19"/>
    <xf numFmtId="0" fontId="46" fillId="12" borderId="20" applyAlignment="0">
      <alignment horizontal="center"/>
    </xf>
    <xf numFmtId="0" fontId="47" fillId="0" borderId="21"/>
    <xf numFmtId="0" fontId="25" fillId="0" borderId="22" applyNumberFormat="0" applyFont="0" applyFill="0" applyAlignment="0" applyProtection="0"/>
    <xf numFmtId="203" fontId="15" fillId="0" borderId="23" applyNumberFormat="0" applyFill="0" applyAlignment="0" applyProtection="0"/>
    <xf numFmtId="0" fontId="48" fillId="0" borderId="24"/>
    <xf numFmtId="0" fontId="48" fillId="0" borderId="25"/>
    <xf numFmtId="0" fontId="49" fillId="0" borderId="0"/>
    <xf numFmtId="0" fontId="50" fillId="0" borderId="0" applyFont="0" applyFill="0" applyBorder="0" applyAlignment="0" applyProtection="0"/>
    <xf numFmtId="0" fontId="51" fillId="0" borderId="0"/>
    <xf numFmtId="210" fontId="24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211" fontId="52" fillId="0" borderId="10" applyFill="0" applyBorder="0" applyAlignment="0" applyProtection="0">
      <alignment horizontal="right"/>
    </xf>
    <xf numFmtId="212" fontId="53" fillId="0" borderId="0" applyFont="0" applyFill="0"/>
    <xf numFmtId="39" fontId="25" fillId="13" borderId="0" applyNumberFormat="0" applyFont="0" applyBorder="0" applyAlignment="0"/>
    <xf numFmtId="213" fontId="15" fillId="0" borderId="0" applyFill="0" applyBorder="0" applyProtection="0"/>
    <xf numFmtId="0" fontId="11" fillId="0" borderId="11" applyNumberFormat="0" applyFont="0" applyFill="0" applyProtection="0">
      <alignment horizontal="centerContinuous" vertical="center"/>
    </xf>
    <xf numFmtId="0" fontId="54" fillId="0" borderId="26" applyNumberFormat="0" applyFill="0" applyProtection="0">
      <alignment horizontal="center" vertical="center"/>
    </xf>
    <xf numFmtId="0" fontId="55" fillId="0" borderId="27" applyNumberFormat="0" applyFill="0" applyBorder="0" applyProtection="0">
      <alignment horizontal="right" vertical="center"/>
    </xf>
    <xf numFmtId="0" fontId="11" fillId="0" borderId="0" applyNumberFormat="0" applyFill="0" applyBorder="0" applyProtection="0">
      <alignment horizontal="center" vertical="center"/>
    </xf>
    <xf numFmtId="0" fontId="56" fillId="12" borderId="0" applyNumberFormat="0">
      <alignment horizontal="center"/>
    </xf>
    <xf numFmtId="0" fontId="15" fillId="0" borderId="0" applyFont="0" applyFill="0" applyBorder="0" applyAlignment="0" applyProtection="0"/>
    <xf numFmtId="214" fontId="15" fillId="0" borderId="0" applyFont="0" applyFill="0" applyBorder="0" applyAlignment="0" applyProtection="0"/>
    <xf numFmtId="0" fontId="27" fillId="0" borderId="0" applyFont="0" applyFill="0" applyBorder="0" applyAlignment="0" applyProtection="0">
      <alignment horizontal="right"/>
    </xf>
    <xf numFmtId="215" fontId="2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3" fontId="57" fillId="0" borderId="0" applyFont="0" applyFill="0" applyBorder="0" applyAlignment="0" applyProtection="0"/>
    <xf numFmtId="0" fontId="58" fillId="0" borderId="0"/>
    <xf numFmtId="0" fontId="59" fillId="0" borderId="0"/>
    <xf numFmtId="3" fontId="60" fillId="0" borderId="0" applyFill="0" applyBorder="0" applyAlignment="0" applyProtection="0"/>
    <xf numFmtId="0" fontId="58" fillId="0" borderId="0"/>
    <xf numFmtId="41" fontId="46" fillId="0" borderId="28">
      <alignment horizontal="center"/>
      <protection locked="0" hidden="1"/>
    </xf>
    <xf numFmtId="41" fontId="46" fillId="0" borderId="29">
      <alignment horizontal="center"/>
      <protection locked="0"/>
    </xf>
    <xf numFmtId="41" fontId="61" fillId="0" borderId="19">
      <protection hidden="1"/>
    </xf>
    <xf numFmtId="41" fontId="62" fillId="0" borderId="19"/>
    <xf numFmtId="41" fontId="46" fillId="0" borderId="19">
      <alignment horizontal="right"/>
    </xf>
    <xf numFmtId="0" fontId="63" fillId="0" borderId="0" applyNumberFormat="0" applyAlignment="0">
      <alignment horizontal="left"/>
    </xf>
    <xf numFmtId="0" fontId="64" fillId="0" borderId="0" applyNumberFormat="0" applyAlignment="0"/>
    <xf numFmtId="0" fontId="59" fillId="0" borderId="0"/>
    <xf numFmtId="0" fontId="58" fillId="0" borderId="0"/>
    <xf numFmtId="0" fontId="15" fillId="0" borderId="0" applyFont="0" applyFill="0" applyBorder="0" applyAlignment="0" applyProtection="0"/>
    <xf numFmtId="8" fontId="65" fillId="0" borderId="0" applyBorder="0"/>
    <xf numFmtId="0" fontId="27" fillId="0" borderId="0" applyFont="0" applyFill="0" applyBorder="0" applyAlignment="0" applyProtection="0">
      <alignment horizontal="right"/>
    </xf>
    <xf numFmtId="44" fontId="66" fillId="0" borderId="0" applyFont="0" applyFill="0" applyBorder="0" applyAlignment="0" applyProtection="0"/>
    <xf numFmtId="44" fontId="15" fillId="0" borderId="0" applyFont="0" applyFill="0" applyBorder="0" applyAlignment="0" applyProtection="0"/>
    <xf numFmtId="44" fontId="15" fillId="0" borderId="0" applyFont="0" applyFill="0" applyBorder="0" applyAlignment="0" applyProtection="0"/>
    <xf numFmtId="44" fontId="15" fillId="0" borderId="0" applyFont="0" applyFill="0" applyBorder="0" applyAlignment="0" applyProtection="0"/>
    <xf numFmtId="44" fontId="15" fillId="0" borderId="0" applyFont="0" applyFill="0" applyBorder="0" applyAlignment="0" applyProtection="0"/>
    <xf numFmtId="217" fontId="67" fillId="0" borderId="0" applyFont="0" applyFill="0" applyBorder="0" applyAlignment="0" applyProtection="0"/>
    <xf numFmtId="218" fontId="68" fillId="0" borderId="0"/>
    <xf numFmtId="44" fontId="61" fillId="0" borderId="19">
      <alignment horizontal="center"/>
      <protection hidden="1"/>
    </xf>
    <xf numFmtId="39" fontId="38" fillId="0" borderId="0">
      <alignment horizontal="right"/>
    </xf>
    <xf numFmtId="14" fontId="46" fillId="0" borderId="29">
      <alignment horizontal="center"/>
    </xf>
    <xf numFmtId="0" fontId="27" fillId="0" borderId="0" applyFont="0" applyFill="0" applyBorder="0" applyAlignment="0" applyProtection="0"/>
    <xf numFmtId="219" fontId="15" fillId="0" borderId="0">
      <alignment horizontal="right"/>
    </xf>
    <xf numFmtId="14" fontId="24" fillId="0" borderId="0" applyFill="0" applyBorder="0" applyAlignment="0"/>
    <xf numFmtId="14" fontId="25" fillId="0" borderId="0">
      <alignment horizontal="right"/>
    </xf>
    <xf numFmtId="14" fontId="69" fillId="0" borderId="0">
      <alignment horizontal="right"/>
      <protection locked="0"/>
    </xf>
    <xf numFmtId="220" fontId="70" fillId="0" borderId="0" applyFill="0" applyProtection="0">
      <alignment vertical="center"/>
    </xf>
    <xf numFmtId="221" fontId="25" fillId="0" borderId="0">
      <alignment horizontal="right"/>
    </xf>
    <xf numFmtId="222" fontId="25" fillId="0" borderId="0">
      <alignment horizontal="right"/>
    </xf>
    <xf numFmtId="223" fontId="15" fillId="0" borderId="0">
      <alignment horizontal="right"/>
    </xf>
    <xf numFmtId="8" fontId="15" fillId="0" borderId="0" applyFill="0" applyBorder="0" applyProtection="0"/>
    <xf numFmtId="224" fontId="25" fillId="0" borderId="0"/>
    <xf numFmtId="224" fontId="71" fillId="0" borderId="0">
      <protection locked="0"/>
    </xf>
    <xf numFmtId="7" fontId="25" fillId="0" borderId="0"/>
    <xf numFmtId="0" fontId="27" fillId="0" borderId="30" applyNumberFormat="0" applyFont="0" applyFill="0" applyAlignment="0" applyProtection="0"/>
    <xf numFmtId="42" fontId="72" fillId="0" borderId="0" applyFill="0" applyBorder="0" applyAlignment="0" applyProtection="0"/>
    <xf numFmtId="171" fontId="9" fillId="14" borderId="0">
      <alignment vertical="center"/>
    </xf>
    <xf numFmtId="171" fontId="10" fillId="0" borderId="0">
      <alignment vertical="center"/>
    </xf>
    <xf numFmtId="171" fontId="10" fillId="0" borderId="0">
      <alignment vertical="center"/>
    </xf>
    <xf numFmtId="171" fontId="73" fillId="15" borderId="31" applyNumberFormat="0" applyAlignment="0">
      <alignment horizontal="center" vertical="center"/>
    </xf>
    <xf numFmtId="171" fontId="74" fillId="15" borderId="0">
      <alignment horizontal="center" vertical="center"/>
    </xf>
    <xf numFmtId="14" fontId="9" fillId="15" borderId="0">
      <alignment horizontal="center" vertical="center"/>
    </xf>
    <xf numFmtId="17" fontId="68" fillId="15" borderId="0">
      <alignment horizontal="center" vertical="center"/>
    </xf>
    <xf numFmtId="171" fontId="16" fillId="0" borderId="0">
      <alignment vertical="center"/>
    </xf>
    <xf numFmtId="171" fontId="75" fillId="15" borderId="0">
      <alignment vertical="center"/>
    </xf>
    <xf numFmtId="171" fontId="76" fillId="15" borderId="0">
      <alignment vertical="center"/>
    </xf>
    <xf numFmtId="167" fontId="77" fillId="15" borderId="32">
      <alignment vertical="center"/>
    </xf>
    <xf numFmtId="0" fontId="9" fillId="15" borderId="32">
      <alignment vertical="center"/>
    </xf>
    <xf numFmtId="37" fontId="68" fillId="15" borderId="0">
      <alignment horizontal="left" vertical="center"/>
    </xf>
    <xf numFmtId="171" fontId="68" fillId="15" borderId="0">
      <alignment horizontal="center" vertical="center"/>
    </xf>
    <xf numFmtId="225" fontId="40" fillId="15" borderId="0">
      <alignment horizontal="right" vertical="center"/>
    </xf>
    <xf numFmtId="165" fontId="40" fillId="15" borderId="0">
      <alignment horizontal="right" vertical="center"/>
    </xf>
    <xf numFmtId="167" fontId="78" fillId="15" borderId="0">
      <alignment horizontal="right" vertical="center"/>
    </xf>
    <xf numFmtId="167" fontId="78" fillId="15" borderId="8">
      <alignment horizontal="right" vertical="center"/>
    </xf>
    <xf numFmtId="165" fontId="79" fillId="15" borderId="32">
      <alignment horizontal="right" vertical="center"/>
    </xf>
    <xf numFmtId="170" fontId="30" fillId="15" borderId="0">
      <alignment horizontal="right" vertical="center"/>
    </xf>
    <xf numFmtId="4" fontId="40" fillId="15" borderId="0">
      <alignment horizontal="right" vertical="center"/>
    </xf>
    <xf numFmtId="170" fontId="68" fillId="15" borderId="27">
      <alignment horizontal="right" vertical="center"/>
    </xf>
    <xf numFmtId="165" fontId="68" fillId="15" borderId="27">
      <alignment horizontal="right" vertical="center"/>
    </xf>
    <xf numFmtId="165" fontId="79" fillId="15" borderId="0">
      <alignment horizontal="right" vertical="center"/>
    </xf>
    <xf numFmtId="219" fontId="68" fillId="15" borderId="0">
      <alignment horizontal="right" vertical="center"/>
    </xf>
    <xf numFmtId="171" fontId="9" fillId="0" borderId="0">
      <alignment vertical="center"/>
    </xf>
    <xf numFmtId="171" fontId="16" fillId="15" borderId="27" applyBorder="0">
      <alignment horizontal="left" vertical="center"/>
    </xf>
    <xf numFmtId="171" fontId="80" fillId="15" borderId="0">
      <alignment horizontal="left" vertical="center"/>
    </xf>
    <xf numFmtId="171" fontId="16" fillId="15" borderId="33">
      <alignment horizontal="left"/>
    </xf>
    <xf numFmtId="171" fontId="25" fillId="15" borderId="34">
      <alignment vertical="center"/>
    </xf>
    <xf numFmtId="171" fontId="25" fillId="15" borderId="35">
      <alignment vertical="center"/>
    </xf>
    <xf numFmtId="171" fontId="25" fillId="15" borderId="8">
      <alignment vertical="center"/>
    </xf>
    <xf numFmtId="171" fontId="10" fillId="15" borderId="36">
      <alignment horizontal="center" vertical="center"/>
    </xf>
    <xf numFmtId="171" fontId="10" fillId="0" borderId="0">
      <alignment vertical="center"/>
    </xf>
    <xf numFmtId="171" fontId="10" fillId="0" borderId="0">
      <alignment vertical="center"/>
    </xf>
    <xf numFmtId="171" fontId="10" fillId="0" borderId="0">
      <alignment vertical="center"/>
    </xf>
    <xf numFmtId="167" fontId="81" fillId="0" borderId="37" applyNumberFormat="0" applyAlignment="0" applyProtection="0">
      <alignment vertical="top"/>
    </xf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82" fillId="0" borderId="0" applyNumberFormat="0" applyAlignment="0">
      <alignment horizontal="left"/>
    </xf>
    <xf numFmtId="226" fontId="15" fillId="0" borderId="0" applyFont="0" applyFill="0" applyBorder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8" fillId="0" borderId="0" applyNumberFormat="0" applyFill="0" applyBorder="0" applyAlignment="0" applyProtection="0"/>
    <xf numFmtId="167" fontId="38" fillId="0" borderId="0" applyBorder="0"/>
    <xf numFmtId="227" fontId="9" fillId="0" borderId="0">
      <protection locked="0"/>
    </xf>
    <xf numFmtId="0" fontId="59" fillId="0" borderId="0"/>
    <xf numFmtId="0" fontId="83" fillId="0" borderId="0" applyFill="0" applyBorder="0" applyProtection="0">
      <alignment horizontal="left"/>
    </xf>
    <xf numFmtId="216" fontId="84" fillId="0" borderId="0"/>
    <xf numFmtId="0" fontId="85" fillId="0" borderId="0">
      <alignment horizontal="left" indent="2"/>
    </xf>
    <xf numFmtId="38" fontId="86" fillId="16" borderId="0" applyNumberFormat="0" applyBorder="0" applyAlignment="0" applyProtection="0"/>
    <xf numFmtId="0" fontId="27" fillId="0" borderId="0" applyFont="0" applyFill="0" applyBorder="0" applyAlignment="0" applyProtection="0">
      <alignment horizontal="right"/>
    </xf>
    <xf numFmtId="0" fontId="87" fillId="17" borderId="0"/>
    <xf numFmtId="0" fontId="15" fillId="0" borderId="0"/>
    <xf numFmtId="0" fontId="88" fillId="0" borderId="0" applyNumberFormat="0" applyFill="0" applyBorder="0" applyAlignment="0" applyProtection="0">
      <alignment horizontal="left"/>
    </xf>
    <xf numFmtId="0" fontId="89" fillId="0" borderId="0" applyNumberFormat="0" applyFill="0" applyBorder="0" applyAlignment="0" applyProtection="0">
      <alignment horizontal="left"/>
    </xf>
    <xf numFmtId="0" fontId="90" fillId="0" borderId="0" applyNumberFormat="0" applyFill="0" applyBorder="0" applyAlignment="0" applyProtection="0">
      <alignment horizontal="left"/>
    </xf>
    <xf numFmtId="0" fontId="91" fillId="0" borderId="0" applyNumberFormat="0" applyFill="0" applyBorder="0" applyAlignment="0" applyProtection="0">
      <alignment horizontal="left"/>
    </xf>
    <xf numFmtId="0" fontId="92" fillId="0" borderId="0" applyNumberFormat="0" applyFill="0" applyAlignment="0" applyProtection="0">
      <alignment horizontal="left"/>
    </xf>
    <xf numFmtId="0" fontId="91" fillId="0" borderId="0" applyNumberFormat="0" applyFill="0" applyBorder="0" applyAlignment="0" applyProtection="0">
      <alignment horizontal="left"/>
    </xf>
    <xf numFmtId="0" fontId="92" fillId="0" borderId="0" applyNumberFormat="0" applyFill="0" applyBorder="0" applyAlignment="0" applyProtection="0">
      <alignment horizontal="left"/>
    </xf>
    <xf numFmtId="0" fontId="93" fillId="0" borderId="0" applyNumberFormat="0" applyFill="0" applyBorder="0" applyAlignment="0" applyProtection="0">
      <alignment horizontal="left"/>
    </xf>
    <xf numFmtId="0" fontId="94" fillId="0" borderId="0" applyNumberFormat="0" applyFill="0" applyBorder="0" applyAlignment="0" applyProtection="0">
      <alignment horizontal="left"/>
    </xf>
    <xf numFmtId="0" fontId="95" fillId="0" borderId="0" applyNumberFormat="0" applyFill="0" applyBorder="0" applyAlignment="0" applyProtection="0"/>
    <xf numFmtId="0" fontId="96" fillId="0" borderId="6" applyNumberFormat="0" applyAlignment="0" applyProtection="0">
      <alignment horizontal="left" vertical="center"/>
    </xf>
    <xf numFmtId="0" fontId="96" fillId="0" borderId="3">
      <alignment horizontal="left" vertical="center"/>
    </xf>
    <xf numFmtId="8" fontId="34" fillId="0" borderId="0" applyProtection="0">
      <alignment horizontal="center"/>
    </xf>
    <xf numFmtId="0" fontId="20" fillId="0" borderId="0">
      <alignment horizontal="right"/>
    </xf>
    <xf numFmtId="0" fontId="20" fillId="0" borderId="0">
      <alignment horizontal="left"/>
    </xf>
    <xf numFmtId="0" fontId="15" fillId="0" borderId="0">
      <protection locked="0"/>
    </xf>
    <xf numFmtId="0" fontId="15" fillId="0" borderId="0">
      <protection locked="0"/>
    </xf>
    <xf numFmtId="0" fontId="97" fillId="0" borderId="39" applyNumberFormat="0" applyFill="0" applyBorder="0" applyAlignment="0" applyProtection="0">
      <alignment horizontal="left"/>
    </xf>
    <xf numFmtId="0" fontId="98" fillId="0" borderId="0">
      <alignment horizontal="center"/>
    </xf>
    <xf numFmtId="0" fontId="99" fillId="0" borderId="11"/>
    <xf numFmtId="0" fontId="15" fillId="12" borderId="5" applyNumberFormat="0" applyFont="0" applyBorder="0" applyAlignment="0" applyProtection="0"/>
    <xf numFmtId="0" fontId="15" fillId="12" borderId="5" applyNumberFormat="0" applyFont="0" applyBorder="0" applyAlignment="0" applyProtection="0"/>
    <xf numFmtId="0" fontId="15" fillId="12" borderId="5" applyNumberFormat="0" applyFont="0" applyBorder="0" applyAlignment="0" applyProtection="0"/>
    <xf numFmtId="0" fontId="15" fillId="12" borderId="5" applyNumberFormat="0" applyFont="0" applyBorder="0" applyAlignment="0" applyProtection="0"/>
    <xf numFmtId="0" fontId="15" fillId="12" borderId="5" applyNumberFormat="0" applyFont="0" applyBorder="0" applyAlignment="0" applyProtection="0"/>
    <xf numFmtId="0" fontId="15" fillId="12" borderId="5" applyNumberFormat="0" applyFont="0" applyBorder="0" applyAlignment="0" applyProtection="0"/>
    <xf numFmtId="3" fontId="49" fillId="0" borderId="0" applyNumberFormat="0" applyFill="0" applyBorder="0" applyAlignment="0" applyProtection="0"/>
    <xf numFmtId="228" fontId="9" fillId="0" borderId="0"/>
    <xf numFmtId="228" fontId="100" fillId="0" borderId="0" applyFont="0" applyFill="0" applyBorder="0" applyAlignment="0" applyProtection="0"/>
    <xf numFmtId="0" fontId="101" fillId="0" borderId="40" applyNumberFormat="0" applyFill="0" applyAlignment="0" applyProtection="0"/>
    <xf numFmtId="37" fontId="38" fillId="0" borderId="0" applyBorder="0"/>
    <xf numFmtId="10" fontId="86" fillId="18" borderId="1" applyNumberFormat="0" applyBorder="0" applyAlignment="0" applyProtection="0"/>
    <xf numFmtId="40" fontId="42" fillId="0" borderId="1">
      <protection locked="0"/>
    </xf>
    <xf numFmtId="38" fontId="42" fillId="0" borderId="1">
      <protection locked="0"/>
    </xf>
    <xf numFmtId="8" fontId="42" fillId="0" borderId="1">
      <protection locked="0"/>
    </xf>
    <xf numFmtId="6" fontId="42" fillId="0" borderId="1">
      <protection locked="0"/>
    </xf>
    <xf numFmtId="10" fontId="42" fillId="0" borderId="1">
      <protection locked="0"/>
    </xf>
    <xf numFmtId="9" fontId="42" fillId="0" borderId="1">
      <protection locked="0"/>
    </xf>
    <xf numFmtId="38" fontId="101" fillId="0" borderId="0"/>
    <xf numFmtId="40" fontId="9" fillId="0" borderId="0"/>
    <xf numFmtId="229" fontId="25" fillId="0" borderId="0">
      <alignment horizontal="left"/>
    </xf>
    <xf numFmtId="0" fontId="15" fillId="0" borderId="28"/>
    <xf numFmtId="2" fontId="102" fillId="0" borderId="1"/>
    <xf numFmtId="0" fontId="86" fillId="16" borderId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37" fontId="103" fillId="0" borderId="0" applyNumberFormat="0" applyFill="0" applyBorder="0" applyAlignment="0" applyProtection="0">
      <alignment horizontal="right"/>
    </xf>
    <xf numFmtId="44" fontId="8" fillId="0" borderId="0">
      <alignment horizontal="justify"/>
    </xf>
    <xf numFmtId="230" fontId="38" fillId="0" borderId="0"/>
    <xf numFmtId="231" fontId="27" fillId="0" borderId="0" applyFill="0" applyBorder="0" applyAlignment="0" applyProtection="0">
      <alignment horizontal="right"/>
    </xf>
    <xf numFmtId="232" fontId="15" fillId="0" borderId="0" applyFont="0" applyFill="0" applyBorder="0" applyAlignment="0" applyProtection="0"/>
    <xf numFmtId="233" fontId="15" fillId="0" borderId="0" applyFont="0" applyFill="0" applyBorder="0" applyAlignment="0" applyProtection="0"/>
    <xf numFmtId="234" fontId="15" fillId="0" borderId="0" applyFont="0" applyFill="0" applyBorder="0" applyAlignment="0" applyProtection="0"/>
    <xf numFmtId="235" fontId="15" fillId="0" borderId="0" applyFont="0" applyFill="0" applyBorder="0" applyAlignment="0" applyProtection="0"/>
    <xf numFmtId="236" fontId="15" fillId="0" borderId="0" applyFont="0" applyFill="0" applyBorder="0" applyAlignment="0" applyProtection="0"/>
    <xf numFmtId="237" fontId="15" fillId="0" borderId="0" applyFont="0" applyFill="0" applyBorder="0" applyAlignment="0" applyProtection="0"/>
    <xf numFmtId="238" fontId="15" fillId="0" borderId="0" applyFont="0" applyFill="0" applyBorder="0" applyAlignment="0" applyProtection="0"/>
    <xf numFmtId="239" fontId="104" fillId="0" borderId="0" applyFont="0" applyFill="0" applyBorder="0" applyAlignment="0" applyProtection="0"/>
    <xf numFmtId="240" fontId="15" fillId="0" borderId="0" applyFont="0" applyFill="0" applyBorder="0" applyAlignment="0" applyProtection="0"/>
    <xf numFmtId="241" fontId="15" fillId="0" borderId="0" applyFont="0" applyFill="0" applyBorder="0" applyAlignment="0" applyProtection="0"/>
    <xf numFmtId="242" fontId="15" fillId="0" borderId="0" applyFont="0" applyFill="0" applyBorder="0" applyAlignment="0" applyProtection="0"/>
    <xf numFmtId="237" fontId="15" fillId="0" borderId="0" applyFont="0" applyFill="0" applyBorder="0" applyAlignment="0" applyProtection="0"/>
    <xf numFmtId="0" fontId="105" fillId="0" borderId="0"/>
    <xf numFmtId="0" fontId="27" fillId="0" borderId="0" applyFont="0" applyFill="0" applyBorder="0" applyAlignment="0" applyProtection="0">
      <alignment horizontal="right"/>
    </xf>
    <xf numFmtId="243" fontId="25" fillId="0" borderId="0" applyFont="0" applyFill="0" applyBorder="0" applyAlignment="0" applyProtection="0"/>
    <xf numFmtId="244" fontId="25" fillId="0" borderId="0" applyFont="0" applyFill="0" applyBorder="0" applyAlignment="0" applyProtection="0"/>
    <xf numFmtId="245" fontId="27" fillId="0" borderId="0" applyFont="0" applyFill="0" applyBorder="0" applyAlignment="0" applyProtection="0">
      <alignment horizontal="right"/>
    </xf>
    <xf numFmtId="37" fontId="106" fillId="0" borderId="0"/>
    <xf numFmtId="38" fontId="26" fillId="0" borderId="1"/>
    <xf numFmtId="246" fontId="107" fillId="0" borderId="0"/>
    <xf numFmtId="0" fontId="15" fillId="0" borderId="0"/>
    <xf numFmtId="0" fontId="61" fillId="12" borderId="41"/>
    <xf numFmtId="17" fontId="61" fillId="0" borderId="29">
      <alignment horizontal="center"/>
    </xf>
    <xf numFmtId="0" fontId="15" fillId="0" borderId="0"/>
    <xf numFmtId="0" fontId="108" fillId="0" borderId="0"/>
    <xf numFmtId="0" fontId="48" fillId="0" borderId="29"/>
    <xf numFmtId="247" fontId="9" fillId="15" borderId="0" applyBorder="0">
      <alignment vertical="center"/>
    </xf>
    <xf numFmtId="3" fontId="46" fillId="0" borderId="42">
      <protection locked="0"/>
    </xf>
    <xf numFmtId="9" fontId="46" fillId="0" borderId="42"/>
    <xf numFmtId="248" fontId="26" fillId="0" borderId="17"/>
    <xf numFmtId="3" fontId="9" fillId="0" borderId="1"/>
    <xf numFmtId="248" fontId="109" fillId="19" borderId="1"/>
    <xf numFmtId="189" fontId="110" fillId="0" borderId="0"/>
    <xf numFmtId="3" fontId="26" fillId="0" borderId="43"/>
    <xf numFmtId="0" fontId="26" fillId="0" borderId="1"/>
    <xf numFmtId="1" fontId="71" fillId="0" borderId="0">
      <alignment horizontal="right"/>
      <protection locked="0"/>
    </xf>
    <xf numFmtId="171" fontId="75" fillId="0" borderId="0">
      <alignment horizontal="right"/>
      <protection locked="0"/>
    </xf>
    <xf numFmtId="0" fontId="71" fillId="0" borderId="0">
      <protection locked="0"/>
    </xf>
    <xf numFmtId="2" fontId="75" fillId="0" borderId="0">
      <alignment horizontal="right"/>
      <protection locked="0"/>
    </xf>
    <xf numFmtId="2" fontId="71" fillId="0" borderId="0">
      <alignment horizontal="right"/>
      <protection locked="0"/>
    </xf>
    <xf numFmtId="249" fontId="15" fillId="0" borderId="0" applyFont="0" applyBorder="0" applyAlignment="0">
      <alignment horizontal="centerContinuous"/>
    </xf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0" fontId="15" fillId="0" borderId="38" applyNumberFormat="0" applyFont="0" applyFill="0" applyAlignment="0" applyProtection="0"/>
    <xf numFmtId="40" fontId="111" fillId="0" borderId="0" applyFont="0" applyFill="0" applyBorder="0" applyAlignment="0" applyProtection="0"/>
    <xf numFmtId="38" fontId="111" fillId="0" borderId="0" applyFont="0" applyFill="0" applyBorder="0" applyAlignment="0" applyProtection="0"/>
    <xf numFmtId="0" fontId="85" fillId="20" borderId="1" applyNumberFormat="0" applyAlignment="0">
      <protection locked="0"/>
    </xf>
    <xf numFmtId="0" fontId="47" fillId="0" borderId="44">
      <alignment horizontal="left" wrapText="1"/>
    </xf>
    <xf numFmtId="4" fontId="24" fillId="15" borderId="0">
      <alignment horizontal="right"/>
    </xf>
    <xf numFmtId="0" fontId="112" fillId="15" borderId="0">
      <alignment horizontal="center" vertical="center"/>
    </xf>
    <xf numFmtId="0" fontId="113" fillId="15" borderId="13"/>
    <xf numFmtId="0" fontId="112" fillId="15" borderId="0" applyBorder="0">
      <alignment horizontal="centerContinuous"/>
    </xf>
    <xf numFmtId="0" fontId="114" fillId="15" borderId="0" applyBorder="0">
      <alignment horizontal="centerContinuous"/>
    </xf>
    <xf numFmtId="0" fontId="15" fillId="0" borderId="45" applyNumberFormat="0" applyFont="0" applyFill="0" applyAlignment="0" applyProtection="0"/>
    <xf numFmtId="0" fontId="15" fillId="0" borderId="45" applyNumberFormat="0" applyFont="0" applyFill="0" applyAlignment="0" applyProtection="0"/>
    <xf numFmtId="0" fontId="15" fillId="0" borderId="45" applyNumberFormat="0" applyFont="0" applyFill="0" applyAlignment="0" applyProtection="0"/>
    <xf numFmtId="0" fontId="15" fillId="0" borderId="45" applyNumberFormat="0" applyFont="0" applyFill="0" applyAlignment="0" applyProtection="0"/>
    <xf numFmtId="0" fontId="15" fillId="0" borderId="45" applyNumberFormat="0" applyFont="0" applyFill="0" applyAlignment="0" applyProtection="0"/>
    <xf numFmtId="0" fontId="15" fillId="0" borderId="45" applyNumberFormat="0" applyFont="0" applyFill="0" applyAlignment="0" applyProtection="0"/>
    <xf numFmtId="0" fontId="15" fillId="0" borderId="4" applyNumberFormat="0" applyFont="0" applyFill="0" applyAlignment="0" applyProtection="0"/>
    <xf numFmtId="250" fontId="38" fillId="0" borderId="22" applyBorder="0"/>
    <xf numFmtId="0" fontId="115" fillId="0" borderId="0" applyProtection="0">
      <alignment horizontal="left"/>
    </xf>
    <xf numFmtId="0" fontId="115" fillId="0" borderId="0" applyFill="0" applyBorder="0" applyProtection="0">
      <alignment horizontal="left"/>
    </xf>
    <xf numFmtId="0" fontId="19" fillId="0" borderId="0" applyFill="0" applyBorder="0" applyProtection="0">
      <alignment horizontal="left"/>
    </xf>
    <xf numFmtId="1" fontId="116" fillId="0" borderId="0" applyProtection="0">
      <alignment horizontal="right" vertical="center"/>
    </xf>
    <xf numFmtId="0" fontId="117" fillId="21" borderId="46"/>
    <xf numFmtId="171" fontId="15" fillId="0" borderId="0" applyFill="0"/>
    <xf numFmtId="0" fontId="10" fillId="0" borderId="47" applyNumberFormat="0" applyAlignment="0" applyProtection="0"/>
    <xf numFmtId="0" fontId="9" fillId="19" borderId="0" applyNumberFormat="0" applyFont="0" applyBorder="0" applyAlignment="0" applyProtection="0"/>
    <xf numFmtId="0" fontId="86" fillId="22" borderId="48" applyNumberFormat="0" applyFont="0" applyBorder="0" applyAlignment="0" applyProtection="0">
      <alignment horizontal="center"/>
    </xf>
    <xf numFmtId="0" fontId="86" fillId="12" borderId="48" applyNumberFormat="0" applyFont="0" applyBorder="0" applyAlignment="0" applyProtection="0">
      <alignment horizontal="center"/>
    </xf>
    <xf numFmtId="0" fontId="9" fillId="0" borderId="49" applyNumberFormat="0" applyAlignment="0" applyProtection="0"/>
    <xf numFmtId="0" fontId="9" fillId="0" borderId="50" applyNumberFormat="0" applyAlignment="0" applyProtection="0"/>
    <xf numFmtId="0" fontId="10" fillId="0" borderId="51" applyNumberFormat="0" applyAlignment="0" applyProtection="0"/>
    <xf numFmtId="49" fontId="118" fillId="0" borderId="27" applyFill="0" applyProtection="0">
      <alignment vertical="center"/>
    </xf>
    <xf numFmtId="14" fontId="25" fillId="0" borderId="0">
      <alignment horizontal="center" wrapText="1"/>
      <protection locked="0"/>
    </xf>
    <xf numFmtId="0" fontId="25" fillId="0" borderId="0">
      <alignment horizontal="right"/>
    </xf>
    <xf numFmtId="0" fontId="59" fillId="0" borderId="0"/>
    <xf numFmtId="0" fontId="58" fillId="0" borderId="0"/>
    <xf numFmtId="0" fontId="59" fillId="0" borderId="0"/>
    <xf numFmtId="9" fontId="9" fillId="0" borderId="0" applyFont="0" applyFill="0" applyBorder="0" applyAlignment="0" applyProtection="0"/>
    <xf numFmtId="10" fontId="9" fillId="0" borderId="0" applyFont="0" applyFill="0" applyBorder="0" applyAlignment="0" applyProtection="0"/>
    <xf numFmtId="0" fontId="15" fillId="0" borderId="0" applyFont="0" applyFill="0" applyBorder="0" applyAlignment="0" applyProtection="0"/>
    <xf numFmtId="0" fontId="15" fillId="0" borderId="0" applyFont="0" applyFill="0" applyBorder="0" applyAlignment="0" applyProtection="0"/>
    <xf numFmtId="10" fontId="15" fillId="0" borderId="0" applyFont="0" applyFill="0" applyBorder="0" applyAlignment="0" applyProtection="0"/>
    <xf numFmtId="167" fontId="25" fillId="0" borderId="0">
      <alignment horizontal="right"/>
    </xf>
    <xf numFmtId="10" fontId="25" fillId="0" borderId="0">
      <alignment horizontal="right"/>
    </xf>
    <xf numFmtId="251" fontId="25" fillId="0" borderId="0" applyFont="0" applyFill="0" applyBorder="0" applyProtection="0">
      <alignment horizontal="right"/>
    </xf>
    <xf numFmtId="9" fontId="25" fillId="0" borderId="0">
      <alignment horizontal="right"/>
    </xf>
    <xf numFmtId="9" fontId="61" fillId="0" borderId="19">
      <alignment horizontal="center"/>
    </xf>
    <xf numFmtId="167" fontId="25" fillId="0" borderId="0"/>
    <xf numFmtId="167" fontId="71" fillId="0" borderId="0"/>
    <xf numFmtId="10" fontId="25" fillId="0" borderId="0"/>
    <xf numFmtId="10" fontId="71" fillId="0" borderId="0">
      <protection locked="0"/>
    </xf>
    <xf numFmtId="9" fontId="61" fillId="0" borderId="19">
      <alignment horizontal="right"/>
    </xf>
    <xf numFmtId="252" fontId="15" fillId="0" borderId="0"/>
    <xf numFmtId="9" fontId="15" fillId="0" borderId="0" applyFont="0" applyFill="0" applyBorder="0" applyAlignment="0" applyProtection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253" fontId="15" fillId="0" borderId="0" applyProtection="0">
      <alignment horizontal="right"/>
    </xf>
    <xf numFmtId="253" fontId="15" fillId="0" borderId="0">
      <alignment horizontal="right"/>
      <protection locked="0"/>
    </xf>
    <xf numFmtId="5" fontId="119" fillId="0" borderId="0"/>
    <xf numFmtId="0" fontId="120" fillId="0" borderId="0" applyNumberFormat="0" applyFont="0" applyFill="0" applyBorder="0" applyAlignment="0" applyProtection="0">
      <alignment horizontal="left"/>
    </xf>
    <xf numFmtId="15" fontId="120" fillId="0" borderId="0" applyFont="0" applyFill="0" applyBorder="0" applyAlignment="0" applyProtection="0"/>
    <xf numFmtId="4" fontId="120" fillId="0" borderId="0" applyFont="0" applyFill="0" applyBorder="0" applyAlignment="0" applyProtection="0"/>
    <xf numFmtId="0" fontId="121" fillId="0" borderId="22">
      <alignment horizontal="center"/>
    </xf>
    <xf numFmtId="3" fontId="120" fillId="0" borderId="0" applyFont="0" applyFill="0" applyBorder="0" applyAlignment="0" applyProtection="0"/>
    <xf numFmtId="0" fontId="120" fillId="23" borderId="0" applyNumberFormat="0" applyFont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122" fillId="24" borderId="0" applyNumberFormat="0" applyFont="0" applyBorder="0" applyAlignment="0">
      <alignment horizontal="center"/>
    </xf>
    <xf numFmtId="14" fontId="123" fillId="0" borderId="0" applyNumberFormat="0" applyFill="0" applyBorder="0" applyAlignment="0" applyProtection="0">
      <alignment horizontal="left"/>
    </xf>
    <xf numFmtId="0" fontId="124" fillId="0" borderId="0" applyNumberFormat="0" applyFill="0" applyBorder="0" applyProtection="0">
      <alignment horizontal="right" vertical="center"/>
    </xf>
    <xf numFmtId="0" fontId="64" fillId="0" borderId="0"/>
    <xf numFmtId="0" fontId="125" fillId="0" borderId="52">
      <alignment vertical="center"/>
    </xf>
    <xf numFmtId="0" fontId="119" fillId="0" borderId="53"/>
    <xf numFmtId="171" fontId="15" fillId="0" borderId="0" applyProtection="0">
      <alignment horizontal="center"/>
    </xf>
    <xf numFmtId="254" fontId="15" fillId="0" borderId="0" applyFont="0" applyFill="0" applyBorder="0" applyAlignment="0" applyProtection="0"/>
    <xf numFmtId="0" fontId="9" fillId="25" borderId="0" applyNumberFormat="0" applyFont="0" applyBorder="0" applyAlignment="0" applyProtection="0"/>
    <xf numFmtId="0" fontId="122" fillId="1" borderId="3" applyNumberFormat="0" applyFont="0" applyAlignment="0">
      <alignment horizontal="center"/>
    </xf>
    <xf numFmtId="42" fontId="50" fillId="0" borderId="0" applyFill="0" applyBorder="0" applyAlignment="0" applyProtection="0"/>
    <xf numFmtId="0" fontId="126" fillId="0" borderId="0" applyNumberFormat="0">
      <alignment horizontal="left"/>
    </xf>
    <xf numFmtId="2" fontId="23" fillId="0" borderId="54"/>
    <xf numFmtId="0" fontId="15" fillId="12" borderId="0" applyNumberFormat="0" applyBorder="0" applyProtection="0">
      <alignment horizontal="center"/>
    </xf>
    <xf numFmtId="0" fontId="127" fillId="0" borderId="0" applyNumberFormat="0" applyFill="0" applyBorder="0" applyAlignment="0">
      <alignment horizontal="center"/>
    </xf>
    <xf numFmtId="0" fontId="15" fillId="0" borderId="0"/>
    <xf numFmtId="0" fontId="128" fillId="0" borderId="0"/>
    <xf numFmtId="0" fontId="15" fillId="0" borderId="0">
      <alignment horizontal="left" wrapText="1"/>
    </xf>
    <xf numFmtId="0" fontId="109" fillId="0" borderId="55"/>
    <xf numFmtId="0" fontId="129" fillId="0" borderId="0"/>
    <xf numFmtId="0" fontId="130" fillId="0" borderId="0">
      <alignment horizontal="left"/>
    </xf>
    <xf numFmtId="213" fontId="15" fillId="0" borderId="0" applyFill="0" applyBorder="0" applyAlignment="0" applyProtection="0"/>
    <xf numFmtId="0" fontId="19" fillId="0" borderId="0"/>
    <xf numFmtId="0" fontId="56" fillId="0" borderId="0">
      <alignment horizontal="left" indent="1"/>
    </xf>
    <xf numFmtId="49" fontId="38" fillId="0" borderId="0"/>
    <xf numFmtId="0" fontId="131" fillId="0" borderId="0" applyFill="0" applyBorder="0" applyProtection="0">
      <alignment horizontal="center" vertical="center"/>
    </xf>
    <xf numFmtId="0" fontId="132" fillId="0" borderId="0" applyBorder="0" applyProtection="0">
      <alignment vertical="center"/>
    </xf>
    <xf numFmtId="0" fontId="132" fillId="0" borderId="27" applyBorder="0" applyProtection="0">
      <alignment horizontal="right" vertical="center"/>
    </xf>
    <xf numFmtId="0" fontId="133" fillId="26" borderId="0" applyBorder="0" applyProtection="0">
      <alignment horizontal="centerContinuous" vertical="center"/>
    </xf>
    <xf numFmtId="0" fontId="133" fillId="2" borderId="27" applyBorder="0" applyProtection="0">
      <alignment horizontal="centerContinuous" vertical="center"/>
    </xf>
    <xf numFmtId="0" fontId="134" fillId="0" borderId="0"/>
    <xf numFmtId="0" fontId="135" fillId="0" borderId="0" applyBorder="0" applyProtection="0">
      <alignment horizontal="left"/>
    </xf>
    <xf numFmtId="0" fontId="136" fillId="0" borderId="0" applyFill="0" applyBorder="0" applyProtection="0"/>
    <xf numFmtId="0" fontId="108" fillId="0" borderId="0"/>
    <xf numFmtId="0" fontId="137" fillId="0" borderId="0" applyFill="0" applyBorder="0" applyProtection="0">
      <alignment horizontal="left"/>
    </xf>
    <xf numFmtId="0" fontId="83" fillId="0" borderId="56" applyFill="0" applyBorder="0" applyProtection="0">
      <alignment horizontal="left" vertical="top"/>
    </xf>
    <xf numFmtId="0" fontId="10" fillId="0" borderId="0">
      <alignment horizontal="centerContinuous"/>
    </xf>
    <xf numFmtId="203" fontId="138" fillId="0" borderId="0" applyNumberFormat="0" applyFill="0" applyBorder="0">
      <alignment horizontal="left"/>
    </xf>
    <xf numFmtId="0" fontId="139" fillId="0" borderId="0"/>
    <xf numFmtId="0" fontId="71" fillId="0" borderId="0">
      <alignment horizontal="left"/>
      <protection locked="0"/>
    </xf>
    <xf numFmtId="0" fontId="140" fillId="0" borderId="0"/>
    <xf numFmtId="49" fontId="24" fillId="0" borderId="0" applyFill="0" applyBorder="0" applyAlignment="0"/>
    <xf numFmtId="0" fontId="15" fillId="0" borderId="0" applyFill="0" applyBorder="0" applyAlignment="0"/>
    <xf numFmtId="0" fontId="15" fillId="0" borderId="0" applyFill="0" applyBorder="0" applyAlignment="0"/>
    <xf numFmtId="18" fontId="38" fillId="0" borderId="0" applyFill="0" applyProtection="0">
      <alignment horizontal="center"/>
    </xf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40" fontId="12" fillId="0" borderId="0"/>
    <xf numFmtId="0" fontId="11" fillId="0" borderId="0" applyNumberFormat="0" applyFont="0" applyBorder="0" applyAlignment="0"/>
    <xf numFmtId="0" fontId="141" fillId="0" borderId="0">
      <alignment horizontal="center"/>
    </xf>
    <xf numFmtId="229" fontId="10" fillId="0" borderId="0">
      <alignment horizontal="centerContinuous"/>
    </xf>
    <xf numFmtId="229" fontId="142" fillId="0" borderId="57">
      <alignment horizontal="centerContinuous"/>
    </xf>
    <xf numFmtId="229" fontId="14" fillId="0" borderId="0">
      <alignment horizontal="centerContinuous"/>
      <protection locked="0"/>
    </xf>
    <xf numFmtId="229" fontId="14" fillId="0" borderId="0">
      <alignment horizontal="left"/>
    </xf>
    <xf numFmtId="0" fontId="36" fillId="0" borderId="0">
      <alignment horizontal="center"/>
    </xf>
    <xf numFmtId="0" fontId="36" fillId="0" borderId="0">
      <alignment horizontal="left"/>
    </xf>
    <xf numFmtId="0" fontId="85" fillId="0" borderId="0">
      <alignment horizontal="center"/>
    </xf>
    <xf numFmtId="39" fontId="143" fillId="0" borderId="0">
      <alignment vertical="center"/>
    </xf>
    <xf numFmtId="39" fontId="143" fillId="0" borderId="0">
      <alignment vertical="center"/>
    </xf>
    <xf numFmtId="39" fontId="144" fillId="0" borderId="0">
      <alignment vertical="center"/>
    </xf>
    <xf numFmtId="0" fontId="145" fillId="0" borderId="0"/>
    <xf numFmtId="44" fontId="61" fillId="0" borderId="19"/>
    <xf numFmtId="0" fontId="146" fillId="0" borderId="0" applyNumberFormat="0" applyFill="0" applyBorder="0" applyAlignment="0" applyProtection="0">
      <alignment horizontal="left"/>
    </xf>
    <xf numFmtId="0" fontId="147" fillId="0" borderId="0" applyNumberFormat="0" applyFill="0" applyBorder="0" applyAlignment="0" applyProtection="0">
      <alignment horizontal="left"/>
    </xf>
    <xf numFmtId="0" fontId="148" fillId="0" borderId="0" applyNumberFormat="0" applyFill="0" applyBorder="0" applyAlignment="0" applyProtection="0">
      <alignment horizontal="left"/>
    </xf>
    <xf numFmtId="0" fontId="149" fillId="0" borderId="0" applyNumberFormat="0" applyFill="0" applyBorder="0" applyAlignment="0" applyProtection="0">
      <alignment horizontal="left"/>
    </xf>
    <xf numFmtId="0" fontId="150" fillId="0" borderId="0" applyNumberFormat="0" applyFill="0" applyBorder="0" applyAlignment="0" applyProtection="0">
      <alignment horizontal="left"/>
    </xf>
    <xf numFmtId="0" fontId="149" fillId="0" borderId="0" applyNumberFormat="0" applyFill="0" applyBorder="0" applyAlignment="0" applyProtection="0">
      <alignment horizontal="left"/>
    </xf>
    <xf numFmtId="0" fontId="150" fillId="0" borderId="0" applyNumberFormat="0" applyFill="0" applyBorder="0" applyAlignment="0" applyProtection="0">
      <alignment horizontal="left"/>
    </xf>
    <xf numFmtId="0" fontId="151" fillId="0" borderId="0">
      <alignment horizontal="left"/>
    </xf>
    <xf numFmtId="0" fontId="38" fillId="0" borderId="0" applyNumberFormat="0" applyFill="0" applyBorder="0" applyAlignment="0" applyProtection="0">
      <alignment horizontal="left"/>
    </xf>
    <xf numFmtId="44" fontId="152" fillId="0" borderId="19"/>
    <xf numFmtId="37" fontId="61" fillId="0" borderId="19"/>
    <xf numFmtId="0" fontId="15" fillId="12" borderId="0" applyNumberFormat="0" applyFont="0" applyBorder="0" applyAlignment="0" applyProtection="0"/>
    <xf numFmtId="0" fontId="15" fillId="12" borderId="0" applyNumberFormat="0" applyFont="0" applyBorder="0" applyAlignment="0" applyProtection="0"/>
    <xf numFmtId="0" fontId="15" fillId="12" borderId="0" applyNumberFormat="0" applyFont="0" applyBorder="0" applyAlignment="0" applyProtection="0"/>
    <xf numFmtId="0" fontId="15" fillId="12" borderId="0" applyNumberFormat="0" applyFont="0" applyBorder="0" applyAlignment="0" applyProtection="0"/>
    <xf numFmtId="0" fontId="15" fillId="12" borderId="0" applyNumberFormat="0" applyFont="0" applyBorder="0" applyAlignment="0" applyProtection="0"/>
    <xf numFmtId="0" fontId="15" fillId="12" borderId="0" applyNumberFormat="0" applyFont="0" applyBorder="0" applyAlignment="0" applyProtection="0"/>
    <xf numFmtId="255" fontId="15" fillId="0" borderId="0">
      <alignment horizontal="right"/>
    </xf>
    <xf numFmtId="203" fontId="153" fillId="0" borderId="0">
      <alignment horizontal="left"/>
      <protection locked="0"/>
    </xf>
    <xf numFmtId="222" fontId="142" fillId="0" borderId="0">
      <alignment horizontal="right"/>
    </xf>
    <xf numFmtId="223" fontId="15" fillId="0" borderId="0">
      <alignment horizontal="right"/>
    </xf>
    <xf numFmtId="1" fontId="142" fillId="0" borderId="0">
      <alignment horizontal="left"/>
    </xf>
    <xf numFmtId="221" fontId="142" fillId="0" borderId="0">
      <alignment horizontal="right"/>
    </xf>
    <xf numFmtId="0" fontId="154" fillId="0" borderId="0">
      <alignment horizontal="fill"/>
    </xf>
    <xf numFmtId="0" fontId="15" fillId="0" borderId="22" applyNumberFormat="0" applyFont="0" applyFill="0" applyAlignment="0" applyProtection="0"/>
    <xf numFmtId="0" fontId="15" fillId="0" borderId="22" applyNumberFormat="0" applyFont="0" applyFill="0" applyAlignment="0" applyProtection="0"/>
    <xf numFmtId="0" fontId="15" fillId="0" borderId="22" applyNumberFormat="0" applyFont="0" applyFill="0" applyAlignment="0" applyProtection="0"/>
    <xf numFmtId="0" fontId="15" fillId="0" borderId="22" applyNumberFormat="0" applyFont="0" applyFill="0" applyAlignment="0" applyProtection="0"/>
    <xf numFmtId="0" fontId="15" fillId="0" borderId="22" applyNumberFormat="0" applyFont="0" applyFill="0" applyAlignment="0" applyProtection="0"/>
    <xf numFmtId="0" fontId="15" fillId="0" borderId="22" applyNumberFormat="0" applyFont="0" applyFill="0" applyAlignment="0" applyProtection="0"/>
    <xf numFmtId="37" fontId="86" fillId="27" borderId="0" applyNumberFormat="0" applyBorder="0" applyAlignment="0" applyProtection="0"/>
    <xf numFmtId="37" fontId="86" fillId="0" borderId="0"/>
    <xf numFmtId="3" fontId="155" fillId="0" borderId="40" applyProtection="0"/>
    <xf numFmtId="0" fontId="15" fillId="0" borderId="0"/>
    <xf numFmtId="256" fontId="15" fillId="0" borderId="0" applyFont="0" applyFill="0" applyBorder="0" applyAlignment="0" applyProtection="0"/>
    <xf numFmtId="257" fontId="15" fillId="0" borderId="0" applyFont="0" applyFill="0" applyBorder="0" applyAlignment="0" applyProtection="0"/>
    <xf numFmtId="4" fontId="104" fillId="0" borderId="0" applyFont="0" applyFill="0" applyBorder="0" applyAlignment="0" applyProtection="0"/>
    <xf numFmtId="189" fontId="156" fillId="0" borderId="0"/>
    <xf numFmtId="0" fontId="157" fillId="28" borderId="0">
      <alignment horizontal="right"/>
    </xf>
    <xf numFmtId="189" fontId="157" fillId="28" borderId="0">
      <alignment horizontal="right"/>
    </xf>
    <xf numFmtId="189" fontId="157" fillId="28" borderId="0">
      <alignment horizontal="right"/>
    </xf>
    <xf numFmtId="0" fontId="157" fillId="28" borderId="0">
      <alignment horizontal="right"/>
    </xf>
    <xf numFmtId="189" fontId="157" fillId="28" borderId="0">
      <alignment horizontal="right"/>
    </xf>
    <xf numFmtId="189" fontId="157" fillId="28" borderId="0">
      <alignment horizontal="right"/>
    </xf>
    <xf numFmtId="258" fontId="158" fillId="0" borderId="27" applyBorder="0" applyProtection="0">
      <alignment horizontal="right"/>
    </xf>
    <xf numFmtId="0" fontId="50" fillId="0" borderId="0" applyFont="0" applyFill="0" applyBorder="0" applyAlignment="0" applyProtection="0"/>
    <xf numFmtId="259" fontId="14" fillId="0" borderId="48">
      <alignment horizontal="center"/>
    </xf>
    <xf numFmtId="0" fontId="159" fillId="0" borderId="0">
      <alignment vertical="center"/>
    </xf>
    <xf numFmtId="40" fontId="120" fillId="0" borderId="0" applyFont="0" applyFill="0" applyBorder="0" applyAlignment="0" applyProtection="0"/>
    <xf numFmtId="41" fontId="160" fillId="0" borderId="0" applyFont="0" applyFill="0" applyBorder="0" applyAlignment="0" applyProtection="0"/>
    <xf numFmtId="0" fontId="26" fillId="0" borderId="0"/>
    <xf numFmtId="8" fontId="120" fillId="0" borderId="0" applyFont="0" applyFill="0" applyBorder="0" applyAlignment="0" applyProtection="0"/>
    <xf numFmtId="6" fontId="120" fillId="0" borderId="0" applyFont="0" applyFill="0" applyBorder="0" applyAlignment="0" applyProtection="0"/>
    <xf numFmtId="0" fontId="4" fillId="0" borderId="0"/>
    <xf numFmtId="0" fontId="4" fillId="0" borderId="0"/>
    <xf numFmtId="9" fontId="4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63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163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165" fillId="30" borderId="0" applyNumberFormat="0" applyBorder="0" applyAlignment="0" applyProtection="0"/>
    <xf numFmtId="0" fontId="22" fillId="0" borderId="0" applyNumberFormat="0" applyFill="0" applyBorder="0" applyAlignment="0" applyProtection="0"/>
    <xf numFmtId="0" fontId="2" fillId="0" borderId="0"/>
    <xf numFmtId="0" fontId="2" fillId="0" borderId="0"/>
    <xf numFmtId="0" fontId="15" fillId="0" borderId="0"/>
    <xf numFmtId="43" fontId="164" fillId="0" borderId="0" applyFont="0" applyFill="0" applyBorder="0" applyAlignment="0" applyProtection="0"/>
    <xf numFmtId="0" fontId="166" fillId="0" borderId="60" applyNumberFormat="0" applyFill="0" applyAlignment="0" applyProtection="0"/>
    <xf numFmtId="0" fontId="164" fillId="0" borderId="0"/>
    <xf numFmtId="0" fontId="2" fillId="0" borderId="0"/>
    <xf numFmtId="9" fontId="2" fillId="0" borderId="0" applyFont="0" applyFill="0" applyBorder="0" applyAlignment="0" applyProtection="0"/>
    <xf numFmtId="44" fontId="7" fillId="0" borderId="0" applyFont="0" applyFill="0" applyBorder="0" applyAlignment="0" applyProtection="0"/>
    <xf numFmtId="0" fontId="7" fillId="0" borderId="0"/>
    <xf numFmtId="0" fontId="168" fillId="0" borderId="0" applyNumberFormat="0" applyFill="0" applyBorder="0" applyAlignment="0" applyProtection="0"/>
    <xf numFmtId="44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7" fillId="0" borderId="0" applyFont="0" applyFill="0" applyBorder="0" applyAlignment="0" applyProtection="0"/>
  </cellStyleXfs>
  <cellXfs count="869">
    <xf numFmtId="0" fontId="0" fillId="0" borderId="0" xfId="0"/>
    <xf numFmtId="0" fontId="169" fillId="0" borderId="0" xfId="0" applyFont="1"/>
    <xf numFmtId="0" fontId="23" fillId="0" borderId="0" xfId="5" applyFont="1"/>
    <xf numFmtId="168" fontId="171" fillId="0" borderId="0" xfId="0" applyNumberFormat="1" applyFont="1" applyAlignment="1">
      <alignment horizontal="center"/>
    </xf>
    <xf numFmtId="1" fontId="113" fillId="0" borderId="0" xfId="0" applyNumberFormat="1" applyFont="1" applyAlignment="1">
      <alignment horizontal="left"/>
    </xf>
    <xf numFmtId="0" fontId="171" fillId="0" borderId="0" xfId="0" applyFont="1"/>
    <xf numFmtId="0" fontId="172" fillId="7" borderId="14" xfId="0" applyFont="1" applyFill="1" applyBorder="1" applyAlignment="1">
      <alignment horizontal="left"/>
    </xf>
    <xf numFmtId="0" fontId="15" fillId="0" borderId="70" xfId="0" applyFont="1" applyBorder="1"/>
    <xf numFmtId="179" fontId="23" fillId="0" borderId="71" xfId="22" applyNumberFormat="1" applyFont="1" applyBorder="1" applyAlignment="1">
      <alignment horizontal="center"/>
    </xf>
    <xf numFmtId="176" fontId="23" fillId="0" borderId="71" xfId="22" applyNumberFormat="1" applyFont="1" applyBorder="1" applyAlignment="1">
      <alignment horizontal="center" vertical="center"/>
    </xf>
    <xf numFmtId="0" fontId="15" fillId="0" borderId="81" xfId="0" applyFont="1" applyBorder="1"/>
    <xf numFmtId="177" fontId="23" fillId="0" borderId="82" xfId="22" applyNumberFormat="1" applyFont="1" applyBorder="1" applyAlignment="1">
      <alignment horizontal="center" vertical="center"/>
    </xf>
    <xf numFmtId="0" fontId="15" fillId="0" borderId="87" xfId="0" applyFont="1" applyBorder="1"/>
    <xf numFmtId="0" fontId="15" fillId="0" borderId="0" xfId="0" applyFont="1"/>
    <xf numFmtId="5" fontId="15" fillId="10" borderId="2" xfId="22" applyNumberFormat="1" applyFont="1" applyFill="1" applyBorder="1" applyAlignment="1">
      <alignment horizontal="center"/>
    </xf>
    <xf numFmtId="5" fontId="23" fillId="3" borderId="58" xfId="22" applyNumberFormat="1" applyFont="1" applyFill="1" applyBorder="1" applyAlignment="1">
      <alignment horizontal="center"/>
    </xf>
    <xf numFmtId="0" fontId="172" fillId="7" borderId="9" xfId="0" applyFont="1" applyFill="1" applyBorder="1" applyAlignment="1">
      <alignment horizontal="center"/>
    </xf>
    <xf numFmtId="5" fontId="174" fillId="0" borderId="64" xfId="0" applyNumberFormat="1" applyFont="1" applyBorder="1" applyAlignment="1">
      <alignment horizontal="center"/>
    </xf>
    <xf numFmtId="0" fontId="172" fillId="7" borderId="0" xfId="0" applyFont="1" applyFill="1" applyAlignment="1">
      <alignment horizontal="center" wrapText="1"/>
    </xf>
    <xf numFmtId="0" fontId="15" fillId="0" borderId="61" xfId="0" applyFont="1" applyBorder="1" applyAlignment="1">
      <alignment wrapText="1"/>
    </xf>
    <xf numFmtId="10" fontId="171" fillId="0" borderId="0" xfId="1" applyNumberFormat="1" applyFont="1"/>
    <xf numFmtId="166" fontId="171" fillId="0" borderId="0" xfId="0" applyNumberFormat="1" applyFont="1"/>
    <xf numFmtId="7" fontId="171" fillId="0" borderId="0" xfId="0" applyNumberFormat="1" applyFont="1"/>
    <xf numFmtId="0" fontId="176" fillId="0" borderId="0" xfId="0" applyFont="1"/>
    <xf numFmtId="0" fontId="174" fillId="0" borderId="64" xfId="0" applyFont="1" applyBorder="1" applyAlignment="1">
      <alignment horizontal="right"/>
    </xf>
    <xf numFmtId="0" fontId="174" fillId="0" borderId="7" xfId="0" applyFont="1" applyBorder="1" applyAlignment="1">
      <alignment horizontal="right"/>
    </xf>
    <xf numFmtId="5" fontId="171" fillId="0" borderId="0" xfId="0" applyNumberFormat="1" applyFont="1"/>
    <xf numFmtId="0" fontId="169" fillId="0" borderId="0" xfId="0" applyFont="1" applyAlignment="1">
      <alignment horizontal="center"/>
    </xf>
    <xf numFmtId="0" fontId="171" fillId="33" borderId="0" xfId="1347" applyFont="1" applyFill="1"/>
    <xf numFmtId="14" fontId="177" fillId="33" borderId="0" xfId="1347" applyNumberFormat="1" applyFont="1" applyFill="1" applyAlignment="1">
      <alignment horizontal="center"/>
    </xf>
    <xf numFmtId="14" fontId="171" fillId="33" borderId="0" xfId="1347" applyNumberFormat="1" applyFont="1" applyFill="1" applyAlignment="1">
      <alignment horizontal="center"/>
    </xf>
    <xf numFmtId="0" fontId="171" fillId="33" borderId="0" xfId="1347" applyFont="1" applyFill="1" applyAlignment="1">
      <alignment horizontal="left" vertical="center" indent="1"/>
    </xf>
    <xf numFmtId="0" fontId="23" fillId="33" borderId="14" xfId="1347" applyFont="1" applyFill="1" applyBorder="1" applyAlignment="1">
      <alignment vertical="center"/>
    </xf>
    <xf numFmtId="0" fontId="23" fillId="33" borderId="0" xfId="1347" applyFont="1" applyFill="1" applyAlignment="1">
      <alignment horizontal="center" vertical="center"/>
    </xf>
    <xf numFmtId="0" fontId="23" fillId="33" borderId="5" xfId="1347" applyFont="1" applyFill="1" applyBorder="1" applyAlignment="1">
      <alignment horizontal="center" vertical="center"/>
    </xf>
    <xf numFmtId="0" fontId="23" fillId="33" borderId="72" xfId="1347" applyFont="1" applyFill="1" applyBorder="1" applyAlignment="1">
      <alignment vertical="center"/>
    </xf>
    <xf numFmtId="0" fontId="23" fillId="33" borderId="73" xfId="1347" applyFont="1" applyFill="1" applyBorder="1" applyAlignment="1">
      <alignment horizontal="center" vertical="center"/>
    </xf>
    <xf numFmtId="0" fontId="174" fillId="33" borderId="73" xfId="1347" applyFont="1" applyFill="1" applyBorder="1" applyAlignment="1">
      <alignment horizontal="center" vertical="center"/>
    </xf>
    <xf numFmtId="0" fontId="171" fillId="33" borderId="5" xfId="1347" applyFont="1" applyFill="1" applyBorder="1" applyAlignment="1">
      <alignment vertical="center"/>
    </xf>
    <xf numFmtId="0" fontId="171" fillId="33" borderId="14" xfId="1347" applyFont="1" applyFill="1" applyBorder="1"/>
    <xf numFmtId="0" fontId="174" fillId="33" borderId="0" xfId="1347" applyFont="1" applyFill="1" applyAlignment="1">
      <alignment horizontal="center" vertical="center"/>
    </xf>
    <xf numFmtId="0" fontId="15" fillId="33" borderId="84" xfId="1347" applyFont="1" applyFill="1" applyBorder="1" applyAlignment="1">
      <alignment vertical="center"/>
    </xf>
    <xf numFmtId="0" fontId="15" fillId="33" borderId="0" xfId="1347" applyFont="1" applyFill="1" applyAlignment="1">
      <alignment horizontal="left" vertical="center" indent="1"/>
    </xf>
    <xf numFmtId="0" fontId="15" fillId="33" borderId="0" xfId="1347" applyFont="1" applyFill="1" applyAlignment="1">
      <alignment vertical="center"/>
    </xf>
    <xf numFmtId="5" fontId="171" fillId="33" borderId="0" xfId="1347" applyNumberFormat="1" applyFont="1" applyFill="1" applyAlignment="1">
      <alignment horizontal="center" vertical="center"/>
    </xf>
    <xf numFmtId="0" fontId="15" fillId="33" borderId="93" xfId="1347" applyFont="1" applyFill="1" applyBorder="1" applyAlignment="1">
      <alignment vertical="center"/>
    </xf>
    <xf numFmtId="0" fontId="15" fillId="33" borderId="94" xfId="1347" applyFont="1" applyFill="1" applyBorder="1" applyAlignment="1">
      <alignment vertical="center"/>
    </xf>
    <xf numFmtId="0" fontId="15" fillId="33" borderId="14" xfId="1347" applyFont="1" applyFill="1" applyBorder="1" applyAlignment="1">
      <alignment vertical="center"/>
    </xf>
    <xf numFmtId="0" fontId="178" fillId="33" borderId="14" xfId="1347" applyFont="1" applyFill="1" applyBorder="1" applyAlignment="1">
      <alignment horizontal="left" vertical="center" indent="1"/>
    </xf>
    <xf numFmtId="0" fontId="15" fillId="33" borderId="14" xfId="1347" applyFont="1" applyFill="1" applyBorder="1" applyAlignment="1">
      <alignment horizontal="left" vertical="center" indent="1"/>
    </xf>
    <xf numFmtId="166" fontId="171" fillId="33" borderId="14" xfId="1347" applyNumberFormat="1" applyFont="1" applyFill="1" applyBorder="1"/>
    <xf numFmtId="166" fontId="23" fillId="33" borderId="0" xfId="1347" applyNumberFormat="1" applyFont="1" applyFill="1" applyAlignment="1">
      <alignment horizontal="center" vertical="center"/>
    </xf>
    <xf numFmtId="0" fontId="15" fillId="33" borderId="72" xfId="1347" applyFont="1" applyFill="1" applyBorder="1" applyAlignment="1">
      <alignment horizontal="left" vertical="center" indent="1"/>
    </xf>
    <xf numFmtId="0" fontId="15" fillId="33" borderId="89" xfId="1347" applyFont="1" applyFill="1" applyBorder="1" applyAlignment="1">
      <alignment vertical="center"/>
    </xf>
    <xf numFmtId="0" fontId="23" fillId="0" borderId="61" xfId="0" applyFont="1" applyBorder="1" applyAlignment="1">
      <alignment horizontal="right"/>
    </xf>
    <xf numFmtId="0" fontId="171" fillId="8" borderId="0" xfId="0" applyFont="1" applyFill="1"/>
    <xf numFmtId="0" fontId="171" fillId="9" borderId="0" xfId="0" applyFont="1" applyFill="1"/>
    <xf numFmtId="0" fontId="171" fillId="6" borderId="0" xfId="0" applyFont="1" applyFill="1"/>
    <xf numFmtId="0" fontId="171" fillId="0" borderId="0" xfId="0" applyFont="1" applyAlignment="1">
      <alignment horizontal="center"/>
    </xf>
    <xf numFmtId="0" fontId="171" fillId="0" borderId="65" xfId="0" applyFont="1" applyBorder="1" applyAlignment="1">
      <alignment horizontal="center"/>
    </xf>
    <xf numFmtId="5" fontId="174" fillId="0" borderId="7" xfId="0" applyNumberFormat="1" applyFont="1" applyBorder="1"/>
    <xf numFmtId="6" fontId="174" fillId="0" borderId="7" xfId="0" applyNumberFormat="1" applyFont="1" applyBorder="1"/>
    <xf numFmtId="5" fontId="174" fillId="0" borderId="64" xfId="0" applyNumberFormat="1" applyFont="1" applyBorder="1"/>
    <xf numFmtId="5" fontId="171" fillId="0" borderId="96" xfId="0" applyNumberFormat="1" applyFont="1" applyBorder="1"/>
    <xf numFmtId="0" fontId="171" fillId="0" borderId="97" xfId="0" applyFont="1" applyBorder="1"/>
    <xf numFmtId="169" fontId="171" fillId="0" borderId="98" xfId="18" applyNumberFormat="1" applyFont="1" applyBorder="1"/>
    <xf numFmtId="0" fontId="171" fillId="0" borderId="62" xfId="0" applyFont="1" applyBorder="1"/>
    <xf numFmtId="6" fontId="171" fillId="0" borderId="65" xfId="0" applyNumberFormat="1" applyFont="1" applyBorder="1"/>
    <xf numFmtId="0" fontId="174" fillId="0" borderId="0" xfId="0" applyFont="1" applyAlignment="1">
      <alignment horizontal="center" wrapText="1"/>
    </xf>
    <xf numFmtId="0" fontId="170" fillId="0" borderId="0" xfId="0" applyFont="1" applyAlignment="1">
      <alignment horizontal="center" vertical="center"/>
    </xf>
    <xf numFmtId="174" fontId="179" fillId="0" borderId="66" xfId="0" applyNumberFormat="1" applyFont="1" applyBorder="1" applyAlignment="1">
      <alignment horizontal="left"/>
    </xf>
    <xf numFmtId="0" fontId="23" fillId="33" borderId="95" xfId="1347" applyFont="1" applyFill="1" applyBorder="1" applyAlignment="1">
      <alignment horizontal="center" vertical="center"/>
    </xf>
    <xf numFmtId="0" fontId="179" fillId="33" borderId="5" xfId="1347" applyFont="1" applyFill="1" applyBorder="1" applyAlignment="1">
      <alignment horizontal="center" vertical="center"/>
    </xf>
    <xf numFmtId="0" fontId="174" fillId="33" borderId="5" xfId="1347" applyFont="1" applyFill="1" applyBorder="1"/>
    <xf numFmtId="38" fontId="179" fillId="33" borderId="5" xfId="1347" applyNumberFormat="1" applyFont="1" applyFill="1" applyBorder="1" applyAlignment="1">
      <alignment horizontal="center" vertical="center"/>
    </xf>
    <xf numFmtId="38" fontId="174" fillId="33" borderId="5" xfId="1347" applyNumberFormat="1" applyFont="1" applyFill="1" applyBorder="1" applyAlignment="1">
      <alignment horizontal="center"/>
    </xf>
    <xf numFmtId="8" fontId="179" fillId="33" borderId="5" xfId="1347" applyNumberFormat="1" applyFont="1" applyFill="1" applyBorder="1" applyAlignment="1">
      <alignment horizontal="center" vertical="center"/>
    </xf>
    <xf numFmtId="8" fontId="179" fillId="33" borderId="5" xfId="1347" applyNumberFormat="1" applyFont="1" applyFill="1" applyBorder="1" applyAlignment="1">
      <alignment horizontal="center"/>
    </xf>
    <xf numFmtId="8" fontId="174" fillId="33" borderId="5" xfId="1347" applyNumberFormat="1" applyFont="1" applyFill="1" applyBorder="1" applyAlignment="1">
      <alignment horizontal="center"/>
    </xf>
    <xf numFmtId="166" fontId="179" fillId="33" borderId="5" xfId="1347" applyNumberFormat="1" applyFont="1" applyFill="1" applyBorder="1" applyAlignment="1">
      <alignment horizontal="center"/>
    </xf>
    <xf numFmtId="8" fontId="179" fillId="33" borderId="73" xfId="1347" applyNumberFormat="1" applyFont="1" applyFill="1" applyBorder="1" applyAlignment="1">
      <alignment horizontal="center" vertical="center"/>
    </xf>
    <xf numFmtId="0" fontId="23" fillId="8" borderId="91" xfId="1347" applyFont="1" applyFill="1" applyBorder="1" applyAlignment="1">
      <alignment horizontal="center"/>
    </xf>
    <xf numFmtId="172" fontId="174" fillId="0" borderId="64" xfId="0" applyNumberFormat="1" applyFont="1" applyBorder="1" applyAlignment="1">
      <alignment horizontal="center"/>
    </xf>
    <xf numFmtId="172" fontId="174" fillId="0" borderId="64" xfId="0" applyNumberFormat="1" applyFont="1" applyBorder="1"/>
    <xf numFmtId="9" fontId="23" fillId="0" borderId="78" xfId="0" applyNumberFormat="1" applyFont="1" applyBorder="1" applyAlignment="1">
      <alignment horizontal="center"/>
    </xf>
    <xf numFmtId="0" fontId="170" fillId="0" borderId="0" xfId="0" applyFont="1" applyAlignment="1">
      <alignment horizontal="center" wrapText="1"/>
    </xf>
    <xf numFmtId="166" fontId="169" fillId="0" borderId="0" xfId="0" applyNumberFormat="1" applyFont="1" applyAlignment="1">
      <alignment horizontal="center"/>
    </xf>
    <xf numFmtId="166" fontId="169" fillId="0" borderId="0" xfId="0" applyNumberFormat="1" applyFont="1"/>
    <xf numFmtId="0" fontId="15" fillId="0" borderId="90" xfId="0" applyFont="1" applyBorder="1" applyAlignment="1">
      <alignment wrapText="1"/>
    </xf>
    <xf numFmtId="10" fontId="171" fillId="0" borderId="105" xfId="0" applyNumberFormat="1" applyFont="1" applyBorder="1"/>
    <xf numFmtId="5" fontId="171" fillId="0" borderId="105" xfId="0" applyNumberFormat="1" applyFont="1" applyBorder="1"/>
    <xf numFmtId="6" fontId="174" fillId="0" borderId="64" xfId="0" applyNumberFormat="1" applyFont="1" applyBorder="1" applyAlignment="1">
      <alignment horizontal="center" vertical="center"/>
    </xf>
    <xf numFmtId="5" fontId="15" fillId="0" borderId="64" xfId="22" applyNumberFormat="1" applyFont="1" applyBorder="1" applyAlignment="1">
      <alignment horizontal="center" vertical="center"/>
    </xf>
    <xf numFmtId="5" fontId="23" fillId="0" borderId="2" xfId="0" applyNumberFormat="1" applyFont="1" applyBorder="1" applyAlignment="1">
      <alignment horizontal="center" vertical="center"/>
    </xf>
    <xf numFmtId="37" fontId="15" fillId="0" borderId="59" xfId="22" applyNumberFormat="1" applyFont="1" applyBorder="1" applyAlignment="1">
      <alignment horizontal="center"/>
    </xf>
    <xf numFmtId="166" fontId="23" fillId="0" borderId="59" xfId="22" applyNumberFormat="1" applyFont="1" applyBorder="1" applyAlignment="1">
      <alignment horizontal="center"/>
    </xf>
    <xf numFmtId="167" fontId="179" fillId="8" borderId="58" xfId="0" applyNumberFormat="1" applyFont="1" applyFill="1" applyBorder="1"/>
    <xf numFmtId="167" fontId="179" fillId="8" borderId="99" xfId="0" applyNumberFormat="1" applyFont="1" applyFill="1" applyBorder="1"/>
    <xf numFmtId="0" fontId="177" fillId="0" borderId="0" xfId="0" applyFont="1"/>
    <xf numFmtId="0" fontId="180" fillId="0" borderId="0" xfId="0" applyFont="1"/>
    <xf numFmtId="172" fontId="174" fillId="0" borderId="108" xfId="0" applyNumberFormat="1" applyFont="1" applyBorder="1"/>
    <xf numFmtId="0" fontId="180" fillId="0" borderId="100" xfId="0" applyFont="1" applyBorder="1" applyAlignment="1">
      <alignment horizontal="center"/>
    </xf>
    <xf numFmtId="172" fontId="174" fillId="0" borderId="107" xfId="0" applyNumberFormat="1" applyFont="1" applyBorder="1"/>
    <xf numFmtId="182" fontId="15" fillId="0" borderId="115" xfId="0" applyNumberFormat="1" applyFont="1" applyBorder="1"/>
    <xf numFmtId="6" fontId="171" fillId="0" borderId="107" xfId="0" applyNumberFormat="1" applyFont="1" applyBorder="1"/>
    <xf numFmtId="0" fontId="15" fillId="0" borderId="117" xfId="0" applyFont="1" applyBorder="1"/>
    <xf numFmtId="178" fontId="15" fillId="0" borderId="113" xfId="0" applyNumberFormat="1" applyFont="1" applyBorder="1" applyAlignment="1">
      <alignment horizontal="left"/>
    </xf>
    <xf numFmtId="38" fontId="15" fillId="0" borderId="107" xfId="22" applyNumberFormat="1" applyFont="1" applyBorder="1" applyAlignment="1">
      <alignment horizontal="center"/>
    </xf>
    <xf numFmtId="8" fontId="15" fillId="0" borderId="107" xfId="0" applyNumberFormat="1" applyFont="1" applyBorder="1" applyAlignment="1">
      <alignment horizontal="center"/>
    </xf>
    <xf numFmtId="178" fontId="15" fillId="0" borderId="61" xfId="0" applyNumberFormat="1" applyFont="1" applyBorder="1" applyAlignment="1">
      <alignment horizontal="left"/>
    </xf>
    <xf numFmtId="38" fontId="15" fillId="0" borderId="64" xfId="22" applyNumberFormat="1" applyFont="1" applyBorder="1" applyAlignment="1">
      <alignment horizontal="center"/>
    </xf>
    <xf numFmtId="0" fontId="24" fillId="0" borderId="117" xfId="14" applyFont="1" applyBorder="1"/>
    <xf numFmtId="0" fontId="15" fillId="10" borderId="61" xfId="0" applyFont="1" applyFill="1" applyBorder="1"/>
    <xf numFmtId="5" fontId="15" fillId="10" borderId="64" xfId="22" applyNumberFormat="1" applyFont="1" applyFill="1" applyBorder="1" applyAlignment="1">
      <alignment horizontal="center"/>
    </xf>
    <xf numFmtId="165" fontId="15" fillId="10" borderId="64" xfId="22" applyNumberFormat="1" applyFont="1" applyFill="1" applyBorder="1" applyAlignment="1">
      <alignment horizontal="center"/>
    </xf>
    <xf numFmtId="5" fontId="15" fillId="0" borderId="107" xfId="22" applyNumberFormat="1" applyFont="1" applyBorder="1" applyAlignment="1">
      <alignment horizontal="center"/>
    </xf>
    <xf numFmtId="7" fontId="15" fillId="0" borderId="107" xfId="22" applyNumberFormat="1" applyFont="1" applyBorder="1" applyAlignment="1">
      <alignment horizontal="center"/>
    </xf>
    <xf numFmtId="5" fontId="23" fillId="3" borderId="87" xfId="22" applyNumberFormat="1" applyFont="1" applyFill="1" applyBorder="1" applyAlignment="1">
      <alignment horizontal="left"/>
    </xf>
    <xf numFmtId="5" fontId="15" fillId="0" borderId="64" xfId="22" applyNumberFormat="1" applyFont="1" applyBorder="1" applyAlignment="1">
      <alignment horizontal="center"/>
    </xf>
    <xf numFmtId="289" fontId="179" fillId="3" borderId="115" xfId="0" applyNumberFormat="1" applyFont="1" applyFill="1" applyBorder="1" applyAlignment="1">
      <alignment horizontal="left"/>
    </xf>
    <xf numFmtId="6" fontId="23" fillId="3" borderId="116" xfId="1" applyNumberFormat="1" applyFont="1" applyFill="1" applyBorder="1" applyAlignment="1">
      <alignment horizontal="center"/>
    </xf>
    <xf numFmtId="175" fontId="172" fillId="5" borderId="76" xfId="0" applyNumberFormat="1" applyFont="1" applyFill="1" applyBorder="1"/>
    <xf numFmtId="0" fontId="174" fillId="0" borderId="72" xfId="0" applyFont="1" applyBorder="1" applyAlignment="1">
      <alignment horizontal="left"/>
    </xf>
    <xf numFmtId="0" fontId="174" fillId="0" borderId="89" xfId="0" applyFont="1" applyBorder="1" applyAlignment="1">
      <alignment horizontal="center"/>
    </xf>
    <xf numFmtId="0" fontId="174" fillId="0" borderId="73" xfId="0" applyFont="1" applyBorder="1" applyAlignment="1">
      <alignment horizontal="center"/>
    </xf>
    <xf numFmtId="6" fontId="174" fillId="0" borderId="107" xfId="0" applyNumberFormat="1" applyFont="1" applyBorder="1" applyAlignment="1">
      <alignment horizontal="center" vertical="center"/>
    </xf>
    <xf numFmtId="180" fontId="23" fillId="0" borderId="61" xfId="0" applyNumberFormat="1" applyFont="1" applyBorder="1" applyAlignment="1">
      <alignment horizontal="right"/>
    </xf>
    <xf numFmtId="181" fontId="15" fillId="0" borderId="117" xfId="0" applyNumberFormat="1" applyFont="1" applyBorder="1" applyAlignment="1">
      <alignment horizontal="right"/>
    </xf>
    <xf numFmtId="5" fontId="23" fillId="0" borderId="64" xfId="0" applyNumberFormat="1" applyFont="1" applyBorder="1" applyAlignment="1">
      <alignment horizontal="center" vertical="center"/>
    </xf>
    <xf numFmtId="0" fontId="174" fillId="0" borderId="100" xfId="0" applyFont="1" applyBorder="1" applyAlignment="1">
      <alignment horizontal="center"/>
    </xf>
    <xf numFmtId="37" fontId="15" fillId="0" borderId="98" xfId="22" applyNumberFormat="1" applyFont="1" applyBorder="1" applyAlignment="1">
      <alignment horizontal="center"/>
    </xf>
    <xf numFmtId="5" fontId="15" fillId="0" borderId="122" xfId="22" applyNumberFormat="1" applyFont="1" applyBorder="1" applyAlignment="1">
      <alignment horizontal="center"/>
    </xf>
    <xf numFmtId="37" fontId="15" fillId="0" borderId="122" xfId="22" applyNumberFormat="1" applyFont="1" applyBorder="1" applyAlignment="1">
      <alignment horizontal="center"/>
    </xf>
    <xf numFmtId="172" fontId="171" fillId="0" borderId="107" xfId="0" applyNumberFormat="1" applyFont="1" applyBorder="1"/>
    <xf numFmtId="172" fontId="171" fillId="0" borderId="107" xfId="0" applyNumberFormat="1" applyFont="1" applyBorder="1" applyAlignment="1">
      <alignment horizontal="center"/>
    </xf>
    <xf numFmtId="0" fontId="171" fillId="8" borderId="74" xfId="0" applyFont="1" applyFill="1" applyBorder="1"/>
    <xf numFmtId="10" fontId="171" fillId="8" borderId="93" xfId="0" applyNumberFormat="1" applyFont="1" applyFill="1" applyBorder="1"/>
    <xf numFmtId="167" fontId="23" fillId="8" borderId="78" xfId="0" applyNumberFormat="1" applyFont="1" applyFill="1" applyBorder="1"/>
    <xf numFmtId="167" fontId="173" fillId="8" borderId="78" xfId="0" applyNumberFormat="1" applyFont="1" applyFill="1" applyBorder="1"/>
    <xf numFmtId="0" fontId="171" fillId="0" borderId="103" xfId="0" applyFont="1" applyBorder="1"/>
    <xf numFmtId="38" fontId="171" fillId="0" borderId="107" xfId="0" applyNumberFormat="1" applyFont="1" applyBorder="1"/>
    <xf numFmtId="5" fontId="177" fillId="0" borderId="107" xfId="0" applyNumberFormat="1" applyFont="1" applyBorder="1"/>
    <xf numFmtId="5" fontId="171" fillId="0" borderId="107" xfId="0" applyNumberFormat="1" applyFont="1" applyBorder="1"/>
    <xf numFmtId="5" fontId="179" fillId="0" borderId="107" xfId="0" applyNumberFormat="1" applyFont="1" applyBorder="1"/>
    <xf numFmtId="0" fontId="177" fillId="0" borderId="107" xfId="0" applyFont="1" applyBorder="1"/>
    <xf numFmtId="38" fontId="177" fillId="0" borderId="107" xfId="0" applyNumberFormat="1" applyFont="1" applyBorder="1"/>
    <xf numFmtId="38" fontId="179" fillId="0" borderId="107" xfId="0" applyNumberFormat="1" applyFont="1" applyBorder="1"/>
    <xf numFmtId="5" fontId="173" fillId="0" borderId="107" xfId="0" applyNumberFormat="1" applyFont="1" applyBorder="1"/>
    <xf numFmtId="38" fontId="173" fillId="0" borderId="107" xfId="0" applyNumberFormat="1" applyFont="1" applyBorder="1"/>
    <xf numFmtId="5" fontId="15" fillId="0" borderId="107" xfId="0" applyNumberFormat="1" applyFont="1" applyBorder="1"/>
    <xf numFmtId="0" fontId="171" fillId="0" borderId="107" xfId="0" applyFont="1" applyBorder="1"/>
    <xf numFmtId="6" fontId="177" fillId="0" borderId="107" xfId="0" applyNumberFormat="1" applyFont="1" applyBorder="1"/>
    <xf numFmtId="166" fontId="171" fillId="0" borderId="107" xfId="0" applyNumberFormat="1" applyFont="1" applyBorder="1"/>
    <xf numFmtId="5" fontId="177" fillId="0" borderId="107" xfId="0" applyNumberFormat="1" applyFont="1" applyBorder="1" applyAlignment="1">
      <alignment horizontal="center" wrapText="1"/>
    </xf>
    <xf numFmtId="38" fontId="171" fillId="0" borderId="118" xfId="0" applyNumberFormat="1" applyFont="1" applyBorder="1"/>
    <xf numFmtId="5" fontId="177" fillId="0" borderId="118" xfId="0" applyNumberFormat="1" applyFont="1" applyBorder="1"/>
    <xf numFmtId="5" fontId="171" fillId="0" borderId="118" xfId="0" applyNumberFormat="1" applyFont="1" applyBorder="1"/>
    <xf numFmtId="0" fontId="171" fillId="0" borderId="108" xfId="0" applyFont="1" applyBorder="1"/>
    <xf numFmtId="0" fontId="171" fillId="0" borderId="106" xfId="0" applyFont="1" applyBorder="1"/>
    <xf numFmtId="6" fontId="171" fillId="0" borderId="105" xfId="0" applyNumberFormat="1" applyFont="1" applyBorder="1"/>
    <xf numFmtId="5" fontId="171" fillId="0" borderId="108" xfId="0" applyNumberFormat="1" applyFont="1" applyBorder="1"/>
    <xf numFmtId="5" fontId="171" fillId="4" borderId="108" xfId="0" applyNumberFormat="1" applyFont="1" applyFill="1" applyBorder="1"/>
    <xf numFmtId="5" fontId="171" fillId="4" borderId="107" xfId="0" applyNumberFormat="1" applyFont="1" applyFill="1" applyBorder="1"/>
    <xf numFmtId="0" fontId="171" fillId="0" borderId="123" xfId="0" applyFont="1" applyBorder="1"/>
    <xf numFmtId="6" fontId="171" fillId="0" borderId="120" xfId="0" applyNumberFormat="1" applyFont="1" applyBorder="1"/>
    <xf numFmtId="6" fontId="171" fillId="4" borderId="107" xfId="0" applyNumberFormat="1" applyFont="1" applyFill="1" applyBorder="1"/>
    <xf numFmtId="166" fontId="171" fillId="4" borderId="107" xfId="0" applyNumberFormat="1" applyFont="1" applyFill="1" applyBorder="1"/>
    <xf numFmtId="0" fontId="171" fillId="4" borderId="107" xfId="0" applyFont="1" applyFill="1" applyBorder="1"/>
    <xf numFmtId="37" fontId="174" fillId="4" borderId="107" xfId="0" applyNumberFormat="1" applyFont="1" applyFill="1" applyBorder="1"/>
    <xf numFmtId="37" fontId="174" fillId="0" borderId="108" xfId="0" applyNumberFormat="1" applyFont="1" applyBorder="1"/>
    <xf numFmtId="5" fontId="171" fillId="0" borderId="111" xfId="0" applyNumberFormat="1" applyFont="1" applyBorder="1"/>
    <xf numFmtId="5" fontId="174" fillId="0" borderId="111" xfId="0" applyNumberFormat="1" applyFont="1" applyBorder="1"/>
    <xf numFmtId="37" fontId="174" fillId="0" borderId="107" xfId="0" applyNumberFormat="1" applyFont="1" applyBorder="1"/>
    <xf numFmtId="5" fontId="174" fillId="4" borderId="107" xfId="0" applyNumberFormat="1" applyFont="1" applyFill="1" applyBorder="1"/>
    <xf numFmtId="5" fontId="174" fillId="0" borderId="107" xfId="0" applyNumberFormat="1" applyFont="1" applyBorder="1"/>
    <xf numFmtId="10" fontId="174" fillId="0" borderId="106" xfId="0" applyNumberFormat="1" applyFont="1" applyBorder="1"/>
    <xf numFmtId="0" fontId="174" fillId="4" borderId="107" xfId="0" applyFont="1" applyFill="1" applyBorder="1" applyAlignment="1">
      <alignment horizontal="center" wrapText="1"/>
    </xf>
    <xf numFmtId="0" fontId="174" fillId="4" borderId="107" xfId="0" applyFont="1" applyFill="1" applyBorder="1" applyAlignment="1">
      <alignment horizontal="center" vertical="center" wrapText="1"/>
    </xf>
    <xf numFmtId="0" fontId="174" fillId="0" borderId="107" xfId="0" applyFont="1" applyBorder="1" applyAlignment="1">
      <alignment horizontal="center" wrapText="1"/>
    </xf>
    <xf numFmtId="0" fontId="174" fillId="0" borderId="107" xfId="0" applyFont="1" applyBorder="1" applyAlignment="1">
      <alignment horizontal="right"/>
    </xf>
    <xf numFmtId="10" fontId="171" fillId="0" borderId="107" xfId="0" applyNumberFormat="1" applyFont="1" applyBorder="1"/>
    <xf numFmtId="10" fontId="174" fillId="0" borderId="107" xfId="0" applyNumberFormat="1" applyFont="1" applyBorder="1"/>
    <xf numFmtId="172" fontId="174" fillId="0" borderId="107" xfId="0" applyNumberFormat="1" applyFont="1" applyBorder="1" applyAlignment="1">
      <alignment horizontal="right"/>
    </xf>
    <xf numFmtId="10" fontId="171" fillId="4" borderId="107" xfId="0" applyNumberFormat="1" applyFont="1" applyFill="1" applyBorder="1"/>
    <xf numFmtId="43" fontId="171" fillId="33" borderId="0" xfId="1360" applyFont="1" applyFill="1"/>
    <xf numFmtId="168" fontId="0" fillId="0" borderId="0" xfId="1360" applyNumberFormat="1" applyFont="1"/>
    <xf numFmtId="6" fontId="15" fillId="0" borderId="109" xfId="0" applyNumberFormat="1" applyFont="1" applyBorder="1"/>
    <xf numFmtId="6" fontId="15" fillId="0" borderId="119" xfId="0" applyNumberFormat="1" applyFont="1" applyBorder="1"/>
    <xf numFmtId="8" fontId="15" fillId="0" borderId="58" xfId="0" applyNumberFormat="1" applyFont="1" applyBorder="1"/>
    <xf numFmtId="6" fontId="15" fillId="0" borderId="88" xfId="0" applyNumberFormat="1" applyFont="1" applyBorder="1"/>
    <xf numFmtId="164" fontId="15" fillId="0" borderId="109" xfId="22" applyNumberFormat="1" applyFont="1" applyBorder="1" applyAlignment="1">
      <alignment horizontal="center"/>
    </xf>
    <xf numFmtId="3" fontId="23" fillId="0" borderId="58" xfId="0" applyNumberFormat="1" applyFont="1" applyBorder="1" applyAlignment="1">
      <alignment horizontal="center"/>
    </xf>
    <xf numFmtId="38" fontId="185" fillId="0" borderId="118" xfId="22" applyNumberFormat="1" applyFont="1" applyBorder="1" applyAlignment="1">
      <alignment horizontal="center"/>
    </xf>
    <xf numFmtId="38" fontId="185" fillId="33" borderId="5" xfId="1347" applyNumberFormat="1" applyFont="1" applyFill="1" applyBorder="1" applyAlignment="1">
      <alignment horizontal="center" vertical="center"/>
    </xf>
    <xf numFmtId="38" fontId="185" fillId="0" borderId="62" xfId="22" applyNumberFormat="1" applyFont="1" applyBorder="1" applyAlignment="1">
      <alignment horizontal="center"/>
    </xf>
    <xf numFmtId="9" fontId="185" fillId="33" borderId="95" xfId="1347" applyNumberFormat="1" applyFont="1" applyFill="1" applyBorder="1" applyAlignment="1">
      <alignment horizontal="center" vertical="center"/>
    </xf>
    <xf numFmtId="8" fontId="15" fillId="0" borderId="64" xfId="0" applyNumberFormat="1" applyFont="1" applyBorder="1" applyAlignment="1">
      <alignment horizontal="center"/>
    </xf>
    <xf numFmtId="164" fontId="15" fillId="0" borderId="2" xfId="22" applyNumberFormat="1" applyFont="1" applyBorder="1" applyAlignment="1">
      <alignment horizontal="center"/>
    </xf>
    <xf numFmtId="0" fontId="0" fillId="0" borderId="0" xfId="0" applyAlignment="1">
      <alignment horizontal="right"/>
    </xf>
    <xf numFmtId="168" fontId="0" fillId="0" borderId="0" xfId="1360" applyNumberFormat="1" applyFont="1" applyAlignment="1">
      <alignment horizontal="right"/>
    </xf>
    <xf numFmtId="43" fontId="0" fillId="0" borderId="0" xfId="1360" applyFont="1" applyAlignment="1">
      <alignment horizontal="right"/>
    </xf>
    <xf numFmtId="17" fontId="0" fillId="0" borderId="0" xfId="0" applyNumberFormat="1" applyAlignment="1">
      <alignment horizontal="right"/>
    </xf>
    <xf numFmtId="17" fontId="0" fillId="0" borderId="0" xfId="0" applyNumberFormat="1"/>
    <xf numFmtId="292" fontId="0" fillId="0" borderId="0" xfId="0" applyNumberFormat="1" applyAlignment="1">
      <alignment horizontal="right"/>
    </xf>
    <xf numFmtId="10" fontId="0" fillId="0" borderId="0" xfId="0" applyNumberFormat="1" applyAlignment="1">
      <alignment horizontal="right"/>
    </xf>
    <xf numFmtId="9" fontId="0" fillId="0" borderId="0" xfId="0" applyNumberFormat="1" applyAlignment="1">
      <alignment horizontal="right"/>
    </xf>
    <xf numFmtId="44" fontId="0" fillId="0" borderId="0" xfId="18" applyFont="1" applyAlignment="1">
      <alignment horizontal="right"/>
    </xf>
    <xf numFmtId="9" fontId="0" fillId="0" borderId="0" xfId="1" applyFont="1" applyAlignment="1">
      <alignment horizontal="right"/>
    </xf>
    <xf numFmtId="169" fontId="0" fillId="0" borderId="0" xfId="18" applyNumberFormat="1" applyFont="1" applyAlignment="1">
      <alignment horizontal="right"/>
    </xf>
    <xf numFmtId="165" fontId="185" fillId="33" borderId="85" xfId="1358" applyNumberFormat="1" applyFont="1" applyFill="1" applyBorder="1" applyAlignment="1">
      <alignment horizontal="center" vertical="center"/>
    </xf>
    <xf numFmtId="38" fontId="185" fillId="0" borderId="0" xfId="22" applyNumberFormat="1" applyFont="1" applyBorder="1" applyAlignment="1">
      <alignment horizontal="center"/>
    </xf>
    <xf numFmtId="0" fontId="171" fillId="0" borderId="0" xfId="0" applyFont="1" applyBorder="1"/>
    <xf numFmtId="291" fontId="172" fillId="0" borderId="0" xfId="1" applyNumberFormat="1" applyFont="1" applyFill="1" applyBorder="1" applyAlignment="1">
      <alignment horizontal="center" vertical="center"/>
    </xf>
    <xf numFmtId="9" fontId="185" fillId="33" borderId="5" xfId="1347" applyNumberFormat="1" applyFont="1" applyFill="1" applyBorder="1" applyAlignment="1">
      <alignment horizontal="center" vertical="center"/>
    </xf>
    <xf numFmtId="9" fontId="185" fillId="33" borderId="5" xfId="1347" applyNumberFormat="1" applyFont="1" applyFill="1" applyBorder="1" applyAlignment="1">
      <alignment horizontal="center"/>
    </xf>
    <xf numFmtId="3" fontId="185" fillId="0" borderId="118" xfId="14" applyNumberFormat="1" applyFont="1" applyBorder="1" applyAlignment="1">
      <alignment horizontal="center"/>
    </xf>
    <xf numFmtId="0" fontId="15" fillId="0" borderId="0" xfId="0" applyFont="1" applyFill="1" applyBorder="1"/>
    <xf numFmtId="0" fontId="24" fillId="0" borderId="61" xfId="14" applyFont="1" applyBorder="1"/>
    <xf numFmtId="3" fontId="185" fillId="0" borderId="64" xfId="14" applyNumberFormat="1" applyFont="1" applyBorder="1" applyAlignment="1">
      <alignment horizontal="center"/>
    </xf>
    <xf numFmtId="8" fontId="15" fillId="0" borderId="7" xfId="0" applyNumberFormat="1" applyFont="1" applyBorder="1"/>
    <xf numFmtId="6" fontId="15" fillId="0" borderId="2" xfId="0" applyNumberFormat="1" applyFont="1" applyBorder="1"/>
    <xf numFmtId="9" fontId="185" fillId="33" borderId="5" xfId="1" applyFont="1" applyFill="1" applyBorder="1" applyAlignment="1">
      <alignment horizontal="center" vertical="center"/>
    </xf>
    <xf numFmtId="9" fontId="185" fillId="33" borderId="5" xfId="1" applyFont="1" applyFill="1" applyBorder="1" applyAlignment="1">
      <alignment horizontal="center"/>
    </xf>
    <xf numFmtId="0" fontId="171" fillId="0" borderId="0" xfId="0" applyFont="1" applyFill="1"/>
    <xf numFmtId="168" fontId="15" fillId="0" borderId="82" xfId="22" applyNumberFormat="1" applyFont="1" applyFill="1" applyBorder="1" applyAlignment="1">
      <alignment horizontal="center"/>
    </xf>
    <xf numFmtId="0" fontId="15" fillId="0" borderId="71" xfId="0" applyFont="1" applyFill="1" applyBorder="1" applyAlignment="1">
      <alignment horizontal="center"/>
    </xf>
    <xf numFmtId="6" fontId="174" fillId="0" borderId="129" xfId="0" applyNumberFormat="1" applyFont="1" applyFill="1" applyBorder="1" applyAlignment="1">
      <alignment horizontal="center"/>
    </xf>
    <xf numFmtId="165" fontId="23" fillId="0" borderId="82" xfId="2" applyNumberFormat="1" applyFont="1" applyFill="1" applyBorder="1" applyAlignment="1">
      <alignment horizontal="center"/>
    </xf>
    <xf numFmtId="0" fontId="15" fillId="0" borderId="88" xfId="0" applyFont="1" applyFill="1" applyBorder="1"/>
    <xf numFmtId="0" fontId="172" fillId="7" borderId="130" xfId="0" applyFont="1" applyFill="1" applyBorder="1" applyAlignment="1">
      <alignment horizontal="left"/>
    </xf>
    <xf numFmtId="0" fontId="172" fillId="7" borderId="131" xfId="0" applyFont="1" applyFill="1" applyBorder="1" applyAlignment="1">
      <alignment horizontal="left"/>
    </xf>
    <xf numFmtId="291" fontId="172" fillId="7" borderId="5" xfId="1" applyNumberFormat="1" applyFont="1" applyFill="1" applyBorder="1" applyAlignment="1">
      <alignment horizontal="center" vertical="center"/>
    </xf>
    <xf numFmtId="0" fontId="172" fillId="7" borderId="126" xfId="0" applyFont="1" applyFill="1" applyBorder="1" applyAlignment="1">
      <alignment horizontal="center"/>
    </xf>
    <xf numFmtId="0" fontId="171" fillId="33" borderId="0" xfId="1347" applyFont="1" applyFill="1" applyBorder="1" applyAlignment="1">
      <alignment horizontal="left" vertical="center" indent="1"/>
    </xf>
    <xf numFmtId="0" fontId="23" fillId="33" borderId="0" xfId="1347" applyFont="1" applyFill="1" applyBorder="1" applyAlignment="1">
      <alignment horizontal="center" vertical="center"/>
    </xf>
    <xf numFmtId="0" fontId="174" fillId="33" borderId="79" xfId="1347" applyFont="1" applyFill="1" applyBorder="1" applyAlignment="1"/>
    <xf numFmtId="0" fontId="174" fillId="33" borderId="99" xfId="1347" applyFont="1" applyFill="1" applyBorder="1" applyAlignment="1"/>
    <xf numFmtId="0" fontId="174" fillId="33" borderId="80" xfId="1347" applyFont="1" applyFill="1" applyBorder="1" applyAlignment="1"/>
    <xf numFmtId="0" fontId="23" fillId="33" borderId="89" xfId="1347" applyFont="1" applyFill="1" applyBorder="1" applyAlignment="1">
      <alignment horizontal="center" vertical="center"/>
    </xf>
    <xf numFmtId="9" fontId="185" fillId="33" borderId="73" xfId="1" applyFont="1" applyFill="1" applyBorder="1" applyAlignment="1">
      <alignment horizontal="center"/>
    </xf>
    <xf numFmtId="5" fontId="15" fillId="0" borderId="118" xfId="22" applyNumberFormat="1" applyFont="1" applyBorder="1" applyAlignment="1">
      <alignment horizontal="center" vertical="center"/>
    </xf>
    <xf numFmtId="6" fontId="174" fillId="0" borderId="118" xfId="0" applyNumberFormat="1" applyFont="1" applyBorder="1" applyAlignment="1">
      <alignment horizontal="center" vertical="center"/>
    </xf>
    <xf numFmtId="0" fontId="186" fillId="0" borderId="0" xfId="0" applyFont="1"/>
    <xf numFmtId="0" fontId="186" fillId="0" borderId="0" xfId="0" applyFont="1" applyAlignment="1">
      <alignment horizontal="center"/>
    </xf>
    <xf numFmtId="0" fontId="186" fillId="0" borderId="0" xfId="0" applyFont="1" applyAlignment="1">
      <alignment vertical="center"/>
    </xf>
    <xf numFmtId="0" fontId="186" fillId="0" borderId="0" xfId="0" applyFont="1" applyAlignment="1">
      <alignment horizontal="center" vertical="center"/>
    </xf>
    <xf numFmtId="290" fontId="186" fillId="0" borderId="0" xfId="1360" applyNumberFormat="1" applyFont="1"/>
    <xf numFmtId="294" fontId="186" fillId="0" borderId="0" xfId="0" applyNumberFormat="1" applyFont="1" applyAlignment="1">
      <alignment horizontal="center"/>
    </xf>
    <xf numFmtId="290" fontId="186" fillId="0" borderId="0" xfId="0" applyNumberFormat="1" applyFont="1"/>
    <xf numFmtId="5" fontId="23" fillId="0" borderId="12" xfId="22" applyNumberFormat="1" applyFont="1" applyBorder="1" applyAlignment="1">
      <alignment horizontal="center"/>
    </xf>
    <xf numFmtId="5" fontId="23" fillId="0" borderId="69" xfId="22" applyNumberFormat="1" applyFont="1" applyBorder="1" applyAlignment="1">
      <alignment horizontal="center"/>
    </xf>
    <xf numFmtId="5" fontId="15" fillId="0" borderId="68" xfId="22" applyNumberFormat="1" applyFont="1" applyBorder="1" applyAlignment="1">
      <alignment horizontal="center"/>
    </xf>
    <xf numFmtId="5" fontId="15" fillId="0" borderId="67" xfId="22" applyNumberFormat="1" applyFont="1" applyBorder="1" applyAlignment="1">
      <alignment horizontal="center"/>
    </xf>
    <xf numFmtId="6" fontId="23" fillId="0" borderId="0" xfId="5" applyNumberFormat="1" applyFont="1" applyAlignment="1">
      <alignment horizontal="right"/>
    </xf>
    <xf numFmtId="0" fontId="172" fillId="5" borderId="74" xfId="0" applyFont="1" applyFill="1" applyBorder="1" applyAlignment="1">
      <alignment horizontal="right"/>
    </xf>
    <xf numFmtId="38" fontId="185" fillId="0" borderId="64" xfId="22" applyNumberFormat="1" applyFont="1" applyBorder="1" applyAlignment="1">
      <alignment horizontal="center"/>
    </xf>
    <xf numFmtId="175" fontId="172" fillId="31" borderId="128" xfId="0" applyNumberFormat="1" applyFont="1" applyFill="1" applyBorder="1"/>
    <xf numFmtId="0" fontId="172" fillId="7" borderId="128" xfId="0" applyFont="1" applyFill="1" applyBorder="1" applyAlignment="1">
      <alignment horizontal="center"/>
    </xf>
    <xf numFmtId="5" fontId="15" fillId="0" borderId="69" xfId="22" applyNumberFormat="1" applyFont="1" applyBorder="1" applyAlignment="1">
      <alignment horizontal="center"/>
    </xf>
    <xf numFmtId="0" fontId="172" fillId="31" borderId="132" xfId="0" applyFont="1" applyFill="1" applyBorder="1" applyAlignment="1"/>
    <xf numFmtId="0" fontId="172" fillId="31" borderId="128" xfId="0" applyFont="1" applyFill="1" applyBorder="1" applyAlignment="1"/>
    <xf numFmtId="165" fontId="174" fillId="29" borderId="128" xfId="0" applyNumberFormat="1" applyFont="1" applyFill="1" applyBorder="1" applyAlignment="1">
      <alignment horizontal="center"/>
    </xf>
    <xf numFmtId="166" fontId="15" fillId="10" borderId="62" xfId="22" applyNumberFormat="1" applyFont="1" applyFill="1" applyBorder="1" applyAlignment="1">
      <alignment horizontal="center"/>
    </xf>
    <xf numFmtId="168" fontId="15" fillId="0" borderId="0" xfId="0" applyNumberFormat="1" applyFont="1"/>
    <xf numFmtId="0" fontId="23" fillId="0" borderId="66" xfId="0" applyFont="1" applyBorder="1"/>
    <xf numFmtId="5" fontId="23" fillId="0" borderId="64" xfId="22" applyNumberFormat="1" applyFont="1" applyBorder="1" applyAlignment="1">
      <alignment horizontal="center"/>
    </xf>
    <xf numFmtId="295" fontId="15" fillId="0" borderId="110" xfId="0" applyNumberFormat="1" applyFont="1" applyBorder="1" applyAlignment="1">
      <alignment horizontal="left"/>
    </xf>
    <xf numFmtId="5" fontId="23" fillId="0" borderId="0" xfId="22" applyNumberFormat="1" applyFont="1" applyBorder="1" applyAlignment="1">
      <alignment horizontal="center"/>
    </xf>
    <xf numFmtId="5" fontId="23" fillId="0" borderId="77" xfId="22" applyNumberFormat="1" applyFont="1" applyBorder="1" applyAlignment="1">
      <alignment horizontal="center"/>
    </xf>
    <xf numFmtId="5" fontId="15" fillId="0" borderId="135" xfId="22" applyNumberFormat="1" applyFont="1" applyBorder="1" applyAlignment="1">
      <alignment horizontal="center"/>
    </xf>
    <xf numFmtId="165" fontId="23" fillId="3" borderId="83" xfId="22" applyNumberFormat="1" applyFont="1" applyFill="1" applyBorder="1" applyAlignment="1">
      <alignment horizontal="center"/>
    </xf>
    <xf numFmtId="5" fontId="23" fillId="3" borderId="73" xfId="22" applyNumberFormat="1" applyFont="1" applyFill="1" applyBorder="1" applyAlignment="1">
      <alignment horizontal="center"/>
    </xf>
    <xf numFmtId="5" fontId="15" fillId="0" borderId="107" xfId="22" applyNumberFormat="1" applyFont="1" applyBorder="1" applyAlignment="1">
      <alignment horizontal="center"/>
    </xf>
    <xf numFmtId="5" fontId="23" fillId="0" borderId="0" xfId="22" applyNumberFormat="1" applyFont="1" applyBorder="1" applyAlignment="1"/>
    <xf numFmtId="7" fontId="174" fillId="0" borderId="64" xfId="0" applyNumberFormat="1" applyFont="1" applyBorder="1" applyAlignment="1">
      <alignment horizontal="center"/>
    </xf>
    <xf numFmtId="0" fontId="15" fillId="10" borderId="86" xfId="0" applyFont="1" applyFill="1" applyBorder="1"/>
    <xf numFmtId="5" fontId="15" fillId="10" borderId="5" xfId="22" applyNumberFormat="1" applyFont="1" applyFill="1" applyBorder="1" applyAlignment="1">
      <alignment horizontal="center"/>
    </xf>
    <xf numFmtId="166" fontId="15" fillId="10" borderId="107" xfId="22" applyNumberFormat="1" applyFont="1" applyFill="1" applyBorder="1" applyAlignment="1">
      <alignment horizontal="center"/>
    </xf>
    <xf numFmtId="165" fontId="23" fillId="3" borderId="64" xfId="22" applyNumberFormat="1" applyFont="1" applyFill="1" applyBorder="1" applyAlignment="1">
      <alignment horizontal="center"/>
    </xf>
    <xf numFmtId="5" fontId="15" fillId="0" borderId="136" xfId="22" applyNumberFormat="1" applyFont="1" applyBorder="1" applyAlignment="1">
      <alignment horizontal="center"/>
    </xf>
    <xf numFmtId="5" fontId="23" fillId="0" borderId="118" xfId="22" applyNumberFormat="1" applyFont="1" applyBorder="1" applyAlignment="1">
      <alignment horizontal="center"/>
    </xf>
    <xf numFmtId="0" fontId="172" fillId="31" borderId="133" xfId="0" applyFont="1" applyFill="1" applyBorder="1"/>
    <xf numFmtId="0" fontId="172" fillId="7" borderId="132" xfId="0" applyFont="1" applyFill="1" applyBorder="1" applyAlignment="1">
      <alignment horizontal="left"/>
    </xf>
    <xf numFmtId="0" fontId="172" fillId="7" borderId="133" xfId="0" applyFont="1" applyFill="1" applyBorder="1" applyAlignment="1">
      <alignment horizontal="center"/>
    </xf>
    <xf numFmtId="260" fontId="23" fillId="0" borderId="110" xfId="0" applyNumberFormat="1" applyFont="1" applyBorder="1" applyAlignment="1">
      <alignment horizontal="left"/>
    </xf>
    <xf numFmtId="5" fontId="23" fillId="0" borderId="112" xfId="22" applyNumberFormat="1" applyFont="1" applyBorder="1" applyAlignment="1">
      <alignment horizontal="center"/>
    </xf>
    <xf numFmtId="260" fontId="23" fillId="0" borderId="65" xfId="0" applyNumberFormat="1" applyFont="1" applyBorder="1" applyAlignment="1">
      <alignment horizontal="left"/>
    </xf>
    <xf numFmtId="5" fontId="23" fillId="0" borderId="2" xfId="22" applyNumberFormat="1" applyFont="1" applyBorder="1" applyAlignment="1">
      <alignment horizontal="center"/>
    </xf>
    <xf numFmtId="260" fontId="15" fillId="0" borderId="113" xfId="0" applyNumberFormat="1" applyFont="1" applyBorder="1" applyAlignment="1">
      <alignment horizontal="left"/>
    </xf>
    <xf numFmtId="5" fontId="15" fillId="0" borderId="109" xfId="22" applyNumberFormat="1" applyFont="1" applyBorder="1" applyAlignment="1">
      <alignment horizontal="center"/>
    </xf>
    <xf numFmtId="0" fontId="174" fillId="0" borderId="61" xfId="0" applyFont="1" applyBorder="1" applyAlignment="1">
      <alignment horizontal="left"/>
    </xf>
    <xf numFmtId="5" fontId="174" fillId="0" borderId="2" xfId="0" applyNumberFormat="1" applyFont="1" applyBorder="1" applyAlignment="1">
      <alignment horizontal="center"/>
    </xf>
    <xf numFmtId="0" fontId="174" fillId="29" borderId="132" xfId="0" applyFont="1" applyFill="1" applyBorder="1"/>
    <xf numFmtId="166" fontId="174" fillId="29" borderId="133" xfId="0" applyNumberFormat="1" applyFont="1" applyFill="1" applyBorder="1" applyAlignment="1">
      <alignment horizontal="center"/>
    </xf>
    <xf numFmtId="165" fontId="171" fillId="0" borderId="107" xfId="0" applyNumberFormat="1" applyFont="1" applyBorder="1"/>
    <xf numFmtId="168" fontId="185" fillId="0" borderId="118" xfId="1360" applyNumberFormat="1" applyFont="1" applyBorder="1"/>
    <xf numFmtId="168" fontId="172" fillId="0" borderId="0" xfId="1360" applyNumberFormat="1" applyFont="1" applyFill="1" applyBorder="1" applyAlignment="1"/>
    <xf numFmtId="38" fontId="185" fillId="0" borderId="0" xfId="22" applyNumberFormat="1" applyFont="1" applyFill="1" applyBorder="1" applyAlignment="1">
      <alignment horizontal="center"/>
    </xf>
    <xf numFmtId="168" fontId="185" fillId="0" borderId="0" xfId="1360" applyNumberFormat="1" applyFont="1" applyFill="1" applyBorder="1" applyAlignment="1">
      <alignment horizontal="center" vertical="center"/>
    </xf>
    <xf numFmtId="167" fontId="185" fillId="0" borderId="0" xfId="1" applyNumberFormat="1" applyFont="1" applyFill="1" applyBorder="1" applyAlignment="1">
      <alignment horizontal="center"/>
    </xf>
    <xf numFmtId="0" fontId="172" fillId="7" borderId="5" xfId="0" applyFont="1" applyFill="1" applyBorder="1" applyAlignment="1">
      <alignment horizontal="left"/>
    </xf>
    <xf numFmtId="0" fontId="172" fillId="34" borderId="14" xfId="0" applyFont="1" applyFill="1" applyBorder="1" applyAlignment="1">
      <alignment horizontal="left"/>
    </xf>
    <xf numFmtId="168" fontId="172" fillId="34" borderId="0" xfId="1360" applyNumberFormat="1" applyFont="1" applyFill="1" applyBorder="1" applyAlignment="1"/>
    <xf numFmtId="291" fontId="172" fillId="34" borderId="5" xfId="1" applyNumberFormat="1" applyFont="1" applyFill="1" applyBorder="1" applyAlignment="1">
      <alignment horizontal="center" vertical="center"/>
    </xf>
    <xf numFmtId="0" fontId="172" fillId="34" borderId="65" xfId="0" applyFont="1" applyFill="1" applyBorder="1" applyAlignment="1">
      <alignment horizontal="left"/>
    </xf>
    <xf numFmtId="0" fontId="172" fillId="34" borderId="63" xfId="0" applyFont="1" applyFill="1" applyBorder="1" applyAlignment="1">
      <alignment horizontal="center"/>
    </xf>
    <xf numFmtId="0" fontId="172" fillId="34" borderId="63" xfId="0" applyFont="1" applyFill="1" applyBorder="1" applyAlignment="1">
      <alignment horizontal="center" wrapText="1"/>
    </xf>
    <xf numFmtId="0" fontId="172" fillId="34" borderId="9" xfId="0" applyFont="1" applyFill="1" applyBorder="1" applyAlignment="1">
      <alignment horizontal="center"/>
    </xf>
    <xf numFmtId="43" fontId="172" fillId="34" borderId="0" xfId="1360" applyFont="1" applyFill="1" applyBorder="1" applyAlignment="1">
      <alignment horizontal="center" vertical="center"/>
    </xf>
    <xf numFmtId="0" fontId="23" fillId="0" borderId="0" xfId="2" applyFont="1" applyFill="1" applyBorder="1"/>
    <xf numFmtId="291" fontId="174" fillId="34" borderId="0" xfId="1" applyNumberFormat="1" applyFont="1" applyFill="1" applyBorder="1" applyAlignment="1">
      <alignment horizontal="center" vertical="center"/>
    </xf>
    <xf numFmtId="177" fontId="172" fillId="34" borderId="0" xfId="22" applyNumberFormat="1" applyFont="1" applyFill="1" applyBorder="1" applyAlignment="1">
      <alignment horizontal="center" vertical="center"/>
    </xf>
    <xf numFmtId="165" fontId="172" fillId="34" borderId="0" xfId="2" applyNumberFormat="1" applyFont="1" applyFill="1" applyBorder="1" applyAlignment="1">
      <alignment horizontal="center"/>
    </xf>
    <xf numFmtId="168" fontId="172" fillId="34" borderId="0" xfId="22" applyNumberFormat="1" applyFont="1" applyFill="1" applyBorder="1" applyAlignment="1">
      <alignment horizontal="left"/>
    </xf>
    <xf numFmtId="38" fontId="185" fillId="0" borderId="124" xfId="22" applyNumberFormat="1" applyFont="1" applyBorder="1" applyAlignment="1">
      <alignment horizontal="center"/>
    </xf>
    <xf numFmtId="8" fontId="15" fillId="0" borderId="137" xfId="0" applyNumberFormat="1" applyFont="1" applyBorder="1"/>
    <xf numFmtId="0" fontId="15" fillId="0" borderId="86" xfId="0" applyFont="1" applyBorder="1"/>
    <xf numFmtId="0" fontId="171" fillId="0" borderId="0" xfId="0" applyFont="1" applyFill="1" applyBorder="1"/>
    <xf numFmtId="3" fontId="171" fillId="0" borderId="0" xfId="0" applyNumberFormat="1" applyFont="1"/>
    <xf numFmtId="0" fontId="171" fillId="0" borderId="126" xfId="0" applyFont="1" applyFill="1" applyBorder="1"/>
    <xf numFmtId="168" fontId="171" fillId="0" borderId="126" xfId="1360" applyNumberFormat="1" applyFont="1" applyBorder="1"/>
    <xf numFmtId="0" fontId="174" fillId="0" borderId="0" xfId="0" applyFont="1" applyFill="1" applyBorder="1"/>
    <xf numFmtId="168" fontId="171" fillId="0" borderId="0" xfId="1360" applyNumberFormat="1" applyFont="1" applyBorder="1"/>
    <xf numFmtId="0" fontId="171" fillId="0" borderId="0" xfId="0" applyNumberFormat="1" applyFont="1" applyFill="1" applyBorder="1"/>
    <xf numFmtId="0" fontId="174" fillId="0" borderId="0" xfId="0" applyFont="1" applyBorder="1"/>
    <xf numFmtId="167" fontId="185" fillId="0" borderId="5" xfId="1" applyNumberFormat="1" applyFont="1" applyFill="1" applyBorder="1" applyAlignment="1">
      <alignment horizontal="center"/>
    </xf>
    <xf numFmtId="0" fontId="175" fillId="34" borderId="5" xfId="0" applyFont="1" applyFill="1" applyBorder="1"/>
    <xf numFmtId="6" fontId="174" fillId="0" borderId="0" xfId="0" applyNumberFormat="1" applyFont="1" applyFill="1" applyBorder="1" applyAlignment="1">
      <alignment horizontal="center"/>
    </xf>
    <xf numFmtId="0" fontId="172" fillId="0" borderId="0" xfId="0" applyFont="1" applyFill="1" applyBorder="1" applyAlignment="1">
      <alignment horizontal="left"/>
    </xf>
    <xf numFmtId="0" fontId="172" fillId="0" borderId="0" xfId="0" applyFont="1" applyFill="1" applyBorder="1" applyAlignment="1">
      <alignment horizontal="center"/>
    </xf>
    <xf numFmtId="164" fontId="15" fillId="0" borderId="0" xfId="22" applyNumberFormat="1" applyFont="1" applyFill="1" applyBorder="1" applyAlignment="1">
      <alignment horizontal="center"/>
    </xf>
    <xf numFmtId="0" fontId="175" fillId="0" borderId="0" xfId="0" applyFont="1" applyFill="1" applyBorder="1"/>
    <xf numFmtId="6" fontId="15" fillId="0" borderId="0" xfId="0" applyNumberFormat="1" applyFont="1" applyFill="1" applyBorder="1"/>
    <xf numFmtId="168" fontId="185" fillId="0" borderId="64" xfId="1360" applyNumberFormat="1" applyFont="1" applyBorder="1"/>
    <xf numFmtId="0" fontId="171" fillId="0" borderId="138" xfId="0" applyFont="1" applyBorder="1"/>
    <xf numFmtId="168" fontId="15" fillId="0" borderId="118" xfId="0" applyNumberFormat="1" applyFont="1" applyBorder="1"/>
    <xf numFmtId="168" fontId="15" fillId="0" borderId="64" xfId="0" applyNumberFormat="1" applyFont="1" applyBorder="1"/>
    <xf numFmtId="0" fontId="172" fillId="34" borderId="97" xfId="0" applyFont="1" applyFill="1" applyBorder="1" applyAlignment="1">
      <alignment horizontal="left"/>
    </xf>
    <xf numFmtId="0" fontId="172" fillId="34" borderId="53" xfId="0" applyFont="1" applyFill="1" applyBorder="1" applyAlignment="1">
      <alignment horizontal="center"/>
    </xf>
    <xf numFmtId="0" fontId="172" fillId="34" borderId="53" xfId="0" applyFont="1" applyFill="1" applyBorder="1" applyAlignment="1">
      <alignment horizontal="center" wrapText="1"/>
    </xf>
    <xf numFmtId="0" fontId="172" fillId="34" borderId="139" xfId="0" applyFont="1" applyFill="1" applyBorder="1" applyAlignment="1">
      <alignment horizontal="center"/>
    </xf>
    <xf numFmtId="0" fontId="171" fillId="0" borderId="121" xfId="0" applyFont="1" applyBorder="1"/>
    <xf numFmtId="168" fontId="15" fillId="0" borderId="114" xfId="0" applyNumberFormat="1" applyFont="1" applyBorder="1"/>
    <xf numFmtId="168" fontId="185" fillId="0" borderId="114" xfId="1360" applyNumberFormat="1" applyFont="1" applyBorder="1"/>
    <xf numFmtId="5" fontId="15" fillId="0" borderId="114" xfId="22" applyNumberFormat="1" applyFont="1" applyBorder="1" applyAlignment="1">
      <alignment horizontal="center"/>
    </xf>
    <xf numFmtId="6" fontId="15" fillId="0" borderId="116" xfId="0" applyNumberFormat="1" applyFont="1" applyBorder="1"/>
    <xf numFmtId="166" fontId="172" fillId="7" borderId="104" xfId="2" applyNumberFormat="1" applyFont="1" applyFill="1" applyBorder="1" applyAlignment="1">
      <alignment vertical="center"/>
    </xf>
    <xf numFmtId="0" fontId="171" fillId="0" borderId="0" xfId="0" applyFont="1" applyFill="1" applyBorder="1" applyAlignment="1">
      <alignment horizontal="left" wrapText="1"/>
    </xf>
    <xf numFmtId="175" fontId="172" fillId="0" borderId="0" xfId="0" applyNumberFormat="1" applyFont="1" applyFill="1" applyBorder="1"/>
    <xf numFmtId="0" fontId="174" fillId="0" borderId="0" xfId="0" applyFont="1" applyFill="1" applyBorder="1" applyAlignment="1">
      <alignment horizontal="center"/>
    </xf>
    <xf numFmtId="6" fontId="174" fillId="0" borderId="0" xfId="0" applyNumberFormat="1" applyFont="1" applyFill="1" applyBorder="1" applyAlignment="1">
      <alignment horizontal="center" vertical="center"/>
    </xf>
    <xf numFmtId="5" fontId="23" fillId="0" borderId="0" xfId="0" applyNumberFormat="1" applyFont="1" applyFill="1" applyBorder="1" applyAlignment="1">
      <alignment horizontal="center" vertical="center"/>
    </xf>
    <xf numFmtId="37" fontId="15" fillId="0" borderId="0" xfId="22" applyNumberFormat="1" applyFont="1" applyFill="1" applyBorder="1"/>
    <xf numFmtId="9" fontId="15" fillId="0" borderId="0" xfId="0" applyNumberFormat="1" applyFont="1" applyFill="1" applyBorder="1" applyAlignment="1">
      <alignment horizontal="center"/>
    </xf>
    <xf numFmtId="6" fontId="174" fillId="0" borderId="2" xfId="0" applyNumberFormat="1" applyFont="1" applyBorder="1" applyAlignment="1">
      <alignment horizontal="center" vertical="center"/>
    </xf>
    <xf numFmtId="5" fontId="15" fillId="0" borderId="2" xfId="22" applyNumberFormat="1" applyFont="1" applyBorder="1" applyAlignment="1">
      <alignment horizontal="center" vertical="center"/>
    </xf>
    <xf numFmtId="5" fontId="15" fillId="0" borderId="119" xfId="22" applyNumberFormat="1" applyFont="1" applyBorder="1" applyAlignment="1">
      <alignment horizontal="center" vertical="center"/>
    </xf>
    <xf numFmtId="171" fontId="15" fillId="0" borderId="140" xfId="1" applyNumberFormat="1" applyFont="1" applyFill="1" applyBorder="1" applyAlignment="1">
      <alignment horizontal="center"/>
    </xf>
    <xf numFmtId="9" fontId="23" fillId="0" borderId="140" xfId="0" applyNumberFormat="1" applyFont="1" applyBorder="1" applyAlignment="1">
      <alignment horizontal="center"/>
    </xf>
    <xf numFmtId="9" fontId="15" fillId="0" borderId="140" xfId="0" applyNumberFormat="1" applyFont="1" applyBorder="1" applyAlignment="1">
      <alignment horizontal="center"/>
    </xf>
    <xf numFmtId="10" fontId="15" fillId="0" borderId="120" xfId="0" applyNumberFormat="1" applyFont="1" applyBorder="1" applyAlignment="1">
      <alignment horizontal="center"/>
    </xf>
    <xf numFmtId="0" fontId="172" fillId="5" borderId="133" xfId="0" applyFont="1" applyFill="1" applyBorder="1" applyAlignment="1">
      <alignment horizontal="center"/>
    </xf>
    <xf numFmtId="0" fontId="170" fillId="0" borderId="142" xfId="0" applyFont="1" applyBorder="1" applyAlignment="1">
      <alignment horizontal="center" vertical="center" wrapText="1"/>
    </xf>
    <xf numFmtId="287" fontId="169" fillId="0" borderId="142" xfId="0" applyNumberFormat="1" applyFont="1" applyBorder="1" applyAlignment="1">
      <alignment horizontal="center" vertical="center" wrapText="1"/>
    </xf>
    <xf numFmtId="14" fontId="169" fillId="0" borderId="142" xfId="0" applyNumberFormat="1" applyFont="1" applyBorder="1" applyAlignment="1">
      <alignment horizontal="center" vertical="center" wrapText="1"/>
    </xf>
    <xf numFmtId="0" fontId="169" fillId="0" borderId="142" xfId="0" applyFont="1" applyBorder="1" applyAlignment="1">
      <alignment horizontal="center" vertical="center"/>
    </xf>
    <xf numFmtId="0" fontId="181" fillId="0" borderId="0" xfId="0" applyFont="1" applyFill="1" applyBorder="1" applyAlignment="1"/>
    <xf numFmtId="0" fontId="170" fillId="0" borderId="0" xfId="0" applyFont="1" applyFill="1" applyBorder="1" applyAlignment="1">
      <alignment horizontal="center" vertical="center" wrapText="1"/>
    </xf>
    <xf numFmtId="166" fontId="169" fillId="0" borderId="0" xfId="0" applyNumberFormat="1" applyFont="1" applyFill="1" applyBorder="1" applyAlignment="1">
      <alignment horizontal="center"/>
    </xf>
    <xf numFmtId="166" fontId="169" fillId="0" borderId="0" xfId="0" applyNumberFormat="1" applyFont="1" applyFill="1" applyBorder="1"/>
    <xf numFmtId="168" fontId="172" fillId="0" borderId="0" xfId="1360" applyNumberFormat="1" applyFont="1" applyFill="1" applyBorder="1" applyAlignment="1">
      <alignment horizontal="center"/>
    </xf>
    <xf numFmtId="164" fontId="172" fillId="0" borderId="0" xfId="22" applyNumberFormat="1" applyFont="1" applyFill="1" applyBorder="1" applyAlignment="1">
      <alignment horizontal="center"/>
    </xf>
    <xf numFmtId="0" fontId="23" fillId="0" borderId="0" xfId="0" applyFont="1" applyFill="1" applyBorder="1" applyAlignment="1">
      <alignment horizontal="left"/>
    </xf>
    <xf numFmtId="0" fontId="23" fillId="33" borderId="0" xfId="1347" applyFont="1" applyFill="1" applyBorder="1" applyAlignment="1">
      <alignment vertical="center"/>
    </xf>
    <xf numFmtId="0" fontId="15" fillId="33" borderId="0" xfId="1347" applyFont="1" applyFill="1" applyBorder="1" applyAlignment="1">
      <alignment horizontal="left" vertical="center"/>
    </xf>
    <xf numFmtId="166" fontId="179" fillId="33" borderId="0" xfId="1347" applyNumberFormat="1" applyFont="1" applyFill="1" applyBorder="1" applyAlignment="1">
      <alignment horizontal="center" vertical="center"/>
    </xf>
    <xf numFmtId="14" fontId="171" fillId="33" borderId="0" xfId="1347" applyNumberFormat="1" applyFont="1" applyFill="1" applyBorder="1" applyAlignment="1">
      <alignment horizontal="left"/>
    </xf>
    <xf numFmtId="175" fontId="182" fillId="35" borderId="128" xfId="0" applyNumberFormat="1" applyFont="1" applyFill="1" applyBorder="1" applyAlignment="1"/>
    <xf numFmtId="0" fontId="172" fillId="5" borderId="131" xfId="0" applyFont="1" applyFill="1" applyBorder="1" applyAlignment="1">
      <alignment horizontal="center"/>
    </xf>
    <xf numFmtId="0" fontId="172" fillId="5" borderId="128" xfId="0" applyFont="1" applyFill="1" applyBorder="1" applyAlignment="1">
      <alignment horizontal="center"/>
    </xf>
    <xf numFmtId="0" fontId="174" fillId="0" borderId="89" xfId="0" applyFont="1" applyBorder="1" applyAlignment="1">
      <alignment horizontal="left"/>
    </xf>
    <xf numFmtId="180" fontId="23" fillId="0" borderId="7" xfId="0" applyNumberFormat="1" applyFont="1" applyBorder="1" applyAlignment="1">
      <alignment horizontal="right"/>
    </xf>
    <xf numFmtId="181" fontId="15" fillId="0" borderId="137" xfId="0" applyNumberFormat="1" applyFont="1" applyBorder="1" applyAlignment="1">
      <alignment horizontal="right"/>
    </xf>
    <xf numFmtId="0" fontId="23" fillId="0" borderId="7" xfId="0" applyFont="1" applyBorder="1" applyAlignment="1">
      <alignment horizontal="right"/>
    </xf>
    <xf numFmtId="0" fontId="171" fillId="0" borderId="0" xfId="0" applyFont="1" applyBorder="1" applyAlignment="1">
      <alignment horizontal="right"/>
    </xf>
    <xf numFmtId="0" fontId="15" fillId="0" borderId="53" xfId="0" applyFont="1" applyBorder="1"/>
    <xf numFmtId="173" fontId="179" fillId="0" borderId="138" xfId="0" applyNumberFormat="1" applyFont="1" applyBorder="1" applyAlignment="1" applyProtection="1">
      <alignment horizontal="left"/>
      <protection locked="0"/>
    </xf>
    <xf numFmtId="0" fontId="15" fillId="0" borderId="89" xfId="0" applyFont="1" applyBorder="1"/>
    <xf numFmtId="0" fontId="15" fillId="0" borderId="138" xfId="0" applyFont="1" applyBorder="1"/>
    <xf numFmtId="0" fontId="23" fillId="0" borderId="89" xfId="0" applyFont="1" applyBorder="1"/>
    <xf numFmtId="0" fontId="172" fillId="5" borderId="126" xfId="0" applyFont="1" applyFill="1" applyBorder="1" applyAlignment="1">
      <alignment horizontal="center"/>
    </xf>
    <xf numFmtId="0" fontId="172" fillId="0" borderId="0" xfId="0" applyFont="1" applyBorder="1" applyAlignment="1">
      <alignment horizontal="center"/>
    </xf>
    <xf numFmtId="0" fontId="15" fillId="0" borderId="141" xfId="0" applyFont="1" applyBorder="1"/>
    <xf numFmtId="0" fontId="23" fillId="0" borderId="141" xfId="0" applyFont="1" applyBorder="1"/>
    <xf numFmtId="0" fontId="15" fillId="0" borderId="152" xfId="0" applyFont="1" applyBorder="1"/>
    <xf numFmtId="5" fontId="15" fillId="0" borderId="92" xfId="22" applyNumberFormat="1" applyFont="1" applyFill="1" applyBorder="1" applyAlignment="1">
      <alignment horizontal="center"/>
    </xf>
    <xf numFmtId="5" fontId="15" fillId="0" borderId="2" xfId="22" applyNumberFormat="1" applyFont="1" applyFill="1" applyBorder="1" applyAlignment="1">
      <alignment horizontal="center"/>
    </xf>
    <xf numFmtId="0" fontId="15" fillId="0" borderId="150" xfId="0" applyFont="1" applyBorder="1"/>
    <xf numFmtId="5" fontId="15" fillId="0" borderId="144" xfId="22" applyNumberFormat="1" applyFont="1" applyFill="1" applyBorder="1" applyAlignment="1">
      <alignment horizontal="center"/>
    </xf>
    <xf numFmtId="5" fontId="171" fillId="0" borderId="144" xfId="22" applyNumberFormat="1" applyFont="1" applyFill="1" applyBorder="1" applyAlignment="1">
      <alignment horizontal="center"/>
    </xf>
    <xf numFmtId="0" fontId="23" fillId="3" borderId="150" xfId="0" applyFont="1" applyFill="1" applyBorder="1"/>
    <xf numFmtId="167" fontId="23" fillId="3" borderId="144" xfId="1" applyNumberFormat="1" applyFont="1" applyFill="1" applyBorder="1" applyAlignment="1">
      <alignment horizontal="center"/>
    </xf>
    <xf numFmtId="273" fontId="179" fillId="3" borderId="115" xfId="0" applyNumberFormat="1" applyFont="1" applyFill="1" applyBorder="1" applyAlignment="1">
      <alignment horizontal="left"/>
    </xf>
    <xf numFmtId="9" fontId="186" fillId="0" borderId="0" xfId="1" applyFont="1"/>
    <xf numFmtId="43" fontId="186" fillId="0" borderId="0" xfId="0" applyNumberFormat="1" applyFont="1"/>
    <xf numFmtId="0" fontId="169" fillId="0" borderId="0" xfId="0" applyFont="1" applyBorder="1"/>
    <xf numFmtId="0" fontId="186" fillId="0" borderId="142" xfId="0" applyFont="1" applyBorder="1" applyAlignment="1">
      <alignment horizontal="center" vertical="center"/>
    </xf>
    <xf numFmtId="0" fontId="186" fillId="0" borderId="0" xfId="0" applyFont="1" applyBorder="1"/>
    <xf numFmtId="0" fontId="186" fillId="0" borderId="0" xfId="0" applyFont="1" applyFill="1" applyBorder="1" applyAlignment="1">
      <alignment vertical="center"/>
    </xf>
    <xf numFmtId="3" fontId="169" fillId="0" borderId="142" xfId="0" applyNumberFormat="1" applyFont="1" applyBorder="1" applyAlignment="1">
      <alignment horizontal="center" vertical="center"/>
    </xf>
    <xf numFmtId="172" fontId="187" fillId="0" borderId="147" xfId="0" applyNumberFormat="1" applyFont="1" applyBorder="1" applyAlignment="1">
      <alignment vertical="center"/>
    </xf>
    <xf numFmtId="172" fontId="187" fillId="0" borderId="8" xfId="0" applyNumberFormat="1" applyFont="1" applyBorder="1" applyAlignment="1">
      <alignment vertical="center"/>
    </xf>
    <xf numFmtId="172" fontId="187" fillId="0" borderId="142" xfId="0" applyNumberFormat="1" applyFont="1" applyBorder="1" applyAlignment="1">
      <alignment horizontal="center" vertical="center"/>
    </xf>
    <xf numFmtId="0" fontId="169" fillId="0" borderId="0" xfId="0" applyFont="1" applyFill="1" applyBorder="1"/>
    <xf numFmtId="0" fontId="188" fillId="39" borderId="97" xfId="0" applyFont="1" applyFill="1" applyBorder="1" applyAlignment="1">
      <alignment vertical="center"/>
    </xf>
    <xf numFmtId="0" fontId="188" fillId="39" borderId="53" xfId="0" applyFont="1" applyFill="1" applyBorder="1" applyAlignment="1">
      <alignment vertical="center"/>
    </xf>
    <xf numFmtId="0" fontId="188" fillId="39" borderId="139" xfId="0" applyFont="1" applyFill="1" applyBorder="1" applyAlignment="1">
      <alignment vertical="center"/>
    </xf>
    <xf numFmtId="0" fontId="186" fillId="0" borderId="150" xfId="0" applyFont="1" applyBorder="1" applyAlignment="1">
      <alignment horizontal="left" vertical="center"/>
    </xf>
    <xf numFmtId="0" fontId="186" fillId="0" borderId="142" xfId="0" applyFont="1" applyBorder="1" applyAlignment="1">
      <alignment horizontal="left" vertical="center" wrapText="1"/>
    </xf>
    <xf numFmtId="0" fontId="186" fillId="0" borderId="144" xfId="0" applyFont="1" applyBorder="1" applyAlignment="1">
      <alignment horizontal="left" vertical="center"/>
    </xf>
    <xf numFmtId="0" fontId="191" fillId="4" borderId="87" xfId="0" applyFont="1" applyFill="1" applyBorder="1" applyAlignment="1">
      <alignment vertical="center"/>
    </xf>
    <xf numFmtId="0" fontId="187" fillId="4" borderId="58" xfId="0" applyFont="1" applyFill="1" applyBorder="1" applyAlignment="1">
      <alignment vertical="center"/>
    </xf>
    <xf numFmtId="0" fontId="182" fillId="4" borderId="58" xfId="0" applyFont="1" applyFill="1" applyBorder="1" applyAlignment="1">
      <alignment vertical="center"/>
    </xf>
    <xf numFmtId="3" fontId="182" fillId="4" borderId="58" xfId="0" applyNumberFormat="1" applyFont="1" applyFill="1" applyBorder="1" applyAlignment="1">
      <alignment vertical="center"/>
    </xf>
    <xf numFmtId="0" fontId="169" fillId="4" borderId="88" xfId="0" applyFont="1" applyFill="1" applyBorder="1" applyAlignment="1">
      <alignment vertical="center"/>
    </xf>
    <xf numFmtId="43" fontId="186" fillId="0" borderId="142" xfId="1360" applyNumberFormat="1" applyFont="1" applyBorder="1" applyAlignment="1">
      <alignment horizontal="left" vertical="center"/>
    </xf>
    <xf numFmtId="168" fontId="186" fillId="0" borderId="142" xfId="1360" applyNumberFormat="1" applyFont="1" applyBorder="1" applyAlignment="1">
      <alignment horizontal="left" vertical="center"/>
    </xf>
    <xf numFmtId="0" fontId="186" fillId="0" borderId="61" xfId="0" applyFont="1" applyBorder="1" applyAlignment="1">
      <alignment horizontal="left" vertical="center"/>
    </xf>
    <xf numFmtId="0" fontId="186" fillId="0" borderId="64" xfId="0" applyFont="1" applyBorder="1" applyAlignment="1">
      <alignment horizontal="left" vertical="center" wrapText="1"/>
    </xf>
    <xf numFmtId="43" fontId="186" fillId="0" borderId="64" xfId="1360" applyNumberFormat="1" applyFont="1" applyBorder="1" applyAlignment="1">
      <alignment horizontal="left" vertical="center"/>
    </xf>
    <xf numFmtId="168" fontId="186" fillId="0" borderId="64" xfId="1360" applyNumberFormat="1" applyFont="1" applyBorder="1" applyAlignment="1">
      <alignment horizontal="left" vertical="center"/>
    </xf>
    <xf numFmtId="0" fontId="186" fillId="0" borderId="2" xfId="0" applyFont="1" applyBorder="1" applyAlignment="1">
      <alignment horizontal="left" vertical="center"/>
    </xf>
    <xf numFmtId="0" fontId="182" fillId="0" borderId="117" xfId="0" applyFont="1" applyBorder="1" applyAlignment="1">
      <alignment vertical="center"/>
    </xf>
    <xf numFmtId="0" fontId="182" fillId="0" borderId="118" xfId="0" applyFont="1" applyBorder="1" applyAlignment="1">
      <alignment vertical="center"/>
    </xf>
    <xf numFmtId="0" fontId="182" fillId="0" borderId="119" xfId="0" applyFont="1" applyBorder="1" applyAlignment="1">
      <alignment vertical="center"/>
    </xf>
    <xf numFmtId="0" fontId="182" fillId="0" borderId="101" xfId="0" applyFont="1" applyBorder="1" applyAlignment="1">
      <alignment horizontal="center" vertical="center" wrapText="1"/>
    </xf>
    <xf numFmtId="0" fontId="182" fillId="0" borderId="127" xfId="0" applyFont="1" applyBorder="1" applyAlignment="1">
      <alignment horizontal="center" vertical="center" wrapText="1"/>
    </xf>
    <xf numFmtId="0" fontId="182" fillId="0" borderId="102" xfId="0" applyFont="1" applyBorder="1" applyAlignment="1">
      <alignment horizontal="center" vertical="center" wrapText="1"/>
    </xf>
    <xf numFmtId="0" fontId="182" fillId="0" borderId="0" xfId="0" applyFont="1" applyFill="1" applyBorder="1" applyAlignment="1">
      <alignment vertical="center"/>
    </xf>
    <xf numFmtId="0" fontId="170" fillId="0" borderId="0" xfId="0" applyFont="1" applyBorder="1" applyAlignment="1">
      <alignment horizontal="center" vertical="center"/>
    </xf>
    <xf numFmtId="166" fontId="183" fillId="0" borderId="0" xfId="0" applyNumberFormat="1" applyFont="1" applyBorder="1" applyAlignment="1">
      <alignment horizontal="center" vertical="center"/>
    </xf>
    <xf numFmtId="0" fontId="181" fillId="0" borderId="0" xfId="0" applyFont="1" applyBorder="1" applyAlignment="1">
      <alignment horizontal="center"/>
    </xf>
    <xf numFmtId="0" fontId="182" fillId="0" borderId="150" xfId="0" applyFont="1" applyBorder="1" applyAlignment="1">
      <alignment horizontal="center" vertical="center"/>
    </xf>
    <xf numFmtId="0" fontId="182" fillId="0" borderId="142" xfId="0" applyFont="1" applyBorder="1" applyAlignment="1">
      <alignment horizontal="center" vertical="center"/>
    </xf>
    <xf numFmtId="0" fontId="182" fillId="0" borderId="142" xfId="0" applyFont="1" applyBorder="1" applyAlignment="1">
      <alignment horizontal="center" vertical="center" wrapText="1"/>
    </xf>
    <xf numFmtId="0" fontId="182" fillId="0" borderId="144" xfId="0" applyFont="1" applyBorder="1" applyAlignment="1">
      <alignment horizontal="center" vertical="center" wrapText="1"/>
    </xf>
    <xf numFmtId="6" fontId="184" fillId="0" borderId="0" xfId="0" applyNumberFormat="1" applyFont="1" applyBorder="1" applyAlignment="1">
      <alignment horizontal="center" vertical="center"/>
    </xf>
    <xf numFmtId="10" fontId="183" fillId="0" borderId="0" xfId="0" applyNumberFormat="1" applyFont="1" applyBorder="1" applyAlignment="1">
      <alignment horizontal="center" vertical="center"/>
    </xf>
    <xf numFmtId="0" fontId="188" fillId="39" borderId="130" xfId="0" applyFont="1" applyFill="1" applyBorder="1" applyAlignment="1">
      <alignment vertical="center"/>
    </xf>
    <xf numFmtId="0" fontId="188" fillId="39" borderId="126" xfId="0" applyFont="1" applyFill="1" applyBorder="1" applyAlignment="1">
      <alignment vertical="center"/>
    </xf>
    <xf numFmtId="0" fontId="188" fillId="39" borderId="131" xfId="0" applyFont="1" applyFill="1" applyBorder="1" applyAlignment="1">
      <alignment vertical="center"/>
    </xf>
    <xf numFmtId="0" fontId="188" fillId="39" borderId="72" xfId="0" applyFont="1" applyFill="1" applyBorder="1" applyAlignment="1">
      <alignment vertical="center"/>
    </xf>
    <xf numFmtId="0" fontId="188" fillId="39" borderId="89" xfId="0" applyFont="1" applyFill="1" applyBorder="1" applyAlignment="1">
      <alignment vertical="center"/>
    </xf>
    <xf numFmtId="0" fontId="188" fillId="39" borderId="73" xfId="0" applyFont="1" applyFill="1" applyBorder="1" applyAlignment="1">
      <alignment vertical="center"/>
    </xf>
    <xf numFmtId="14" fontId="171" fillId="33" borderId="0" xfId="1347" applyNumberFormat="1" applyFont="1" applyFill="1" applyAlignment="1">
      <alignment horizontal="left"/>
    </xf>
    <xf numFmtId="0" fontId="186" fillId="0" borderId="0" xfId="0" applyFont="1" applyFill="1" applyBorder="1"/>
    <xf numFmtId="0" fontId="23" fillId="34" borderId="0" xfId="2" applyFont="1" applyFill="1" applyBorder="1"/>
    <xf numFmtId="167" fontId="185" fillId="34" borderId="5" xfId="1" applyNumberFormat="1" applyFont="1" applyFill="1" applyBorder="1" applyAlignment="1">
      <alignment horizontal="center"/>
    </xf>
    <xf numFmtId="168" fontId="172" fillId="36" borderId="0" xfId="1360" applyNumberFormat="1" applyFont="1" applyFill="1" applyBorder="1" applyAlignment="1">
      <alignment horizontal="center" vertical="center"/>
    </xf>
    <xf numFmtId="297" fontId="172" fillId="36" borderId="0" xfId="1" applyNumberFormat="1" applyFont="1" applyFill="1" applyBorder="1"/>
    <xf numFmtId="298" fontId="172" fillId="36" borderId="0" xfId="0" applyNumberFormat="1" applyFont="1" applyFill="1" applyBorder="1"/>
    <xf numFmtId="297" fontId="174" fillId="0" borderId="61" xfId="1" applyNumberFormat="1" applyFont="1" applyBorder="1"/>
    <xf numFmtId="298" fontId="174" fillId="0" borderId="115" xfId="0" applyNumberFormat="1" applyFont="1" applyBorder="1"/>
    <xf numFmtId="0" fontId="23" fillId="33" borderId="130" xfId="1347" applyFont="1" applyFill="1" applyBorder="1" applyAlignment="1">
      <alignment vertical="center"/>
    </xf>
    <xf numFmtId="0" fontId="23" fillId="33" borderId="126" xfId="1347" applyFont="1" applyFill="1" applyBorder="1" applyAlignment="1">
      <alignment vertical="center"/>
    </xf>
    <xf numFmtId="0" fontId="23" fillId="33" borderId="126" xfId="1347" applyFont="1" applyFill="1" applyBorder="1" applyAlignment="1">
      <alignment horizontal="center" vertical="center"/>
    </xf>
    <xf numFmtId="0" fontId="178" fillId="33" borderId="96" xfId="1347" applyFont="1" applyFill="1" applyBorder="1" applyAlignment="1">
      <alignment horizontal="left" vertical="center"/>
    </xf>
    <xf numFmtId="0" fontId="15" fillId="33" borderId="145" xfId="1347" applyFont="1" applyFill="1" applyBorder="1" applyAlignment="1">
      <alignment horizontal="center" vertical="center"/>
    </xf>
    <xf numFmtId="0" fontId="23" fillId="33" borderId="149" xfId="1347" applyFont="1" applyFill="1" applyBorder="1" applyAlignment="1">
      <alignment horizontal="center" vertical="center"/>
    </xf>
    <xf numFmtId="0" fontId="23" fillId="33" borderId="153" xfId="1347" applyFont="1" applyFill="1" applyBorder="1" applyAlignment="1">
      <alignment horizontal="center" vertical="center"/>
    </xf>
    <xf numFmtId="37" fontId="185" fillId="33" borderId="149" xfId="1347" applyNumberFormat="1" applyFont="1" applyFill="1" applyBorder="1" applyAlignment="1">
      <alignment horizontal="center" vertical="center"/>
    </xf>
    <xf numFmtId="165" fontId="185" fillId="33" borderId="149" xfId="1358" applyNumberFormat="1" applyFont="1" applyFill="1" applyBorder="1" applyAlignment="1">
      <alignment horizontal="center" vertical="center"/>
    </xf>
    <xf numFmtId="6" fontId="179" fillId="33" borderId="144" xfId="1347" applyNumberFormat="1" applyFont="1" applyFill="1" applyBorder="1" applyAlignment="1">
      <alignment horizontal="center"/>
    </xf>
    <xf numFmtId="0" fontId="178" fillId="33" borderId="14" xfId="1347" applyFont="1" applyFill="1" applyBorder="1" applyAlignment="1">
      <alignment horizontal="left" vertical="center"/>
    </xf>
    <xf numFmtId="0" fontId="15" fillId="33" borderId="153" xfId="1347" applyFont="1" applyFill="1" applyBorder="1" applyAlignment="1">
      <alignment horizontal="center" vertical="center"/>
    </xf>
    <xf numFmtId="37" fontId="171" fillId="4" borderId="149" xfId="1347" applyNumberFormat="1" applyFont="1" applyFill="1" applyBorder="1" applyAlignment="1">
      <alignment horizontal="center" vertical="center"/>
    </xf>
    <xf numFmtId="0" fontId="15" fillId="33" borderId="14" xfId="1347" applyFont="1" applyFill="1" applyBorder="1" applyAlignment="1">
      <alignment horizontal="left" vertical="center"/>
    </xf>
    <xf numFmtId="0" fontId="171" fillId="4" borderId="144" xfId="1347" applyFont="1" applyFill="1" applyBorder="1" applyAlignment="1">
      <alignment horizontal="center"/>
    </xf>
    <xf numFmtId="0" fontId="15" fillId="33" borderId="153" xfId="1347" applyFont="1" applyFill="1" applyBorder="1" applyAlignment="1">
      <alignment vertical="center"/>
    </xf>
    <xf numFmtId="3" fontId="179" fillId="33" borderId="144" xfId="1347" applyNumberFormat="1" applyFont="1" applyFill="1" applyBorder="1" applyAlignment="1">
      <alignment horizontal="center"/>
    </xf>
    <xf numFmtId="6" fontId="179" fillId="33" borderId="116" xfId="1347" applyNumberFormat="1" applyFont="1" applyFill="1" applyBorder="1" applyAlignment="1">
      <alignment horizontal="center"/>
    </xf>
    <xf numFmtId="0" fontId="172" fillId="7" borderId="131" xfId="0" applyFont="1" applyFill="1" applyBorder="1" applyAlignment="1">
      <alignment horizontal="center"/>
    </xf>
    <xf numFmtId="260" fontId="23" fillId="0" borderId="142" xfId="0" applyNumberFormat="1" applyFont="1" applyBorder="1" applyAlignment="1">
      <alignment horizontal="left"/>
    </xf>
    <xf numFmtId="5" fontId="23" fillId="0" borderId="142" xfId="22" applyNumberFormat="1" applyFont="1" applyBorder="1" applyAlignment="1"/>
    <xf numFmtId="5" fontId="23" fillId="0" borderId="142" xfId="22" applyNumberFormat="1" applyFont="1" applyBorder="1" applyAlignment="1">
      <alignment horizontal="center"/>
    </xf>
    <xf numFmtId="166" fontId="172" fillId="7" borderId="83" xfId="2" applyNumberFormat="1" applyFont="1" applyFill="1" applyBorder="1" applyAlignment="1">
      <alignment vertical="center"/>
    </xf>
    <xf numFmtId="299" fontId="179" fillId="0" borderId="142" xfId="0" applyNumberFormat="1" applyFont="1" applyBorder="1" applyAlignment="1">
      <alignment horizontal="left"/>
    </xf>
    <xf numFmtId="0" fontId="171" fillId="0" borderId="142" xfId="0" applyFont="1" applyBorder="1"/>
    <xf numFmtId="7" fontId="171" fillId="0" borderId="142" xfId="0" applyNumberFormat="1" applyFont="1" applyBorder="1"/>
    <xf numFmtId="0" fontId="186" fillId="0" borderId="150" xfId="0" applyFont="1" applyBorder="1" applyAlignment="1">
      <alignment horizontal="center" vertical="center"/>
    </xf>
    <xf numFmtId="0" fontId="186" fillId="0" borderId="150" xfId="0" applyFont="1" applyBorder="1" applyAlignment="1">
      <alignment horizontal="center" vertical="center" wrapText="1"/>
    </xf>
    <xf numFmtId="166" fontId="186" fillId="0" borderId="142" xfId="0" applyNumberFormat="1" applyFont="1" applyBorder="1" applyAlignment="1">
      <alignment horizontal="center"/>
    </xf>
    <xf numFmtId="166" fontId="186" fillId="0" borderId="144" xfId="0" applyNumberFormat="1" applyFont="1" applyBorder="1" applyAlignment="1">
      <alignment horizontal="center"/>
    </xf>
    <xf numFmtId="166" fontId="186" fillId="0" borderId="142" xfId="0" applyNumberFormat="1" applyFont="1" applyBorder="1"/>
    <xf numFmtId="166" fontId="186" fillId="0" borderId="144" xfId="0" applyNumberFormat="1" applyFont="1" applyBorder="1"/>
    <xf numFmtId="166" fontId="186" fillId="0" borderId="146" xfId="0" applyNumberFormat="1" applyFont="1" applyBorder="1"/>
    <xf numFmtId="166" fontId="186" fillId="0" borderId="151" xfId="0" applyNumberFormat="1" applyFont="1" applyBorder="1"/>
    <xf numFmtId="0" fontId="186" fillId="0" borderId="148" xfId="0" applyFont="1" applyBorder="1" applyAlignment="1">
      <alignment horizontal="center" vertical="center" wrapText="1"/>
    </xf>
    <xf numFmtId="0" fontId="186" fillId="0" borderId="117" xfId="0" applyFont="1" applyBorder="1" applyAlignment="1">
      <alignment horizontal="center" vertical="center" wrapText="1"/>
    </xf>
    <xf numFmtId="166" fontId="186" fillId="0" borderId="118" xfId="0" applyNumberFormat="1" applyFont="1" applyBorder="1"/>
    <xf numFmtId="166" fontId="186" fillId="0" borderId="119" xfId="0" applyNumberFormat="1" applyFont="1" applyBorder="1"/>
    <xf numFmtId="0" fontId="186" fillId="0" borderId="142" xfId="0" applyFont="1" applyBorder="1" applyAlignment="1">
      <alignment horizontal="center" vertical="center" wrapText="1"/>
    </xf>
    <xf numFmtId="0" fontId="186" fillId="0" borderId="144" xfId="0" applyFont="1" applyBorder="1" applyAlignment="1">
      <alignment horizontal="center" vertical="center"/>
    </xf>
    <xf numFmtId="166" fontId="182" fillId="4" borderId="58" xfId="0" applyNumberFormat="1" applyFont="1" applyFill="1" applyBorder="1" applyAlignment="1">
      <alignment horizontal="center"/>
    </xf>
    <xf numFmtId="166" fontId="182" fillId="4" borderId="88" xfId="0" applyNumberFormat="1" applyFont="1" applyFill="1" applyBorder="1" applyAlignment="1">
      <alignment horizontal="center"/>
    </xf>
    <xf numFmtId="0" fontId="182" fillId="4" borderId="87" xfId="0" applyFont="1" applyFill="1" applyBorder="1" applyAlignment="1">
      <alignment horizontal="center"/>
    </xf>
    <xf numFmtId="43" fontId="192" fillId="36" borderId="146" xfId="1360" applyFont="1" applyFill="1" applyBorder="1" applyAlignment="1">
      <alignment horizontal="center" vertical="center"/>
    </xf>
    <xf numFmtId="43" fontId="192" fillId="0" borderId="118" xfId="1360" applyFont="1" applyFill="1" applyBorder="1" applyAlignment="1">
      <alignment horizontal="center" vertical="center"/>
    </xf>
    <xf numFmtId="0" fontId="171" fillId="33" borderId="0" xfId="1347" applyFont="1" applyFill="1" applyBorder="1"/>
    <xf numFmtId="43" fontId="172" fillId="34" borderId="0" xfId="1360" applyFont="1" applyFill="1" applyBorder="1" applyAlignment="1">
      <alignment vertical="center"/>
    </xf>
    <xf numFmtId="168" fontId="172" fillId="34" borderId="0" xfId="1360" applyNumberFormat="1" applyFont="1" applyFill="1" applyBorder="1" applyAlignment="1">
      <alignment horizontal="center"/>
    </xf>
    <xf numFmtId="0" fontId="174" fillId="33" borderId="0" xfId="1347" applyFont="1" applyFill="1" applyBorder="1" applyAlignment="1">
      <alignment horizontal="left" vertical="center"/>
    </xf>
    <xf numFmtId="0" fontId="15" fillId="0" borderId="150" xfId="0" applyFont="1" applyBorder="1" applyAlignment="1">
      <alignment wrapText="1"/>
    </xf>
    <xf numFmtId="296" fontId="185" fillId="0" borderId="144" xfId="0" applyNumberFormat="1" applyFont="1" applyBorder="1" applyAlignment="1">
      <alignment horizontal="center"/>
    </xf>
    <xf numFmtId="0" fontId="171" fillId="33" borderId="150" xfId="1347" applyFont="1" applyFill="1" applyBorder="1"/>
    <xf numFmtId="0" fontId="193" fillId="7" borderId="130" xfId="0" applyFont="1" applyFill="1" applyBorder="1" applyAlignment="1">
      <alignment horizontal="left"/>
    </xf>
    <xf numFmtId="0" fontId="181" fillId="36" borderId="126" xfId="0" applyFont="1" applyFill="1" applyBorder="1" applyAlignment="1">
      <alignment horizontal="left"/>
    </xf>
    <xf numFmtId="301" fontId="169" fillId="0" borderId="142" xfId="1360" applyNumberFormat="1" applyFont="1" applyBorder="1" applyAlignment="1">
      <alignment horizontal="center" vertical="center" wrapText="1"/>
    </xf>
    <xf numFmtId="14" fontId="23" fillId="8" borderId="114" xfId="1347" applyNumberFormat="1" applyFont="1" applyFill="1" applyBorder="1" applyAlignment="1">
      <alignment horizontal="center" vertical="center"/>
    </xf>
    <xf numFmtId="14" fontId="23" fillId="8" borderId="154" xfId="0" applyNumberFormat="1" applyFont="1" applyFill="1" applyBorder="1" applyAlignment="1">
      <alignment horizontal="right" vertical="center"/>
    </xf>
    <xf numFmtId="14" fontId="23" fillId="8" borderId="85" xfId="0" applyNumberFormat="1" applyFont="1" applyFill="1" applyBorder="1" applyAlignment="1">
      <alignment horizontal="right" vertical="center"/>
    </xf>
    <xf numFmtId="0" fontId="172" fillId="7" borderId="89" xfId="0" applyFont="1" applyFill="1" applyBorder="1" applyAlignment="1">
      <alignment horizontal="center" wrapText="1"/>
    </xf>
    <xf numFmtId="0" fontId="172" fillId="7" borderId="132" xfId="2" applyFont="1" applyFill="1" applyBorder="1" applyAlignment="1">
      <alignment vertical="center"/>
    </xf>
    <xf numFmtId="0" fontId="175" fillId="7" borderId="99" xfId="2" applyFont="1" applyFill="1" applyBorder="1" applyAlignment="1">
      <alignment horizontal="right" vertical="center" wrapText="1"/>
    </xf>
    <xf numFmtId="10" fontId="172" fillId="36" borderId="80" xfId="2" applyNumberFormat="1" applyFont="1" applyFill="1" applyBorder="1" applyAlignment="1">
      <alignment horizontal="center" vertical="center"/>
    </xf>
    <xf numFmtId="0" fontId="172" fillId="32" borderId="130" xfId="0" applyFont="1" applyFill="1" applyBorder="1" applyAlignment="1"/>
    <xf numFmtId="0" fontId="172" fillId="32" borderId="126" xfId="0" applyFont="1" applyFill="1" applyBorder="1" applyAlignment="1"/>
    <xf numFmtId="175" fontId="172" fillId="32" borderId="131" xfId="0" applyNumberFormat="1" applyFont="1" applyFill="1" applyBorder="1" applyAlignment="1"/>
    <xf numFmtId="0" fontId="172" fillId="7" borderId="130" xfId="0" applyFont="1" applyFill="1" applyBorder="1"/>
    <xf numFmtId="0" fontId="172" fillId="7" borderId="0" xfId="0" applyFont="1" applyFill="1" applyBorder="1" applyAlignment="1">
      <alignment horizontal="center" wrapText="1"/>
    </xf>
    <xf numFmtId="0" fontId="172" fillId="7" borderId="5" xfId="0" applyFont="1" applyFill="1" applyBorder="1" applyAlignment="1">
      <alignment horizontal="center" wrapText="1"/>
    </xf>
    <xf numFmtId="267" fontId="15" fillId="0" borderId="142" xfId="0" applyNumberFormat="1" applyFont="1" applyBorder="1" applyAlignment="1">
      <alignment horizontal="center"/>
    </xf>
    <xf numFmtId="5" fontId="15" fillId="0" borderId="2" xfId="22" applyNumberFormat="1" applyFont="1" applyFill="1" applyBorder="1" applyAlignment="1">
      <alignment horizontal="center" vertical="center"/>
    </xf>
    <xf numFmtId="0" fontId="171" fillId="40" borderId="142" xfId="0" applyFont="1" applyFill="1" applyBorder="1" applyAlignment="1">
      <alignment horizontal="center" wrapText="1"/>
    </xf>
    <xf numFmtId="5" fontId="179" fillId="40" borderId="2" xfId="22" applyNumberFormat="1" applyFont="1" applyFill="1" applyBorder="1" applyAlignment="1">
      <alignment horizontal="center"/>
    </xf>
    <xf numFmtId="5" fontId="23" fillId="0" borderId="0" xfId="22" applyNumberFormat="1" applyFont="1" applyFill="1" applyBorder="1" applyAlignment="1">
      <alignment horizontal="center"/>
    </xf>
    <xf numFmtId="182" fontId="15" fillId="0" borderId="148" xfId="0" applyNumberFormat="1" applyFont="1" applyBorder="1"/>
    <xf numFmtId="0" fontId="23" fillId="3" borderId="61" xfId="0" applyFont="1" applyFill="1" applyBorder="1"/>
    <xf numFmtId="0" fontId="23" fillId="3" borderId="79" xfId="0" applyFont="1" applyFill="1" applyBorder="1"/>
    <xf numFmtId="0" fontId="171" fillId="3" borderId="99" xfId="0" applyFont="1" applyFill="1" applyBorder="1"/>
    <xf numFmtId="5" fontId="23" fillId="3" borderId="80" xfId="22" applyNumberFormat="1" applyFont="1" applyFill="1" applyBorder="1" applyAlignment="1">
      <alignment horizontal="center"/>
    </xf>
    <xf numFmtId="168" fontId="171" fillId="0" borderId="0" xfId="1360" applyNumberFormat="1" applyFont="1" applyFill="1" applyBorder="1"/>
    <xf numFmtId="3" fontId="171" fillId="0" borderId="0" xfId="0" applyNumberFormat="1" applyFont="1" applyFill="1" applyBorder="1"/>
    <xf numFmtId="0" fontId="188" fillId="7" borderId="89" xfId="2" applyFont="1" applyFill="1" applyBorder="1" applyAlignment="1">
      <alignment vertical="center"/>
    </xf>
    <xf numFmtId="175" fontId="195" fillId="35" borderId="132" xfId="0" applyNumberFormat="1" applyFont="1" applyFill="1" applyBorder="1" applyAlignment="1"/>
    <xf numFmtId="166" fontId="172" fillId="7" borderId="0" xfId="2" applyNumberFormat="1" applyFont="1" applyFill="1" applyBorder="1"/>
    <xf numFmtId="0" fontId="186" fillId="0" borderId="0" xfId="0" applyFont="1" applyFill="1" applyBorder="1" applyAlignment="1">
      <alignment horizontal="center" vertical="center"/>
    </xf>
    <xf numFmtId="168" fontId="181" fillId="36" borderId="142" xfId="1360" applyNumberFormat="1" applyFont="1" applyFill="1" applyBorder="1" applyAlignment="1">
      <alignment horizontal="center" vertical="center"/>
    </xf>
    <xf numFmtId="0" fontId="186" fillId="38" borderId="146" xfId="0" applyFont="1" applyFill="1" applyBorder="1" applyAlignment="1">
      <alignment horizontal="center" vertical="center"/>
    </xf>
    <xf numFmtId="0" fontId="186" fillId="38" borderId="142" xfId="0" applyFont="1" applyFill="1" applyBorder="1" applyAlignment="1">
      <alignment horizontal="center" vertical="center"/>
    </xf>
    <xf numFmtId="302" fontId="185" fillId="0" borderId="144" xfId="0" applyNumberFormat="1" applyFont="1" applyBorder="1" applyAlignment="1">
      <alignment horizontal="center"/>
    </xf>
    <xf numFmtId="0" fontId="182" fillId="0" borderId="0" xfId="0" applyFont="1" applyFill="1" applyBorder="1" applyAlignment="1">
      <alignment horizontal="center"/>
    </xf>
    <xf numFmtId="166" fontId="182" fillId="0" borderId="0" xfId="0" applyNumberFormat="1" applyFont="1" applyFill="1" applyBorder="1" applyAlignment="1">
      <alignment horizontal="center"/>
    </xf>
    <xf numFmtId="166" fontId="169" fillId="0" borderId="0" xfId="0" applyNumberFormat="1" applyFont="1" applyFill="1" applyAlignment="1">
      <alignment horizontal="center"/>
    </xf>
    <xf numFmtId="0" fontId="169" fillId="0" borderId="0" xfId="0" applyFont="1" applyFill="1"/>
    <xf numFmtId="0" fontId="186" fillId="0" borderId="0" xfId="0" applyFont="1" applyAlignment="1"/>
    <xf numFmtId="0" fontId="182" fillId="4" borderId="81" xfId="0" applyFont="1" applyFill="1" applyBorder="1" applyAlignment="1">
      <alignment horizontal="center" vertical="center"/>
    </xf>
    <xf numFmtId="10" fontId="182" fillId="4" borderId="82" xfId="0" applyNumberFormat="1" applyFont="1" applyFill="1" applyBorder="1" applyAlignment="1">
      <alignment horizontal="center" vertical="center"/>
    </xf>
    <xf numFmtId="3" fontId="182" fillId="4" borderId="82" xfId="0" applyNumberFormat="1" applyFont="1" applyFill="1" applyBorder="1" applyAlignment="1">
      <alignment horizontal="center" vertical="center"/>
    </xf>
    <xf numFmtId="286" fontId="182" fillId="4" borderId="82" xfId="0" applyNumberFormat="1" applyFont="1" applyFill="1" applyBorder="1" applyAlignment="1">
      <alignment horizontal="center" vertical="center"/>
    </xf>
    <xf numFmtId="0" fontId="188" fillId="0" borderId="0" xfId="0" applyFont="1" applyFill="1" applyBorder="1" applyAlignment="1">
      <alignment vertical="center"/>
    </xf>
    <xf numFmtId="0" fontId="182" fillId="0" borderId="0" xfId="0" applyFont="1" applyFill="1" applyBorder="1" applyAlignment="1">
      <alignment horizontal="center" vertical="center" wrapText="1"/>
    </xf>
    <xf numFmtId="0" fontId="186" fillId="0" borderId="0" xfId="0" applyFont="1" applyFill="1" applyBorder="1" applyAlignment="1">
      <alignment horizontal="center" vertical="center" wrapText="1"/>
    </xf>
    <xf numFmtId="166" fontId="186" fillId="0" borderId="0" xfId="0" applyNumberFormat="1" applyFont="1" applyFill="1" applyBorder="1" applyAlignment="1">
      <alignment horizontal="center"/>
    </xf>
    <xf numFmtId="166" fontId="186" fillId="0" borderId="0" xfId="0" applyNumberFormat="1" applyFont="1" applyFill="1" applyBorder="1"/>
    <xf numFmtId="0" fontId="184" fillId="0" borderId="0" xfId="0" applyFont="1" applyBorder="1" applyAlignment="1">
      <alignment horizontal="center" vertical="center"/>
    </xf>
    <xf numFmtId="283" fontId="183" fillId="0" borderId="0" xfId="0" applyNumberFormat="1" applyFont="1" applyBorder="1" applyAlignment="1">
      <alignment horizontal="center" vertical="center"/>
    </xf>
    <xf numFmtId="0" fontId="186" fillId="0" borderId="118" xfId="0" applyFont="1" applyBorder="1" applyAlignment="1">
      <alignment horizontal="center" vertical="center" wrapText="1"/>
    </xf>
    <xf numFmtId="0" fontId="186" fillId="0" borderId="121" xfId="0" applyFont="1" applyBorder="1" applyAlignment="1">
      <alignment horizontal="center" vertical="center"/>
    </xf>
    <xf numFmtId="168" fontId="181" fillId="36" borderId="118" xfId="1360" applyNumberFormat="1" applyFont="1" applyFill="1" applyBorder="1" applyAlignment="1">
      <alignment horizontal="center" vertical="center"/>
    </xf>
    <xf numFmtId="0" fontId="186" fillId="0" borderId="118" xfId="0" applyFont="1" applyBorder="1" applyAlignment="1">
      <alignment horizontal="center" vertical="center"/>
    </xf>
    <xf numFmtId="0" fontId="186" fillId="0" borderId="119" xfId="0" applyFont="1" applyBorder="1" applyAlignment="1">
      <alignment horizontal="center" vertical="center"/>
    </xf>
    <xf numFmtId="0" fontId="169" fillId="0" borderId="142" xfId="0" applyFont="1" applyFill="1" applyBorder="1" applyAlignment="1">
      <alignment horizontal="center" vertical="center"/>
    </xf>
    <xf numFmtId="3" fontId="169" fillId="0" borderId="142" xfId="0" applyNumberFormat="1" applyFont="1" applyFill="1" applyBorder="1" applyAlignment="1">
      <alignment horizontal="center" vertical="center"/>
    </xf>
    <xf numFmtId="287" fontId="169" fillId="0" borderId="142" xfId="0" applyNumberFormat="1" applyFont="1" applyFill="1" applyBorder="1" applyAlignment="1">
      <alignment horizontal="center" vertical="center" wrapText="1"/>
    </xf>
    <xf numFmtId="301" fontId="169" fillId="0" borderId="142" xfId="1360" applyNumberFormat="1" applyFont="1" applyFill="1" applyBorder="1" applyAlignment="1">
      <alignment horizontal="center" vertical="center" wrapText="1"/>
    </xf>
    <xf numFmtId="14" fontId="169" fillId="0" borderId="142" xfId="0" applyNumberFormat="1" applyFont="1" applyFill="1" applyBorder="1" applyAlignment="1">
      <alignment horizontal="center" vertical="center" wrapText="1"/>
    </xf>
    <xf numFmtId="0" fontId="169" fillId="0" borderId="142" xfId="0" applyFont="1" applyFill="1" applyBorder="1" applyAlignment="1">
      <alignment horizontal="center" vertical="center" wrapText="1"/>
    </xf>
    <xf numFmtId="287" fontId="186" fillId="0" borderId="0" xfId="0" applyNumberFormat="1" applyFont="1" applyFill="1" applyBorder="1" applyAlignment="1">
      <alignment horizontal="center" vertical="center" wrapText="1"/>
    </xf>
    <xf numFmtId="14" fontId="186" fillId="0" borderId="0" xfId="0" applyNumberFormat="1" applyFont="1" applyFill="1" applyBorder="1" applyAlignment="1">
      <alignment horizontal="center" vertical="center"/>
    </xf>
    <xf numFmtId="14" fontId="186" fillId="0" borderId="0" xfId="0" applyNumberFormat="1" applyFont="1" applyFill="1" applyBorder="1" applyAlignment="1">
      <alignment horizontal="center" vertical="center" wrapText="1"/>
    </xf>
    <xf numFmtId="0" fontId="181" fillId="39" borderId="126" xfId="0" applyFont="1" applyFill="1" applyBorder="1" applyAlignment="1">
      <alignment horizontal="center" vertical="center"/>
    </xf>
    <xf numFmtId="0" fontId="169" fillId="39" borderId="126" xfId="0" applyFont="1" applyFill="1" applyBorder="1"/>
    <xf numFmtId="0" fontId="169" fillId="39" borderId="131" xfId="0" applyFont="1" applyFill="1" applyBorder="1"/>
    <xf numFmtId="172" fontId="187" fillId="0" borderId="144" xfId="0" applyNumberFormat="1" applyFont="1" applyBorder="1" applyAlignment="1">
      <alignment horizontal="center" vertical="center"/>
    </xf>
    <xf numFmtId="172" fontId="187" fillId="0" borderId="67" xfId="0" applyNumberFormat="1" applyFont="1" applyBorder="1" applyAlignment="1">
      <alignment vertical="center"/>
    </xf>
    <xf numFmtId="0" fontId="186" fillId="0" borderId="5" xfId="0" applyFont="1" applyBorder="1"/>
    <xf numFmtId="0" fontId="186" fillId="0" borderId="5" xfId="0" applyFont="1" applyFill="1" applyBorder="1"/>
    <xf numFmtId="0" fontId="186" fillId="0" borderId="89" xfId="0" applyFont="1" applyFill="1" applyBorder="1"/>
    <xf numFmtId="0" fontId="186" fillId="0" borderId="89" xfId="0" applyFont="1" applyFill="1" applyBorder="1" applyAlignment="1">
      <alignment vertical="center"/>
    </xf>
    <xf numFmtId="0" fontId="169" fillId="0" borderId="89" xfId="0" applyFont="1" applyFill="1" applyBorder="1"/>
    <xf numFmtId="0" fontId="186" fillId="0" borderId="73" xfId="0" applyFont="1" applyFill="1" applyBorder="1"/>
    <xf numFmtId="0" fontId="188" fillId="39" borderId="63" xfId="0" applyFont="1" applyFill="1" applyBorder="1" applyAlignment="1">
      <alignment vertical="center"/>
    </xf>
    <xf numFmtId="0" fontId="188" fillId="39" borderId="9" xfId="0" applyFont="1" applyFill="1" applyBorder="1" applyAlignment="1">
      <alignment vertical="center"/>
    </xf>
    <xf numFmtId="0" fontId="188" fillId="39" borderId="147" xfId="0" applyFont="1" applyFill="1" applyBorder="1" applyAlignment="1">
      <alignment horizontal="left" vertical="center"/>
    </xf>
    <xf numFmtId="0" fontId="169" fillId="0" borderId="56" xfId="0" applyFont="1" applyBorder="1"/>
    <xf numFmtId="0" fontId="169" fillId="0" borderId="143" xfId="0" applyFont="1" applyBorder="1" applyAlignment="1">
      <alignment horizontal="center" vertical="center"/>
    </xf>
    <xf numFmtId="0" fontId="181" fillId="39" borderId="130" xfId="0" applyFont="1" applyFill="1" applyBorder="1" applyAlignment="1">
      <alignment horizontal="center" vertical="center"/>
    </xf>
    <xf numFmtId="0" fontId="186" fillId="0" borderId="14" xfId="0" applyFont="1" applyBorder="1"/>
    <xf numFmtId="0" fontId="186" fillId="0" borderId="105" xfId="0" applyFont="1" applyBorder="1" applyAlignment="1">
      <alignment horizontal="center" vertical="center"/>
    </xf>
    <xf numFmtId="0" fontId="186" fillId="0" borderId="115" xfId="0" applyFont="1" applyBorder="1" applyAlignment="1">
      <alignment horizontal="center" vertical="center"/>
    </xf>
    <xf numFmtId="0" fontId="180" fillId="0" borderId="54" xfId="0" applyFont="1" applyBorder="1" applyAlignment="1">
      <alignment horizontal="center"/>
    </xf>
    <xf numFmtId="172" fontId="174" fillId="0" borderId="142" xfId="0" applyNumberFormat="1" applyFont="1" applyBorder="1"/>
    <xf numFmtId="0" fontId="15" fillId="0" borderId="0" xfId="0" applyFont="1" applyBorder="1" applyAlignment="1">
      <alignment wrapText="1"/>
    </xf>
    <xf numFmtId="0" fontId="171" fillId="40" borderId="5" xfId="0" applyFont="1" applyFill="1" applyBorder="1"/>
    <xf numFmtId="0" fontId="171" fillId="0" borderId="150" xfId="0" applyFont="1" applyBorder="1"/>
    <xf numFmtId="0" fontId="171" fillId="40" borderId="0" xfId="0" applyFont="1" applyFill="1" applyBorder="1"/>
    <xf numFmtId="0" fontId="171" fillId="0" borderId="56" xfId="0" applyFont="1" applyBorder="1"/>
    <xf numFmtId="38" fontId="171" fillId="0" borderId="64" xfId="0" applyNumberFormat="1" applyFont="1" applyBorder="1"/>
    <xf numFmtId="0" fontId="171" fillId="0" borderId="124" xfId="0" applyFont="1" applyBorder="1"/>
    <xf numFmtId="0" fontId="171" fillId="0" borderId="118" xfId="0" applyFont="1" applyBorder="1"/>
    <xf numFmtId="5" fontId="15" fillId="0" borderId="107" xfId="22" applyNumberFormat="1" applyFont="1" applyBorder="1" applyAlignment="1">
      <alignment horizontal="center"/>
    </xf>
    <xf numFmtId="0" fontId="172" fillId="5" borderId="74" xfId="0" applyFont="1" applyFill="1" applyBorder="1" applyAlignment="1">
      <alignment horizontal="right"/>
    </xf>
    <xf numFmtId="0" fontId="172" fillId="5" borderId="75" xfId="0" applyFont="1" applyFill="1" applyBorder="1" applyAlignment="1">
      <alignment horizontal="right"/>
    </xf>
    <xf numFmtId="10" fontId="186" fillId="0" borderId="0" xfId="1" applyNumberFormat="1" applyFont="1"/>
    <xf numFmtId="263" fontId="185" fillId="0" borderId="144" xfId="0" applyNumberFormat="1" applyFont="1" applyBorder="1" applyAlignment="1">
      <alignment horizontal="center"/>
    </xf>
    <xf numFmtId="261" fontId="185" fillId="0" borderId="144" xfId="0" applyNumberFormat="1" applyFont="1" applyBorder="1" applyAlignment="1">
      <alignment horizontal="center"/>
    </xf>
    <xf numFmtId="271" fontId="185" fillId="0" borderId="144" xfId="0" applyNumberFormat="1" applyFont="1" applyBorder="1" applyAlignment="1">
      <alignment horizontal="center"/>
    </xf>
    <xf numFmtId="10" fontId="196" fillId="33" borderId="5" xfId="1347" applyNumberFormat="1" applyFont="1" applyFill="1" applyBorder="1" applyAlignment="1">
      <alignment horizontal="center" vertical="center"/>
    </xf>
    <xf numFmtId="9" fontId="185" fillId="0" borderId="144" xfId="1" applyFont="1" applyBorder="1" applyAlignment="1">
      <alignment horizontal="center"/>
    </xf>
    <xf numFmtId="303" fontId="185" fillId="0" borderId="144" xfId="0" applyNumberFormat="1" applyFont="1" applyBorder="1" applyAlignment="1">
      <alignment horizontal="center"/>
    </xf>
    <xf numFmtId="0" fontId="171" fillId="0" borderId="142" xfId="0" applyFont="1" applyFill="1" applyBorder="1" applyAlignment="1">
      <alignment horizontal="center"/>
    </xf>
    <xf numFmtId="5" fontId="171" fillId="0" borderId="151" xfId="22" applyNumberFormat="1" applyFont="1" applyFill="1" applyBorder="1" applyAlignment="1">
      <alignment horizontal="center"/>
    </xf>
    <xf numFmtId="5" fontId="185" fillId="0" borderId="144" xfId="22" applyNumberFormat="1" applyFont="1" applyFill="1" applyBorder="1" applyAlignment="1">
      <alignment horizontal="center"/>
    </xf>
    <xf numFmtId="261" fontId="185" fillId="0" borderId="142" xfId="0" applyNumberFormat="1" applyFont="1" applyBorder="1" applyAlignment="1">
      <alignment horizontal="center" vertical="center"/>
    </xf>
    <xf numFmtId="261" fontId="185" fillId="0" borderId="142" xfId="0" applyNumberFormat="1" applyFont="1" applyBorder="1" applyAlignment="1">
      <alignment horizontal="center"/>
    </xf>
    <xf numFmtId="263" fontId="185" fillId="0" borderId="142" xfId="0" applyNumberFormat="1" applyFont="1" applyBorder="1" applyAlignment="1">
      <alignment horizontal="center"/>
    </xf>
    <xf numFmtId="304" fontId="185" fillId="0" borderId="142" xfId="0" applyNumberFormat="1" applyFont="1" applyBorder="1" applyAlignment="1">
      <alignment horizontal="center"/>
    </xf>
    <xf numFmtId="268" fontId="185" fillId="0" borderId="142" xfId="0" applyNumberFormat="1" applyFont="1" applyFill="1" applyBorder="1" applyAlignment="1">
      <alignment horizontal="center"/>
    </xf>
    <xf numFmtId="293" fontId="185" fillId="0" borderId="0" xfId="0" applyNumberFormat="1" applyFont="1" applyFill="1" applyBorder="1" applyAlignment="1">
      <alignment horizontal="center"/>
    </xf>
    <xf numFmtId="270" fontId="185" fillId="0" borderId="142" xfId="0" applyNumberFormat="1" applyFont="1" applyFill="1" applyBorder="1" applyAlignment="1">
      <alignment horizontal="center"/>
    </xf>
    <xf numFmtId="265" fontId="185" fillId="0" borderId="142" xfId="0" applyNumberFormat="1" applyFont="1" applyBorder="1" applyAlignment="1">
      <alignment horizontal="center"/>
    </xf>
    <xf numFmtId="276" fontId="185" fillId="0" borderId="146" xfId="0" applyNumberFormat="1" applyFont="1" applyBorder="1" applyAlignment="1">
      <alignment horizontal="center"/>
    </xf>
    <xf numFmtId="305" fontId="185" fillId="0" borderId="146" xfId="0" applyNumberFormat="1" applyFont="1" applyBorder="1" applyAlignment="1">
      <alignment horizontal="center"/>
    </xf>
    <xf numFmtId="5" fontId="179" fillId="0" borderId="0" xfId="22" applyNumberFormat="1" applyFont="1" applyFill="1" applyBorder="1" applyAlignment="1">
      <alignment horizontal="center"/>
    </xf>
    <xf numFmtId="0" fontId="171" fillId="0" borderId="0" xfId="0" applyFont="1" applyFill="1" applyBorder="1" applyAlignment="1"/>
    <xf numFmtId="167" fontId="23" fillId="3" borderId="2" xfId="1" applyNumberFormat="1" applyFont="1" applyFill="1" applyBorder="1" applyAlignment="1">
      <alignment horizontal="center"/>
    </xf>
    <xf numFmtId="0" fontId="172" fillId="32" borderId="0" xfId="0" applyFont="1" applyFill="1" applyBorder="1" applyAlignment="1"/>
    <xf numFmtId="0" fontId="188" fillId="7" borderId="0" xfId="2" applyFont="1" applyFill="1" applyBorder="1" applyAlignment="1">
      <alignment vertical="center"/>
    </xf>
    <xf numFmtId="0" fontId="172" fillId="32" borderId="130" xfId="0" applyFont="1" applyFill="1" applyBorder="1" applyAlignment="1">
      <alignment horizontal="center"/>
    </xf>
    <xf numFmtId="0" fontId="172" fillId="32" borderId="131" xfId="0" applyFont="1" applyFill="1" applyBorder="1" applyAlignment="1">
      <alignment horizontal="center"/>
    </xf>
    <xf numFmtId="0" fontId="172" fillId="7" borderId="100" xfId="0" applyFont="1" applyFill="1" applyBorder="1"/>
    <xf numFmtId="182" fontId="15" fillId="0" borderId="150" xfId="0" applyNumberFormat="1" applyFont="1" applyBorder="1"/>
    <xf numFmtId="5" fontId="23" fillId="3" borderId="144" xfId="22" applyNumberFormat="1" applyFont="1" applyFill="1" applyBorder="1" applyAlignment="1">
      <alignment horizontal="center"/>
    </xf>
    <xf numFmtId="0" fontId="172" fillId="5" borderId="132" xfId="0" applyFont="1" applyFill="1" applyBorder="1" applyAlignment="1">
      <alignment horizontal="right"/>
    </xf>
    <xf numFmtId="0" fontId="172" fillId="5" borderId="128" xfId="0" applyFont="1" applyFill="1" applyBorder="1" applyAlignment="1">
      <alignment horizontal="right"/>
    </xf>
    <xf numFmtId="175" fontId="172" fillId="5" borderId="133" xfId="0" applyNumberFormat="1" applyFont="1" applyFill="1" applyBorder="1"/>
    <xf numFmtId="0" fontId="174" fillId="0" borderId="61" xfId="0" applyFont="1" applyBorder="1" applyAlignment="1">
      <alignment horizontal="right"/>
    </xf>
    <xf numFmtId="6" fontId="174" fillId="0" borderId="144" xfId="0" applyNumberFormat="1" applyFont="1" applyBorder="1" applyAlignment="1">
      <alignment horizontal="center" vertical="center"/>
    </xf>
    <xf numFmtId="6" fontId="174" fillId="0" borderId="119" xfId="0" applyNumberFormat="1" applyFont="1" applyBorder="1" applyAlignment="1">
      <alignment horizontal="center" vertical="center"/>
    </xf>
    <xf numFmtId="0" fontId="23" fillId="0" borderId="87" xfId="0" applyFont="1" applyBorder="1" applyAlignment="1">
      <alignment horizontal="right"/>
    </xf>
    <xf numFmtId="5" fontId="23" fillId="0" borderId="58" xfId="0" applyNumberFormat="1" applyFont="1" applyBorder="1" applyAlignment="1">
      <alignment horizontal="center" vertical="center"/>
    </xf>
    <xf numFmtId="5" fontId="23" fillId="0" borderId="88" xfId="0" applyNumberFormat="1" applyFont="1" applyBorder="1" applyAlignment="1">
      <alignment horizontal="center" vertical="center"/>
    </xf>
    <xf numFmtId="5" fontId="179" fillId="0" borderId="142" xfId="0" applyNumberFormat="1" applyFont="1" applyBorder="1"/>
    <xf numFmtId="0" fontId="179" fillId="0" borderId="142" xfId="0" applyFont="1" applyBorder="1"/>
    <xf numFmtId="6" fontId="171" fillId="0" borderId="53" xfId="0" applyNumberFormat="1" applyFont="1" applyBorder="1"/>
    <xf numFmtId="6" fontId="171" fillId="0" borderId="152" xfId="0" applyNumberFormat="1" applyFont="1" applyBorder="1"/>
    <xf numFmtId="0" fontId="171" fillId="0" borderId="98" xfId="0" applyFont="1" applyBorder="1"/>
    <xf numFmtId="0" fontId="171" fillId="0" borderId="120" xfId="0" applyFont="1" applyBorder="1"/>
    <xf numFmtId="5" fontId="15" fillId="0" borderId="107" xfId="22" applyNumberFormat="1" applyFont="1" applyBorder="1" applyAlignment="1">
      <alignment horizontal="center"/>
    </xf>
    <xf numFmtId="0" fontId="172" fillId="5" borderId="74" xfId="0" applyFont="1" applyFill="1" applyBorder="1" applyAlignment="1">
      <alignment horizontal="right"/>
    </xf>
    <xf numFmtId="0" fontId="172" fillId="5" borderId="75" xfId="0" applyFont="1" applyFill="1" applyBorder="1" applyAlignment="1">
      <alignment horizontal="right"/>
    </xf>
    <xf numFmtId="0" fontId="183" fillId="0" borderId="14" xfId="0" applyFont="1" applyBorder="1" applyAlignment="1">
      <alignment horizontal="center" vertical="center"/>
    </xf>
    <xf numFmtId="3" fontId="183" fillId="0" borderId="0" xfId="0" applyNumberFormat="1" applyFont="1" applyBorder="1" applyAlignment="1">
      <alignment horizontal="center" vertical="center"/>
    </xf>
    <xf numFmtId="286" fontId="183" fillId="0" borderId="0" xfId="0" applyNumberFormat="1" applyFont="1" applyBorder="1" applyAlignment="1">
      <alignment horizontal="center" vertical="center"/>
    </xf>
    <xf numFmtId="168" fontId="186" fillId="0" borderId="0" xfId="0" applyNumberFormat="1" applyFont="1" applyFill="1" applyBorder="1" applyAlignment="1">
      <alignment horizontal="center" vertical="center"/>
    </xf>
    <xf numFmtId="168" fontId="186" fillId="0" borderId="142" xfId="1360" applyNumberFormat="1" applyFont="1" applyBorder="1" applyAlignment="1">
      <alignment horizontal="center" vertical="center"/>
    </xf>
    <xf numFmtId="168" fontId="186" fillId="0" borderId="142" xfId="1360" applyNumberFormat="1" applyFont="1" applyBorder="1" applyAlignment="1">
      <alignment horizontal="center" vertical="center" wrapText="1"/>
    </xf>
    <xf numFmtId="168" fontId="186" fillId="0" borderId="144" xfId="1360" applyNumberFormat="1" applyFont="1" applyBorder="1" applyAlignment="1">
      <alignment horizontal="center" vertical="center"/>
    </xf>
    <xf numFmtId="0" fontId="180" fillId="0" borderId="0" xfId="0" applyFont="1" applyFill="1" applyBorder="1" applyAlignment="1">
      <alignment horizontal="center"/>
    </xf>
    <xf numFmtId="0" fontId="171" fillId="33" borderId="131" xfId="1347" applyFont="1" applyFill="1" applyBorder="1" applyAlignment="1">
      <alignment vertical="center"/>
    </xf>
    <xf numFmtId="5" fontId="177" fillId="0" borderId="64" xfId="0" applyNumberFormat="1" applyFont="1" applyBorder="1"/>
    <xf numFmtId="38" fontId="173" fillId="0" borderId="142" xfId="0" applyNumberFormat="1" applyFont="1" applyBorder="1"/>
    <xf numFmtId="5" fontId="177" fillId="0" borderId="142" xfId="0" applyNumberFormat="1" applyFont="1" applyBorder="1"/>
    <xf numFmtId="5" fontId="173" fillId="0" borderId="142" xfId="0" applyNumberFormat="1" applyFont="1" applyBorder="1"/>
    <xf numFmtId="0" fontId="171" fillId="0" borderId="142" xfId="0" applyFont="1" applyFill="1" applyBorder="1"/>
    <xf numFmtId="5" fontId="177" fillId="0" borderId="149" xfId="0" applyNumberFormat="1" applyFont="1" applyBorder="1"/>
    <xf numFmtId="0" fontId="177" fillId="0" borderId="142" xfId="0" applyFont="1" applyBorder="1"/>
    <xf numFmtId="5" fontId="177" fillId="0" borderId="143" xfId="0" applyNumberFormat="1" applyFont="1" applyBorder="1"/>
    <xf numFmtId="5" fontId="15" fillId="0" borderId="107" xfId="22" applyNumberFormat="1" applyFont="1" applyBorder="1" applyAlignment="1">
      <alignment horizontal="center"/>
    </xf>
    <xf numFmtId="9" fontId="186" fillId="0" borderId="142" xfId="1" applyFont="1" applyBorder="1" applyAlignment="1">
      <alignment horizontal="center" vertical="center"/>
    </xf>
    <xf numFmtId="3" fontId="186" fillId="0" borderId="150" xfId="0" applyNumberFormat="1" applyFont="1" applyBorder="1" applyAlignment="1">
      <alignment horizontal="center" vertical="center"/>
    </xf>
    <xf numFmtId="3" fontId="186" fillId="0" borderId="142" xfId="0" applyNumberFormat="1" applyFont="1" applyBorder="1" applyAlignment="1">
      <alignment horizontal="center" vertical="center"/>
    </xf>
    <xf numFmtId="0" fontId="186" fillId="0" borderId="0" xfId="0" applyFont="1" applyFill="1" applyBorder="1" applyAlignment="1">
      <alignment horizontal="center" vertical="center"/>
    </xf>
    <xf numFmtId="0" fontId="23" fillId="33" borderId="74" xfId="1347" applyFont="1" applyFill="1" applyBorder="1" applyAlignment="1">
      <alignment horizontal="center" vertical="center"/>
    </xf>
    <xf numFmtId="0" fontId="23" fillId="33" borderId="75" xfId="1347" applyFont="1" applyFill="1" applyBorder="1" applyAlignment="1">
      <alignment horizontal="center" vertical="center"/>
    </xf>
    <xf numFmtId="0" fontId="23" fillId="33" borderId="76" xfId="1347" applyFont="1" applyFill="1" applyBorder="1" applyAlignment="1">
      <alignment horizontal="center" vertical="center"/>
    </xf>
    <xf numFmtId="0" fontId="174" fillId="33" borderId="90" xfId="1347" applyFont="1" applyFill="1" applyBorder="1" applyAlignment="1">
      <alignment horizontal="center"/>
    </xf>
    <xf numFmtId="0" fontId="174" fillId="33" borderId="92" xfId="1347" applyFont="1" applyFill="1" applyBorder="1" applyAlignment="1">
      <alignment horizontal="center"/>
    </xf>
    <xf numFmtId="0" fontId="23" fillId="33" borderId="132" xfId="1347" applyFont="1" applyFill="1" applyBorder="1" applyAlignment="1">
      <alignment horizontal="center" vertical="center"/>
    </xf>
    <xf numFmtId="0" fontId="23" fillId="33" borderId="128" xfId="1347" applyFont="1" applyFill="1" applyBorder="1" applyAlignment="1">
      <alignment horizontal="center" vertical="center"/>
    </xf>
    <xf numFmtId="0" fontId="23" fillId="33" borderId="133" xfId="1347" applyFont="1" applyFill="1" applyBorder="1" applyAlignment="1">
      <alignment horizontal="center" vertical="center"/>
    </xf>
    <xf numFmtId="0" fontId="174" fillId="33" borderId="128" xfId="1347" applyFont="1" applyFill="1" applyBorder="1" applyAlignment="1">
      <alignment horizontal="center" vertical="center"/>
    </xf>
    <xf numFmtId="0" fontId="174" fillId="33" borderId="76" xfId="1347" applyFont="1" applyFill="1" applyBorder="1" applyAlignment="1">
      <alignment horizontal="center" vertical="center"/>
    </xf>
    <xf numFmtId="5" fontId="15" fillId="0" borderId="107" xfId="22" applyNumberFormat="1" applyFont="1" applyBorder="1" applyAlignment="1">
      <alignment horizontal="center"/>
    </xf>
    <xf numFmtId="260" fontId="23" fillId="4" borderId="113" xfId="0" applyNumberFormat="1" applyFont="1" applyFill="1" applyBorder="1" applyAlignment="1">
      <alignment horizontal="center"/>
    </xf>
    <xf numFmtId="260" fontId="23" fillId="4" borderId="107" xfId="0" applyNumberFormat="1" applyFont="1" applyFill="1" applyBorder="1" applyAlignment="1">
      <alignment horizontal="center"/>
    </xf>
    <xf numFmtId="260" fontId="23" fillId="4" borderId="109" xfId="0" applyNumberFormat="1" applyFont="1" applyFill="1" applyBorder="1" applyAlignment="1">
      <alignment horizontal="center"/>
    </xf>
    <xf numFmtId="175" fontId="189" fillId="36" borderId="128" xfId="0" applyNumberFormat="1" applyFont="1" applyFill="1" applyBorder="1" applyAlignment="1">
      <alignment horizontal="center"/>
    </xf>
    <xf numFmtId="175" fontId="189" fillId="36" borderId="133" xfId="0" applyNumberFormat="1" applyFont="1" applyFill="1" applyBorder="1" applyAlignment="1">
      <alignment horizontal="center"/>
    </xf>
    <xf numFmtId="3" fontId="194" fillId="0" borderId="131" xfId="0" applyNumberFormat="1" applyFont="1" applyBorder="1" applyAlignment="1">
      <alignment horizontal="center" vertical="center"/>
    </xf>
    <xf numFmtId="3" fontId="194" fillId="0" borderId="5" xfId="0" applyNumberFormat="1" applyFont="1" applyBorder="1" applyAlignment="1">
      <alignment horizontal="center" vertical="center"/>
    </xf>
    <xf numFmtId="3" fontId="194" fillId="0" borderId="73" xfId="0" applyNumberFormat="1" applyFont="1" applyBorder="1" applyAlignment="1">
      <alignment horizontal="center" vertical="center"/>
    </xf>
    <xf numFmtId="0" fontId="174" fillId="0" borderId="63" xfId="0" applyFont="1" applyBorder="1" applyAlignment="1">
      <alignment horizontal="left"/>
    </xf>
    <xf numFmtId="0" fontId="174" fillId="4" borderId="106" xfId="0" applyFont="1" applyFill="1" applyBorder="1" applyAlignment="1">
      <alignment horizontal="center"/>
    </xf>
    <xf numFmtId="0" fontId="174" fillId="4" borderId="108" xfId="0" applyFont="1" applyFill="1" applyBorder="1" applyAlignment="1">
      <alignment horizontal="center"/>
    </xf>
    <xf numFmtId="0" fontId="174" fillId="4" borderId="103" xfId="0" applyFont="1" applyFill="1" applyBorder="1" applyAlignment="1">
      <alignment horizontal="center"/>
    </xf>
    <xf numFmtId="0" fontId="174" fillId="4" borderId="8" xfId="0" applyFont="1" applyFill="1" applyBorder="1" applyAlignment="1">
      <alignment horizontal="center"/>
    </xf>
    <xf numFmtId="0" fontId="186" fillId="38" borderId="146" xfId="0" applyFont="1" applyFill="1" applyBorder="1" applyAlignment="1">
      <alignment horizontal="center" vertical="center"/>
    </xf>
    <xf numFmtId="0" fontId="186" fillId="8" borderId="142" xfId="0" applyFont="1" applyFill="1" applyBorder="1" applyAlignment="1">
      <alignment horizontal="center" vertical="center"/>
    </xf>
    <xf numFmtId="0" fontId="186" fillId="8" borderId="146" xfId="0" applyFont="1" applyFill="1" applyBorder="1" applyAlignment="1">
      <alignment horizontal="center" vertical="center"/>
    </xf>
    <xf numFmtId="0" fontId="186" fillId="38" borderId="62" xfId="0" applyFont="1" applyFill="1" applyBorder="1" applyAlignment="1">
      <alignment horizontal="center" vertical="center"/>
    </xf>
    <xf numFmtId="0" fontId="186" fillId="38" borderId="7" xfId="0" applyFont="1" applyFill="1" applyBorder="1" applyAlignment="1">
      <alignment horizontal="center" vertical="center"/>
    </xf>
    <xf numFmtId="0" fontId="186" fillId="8" borderId="143" xfId="0" applyFont="1" applyFill="1" applyBorder="1" applyAlignment="1">
      <alignment horizontal="center" vertical="center"/>
    </xf>
    <xf numFmtId="0" fontId="186" fillId="8" borderId="141" xfId="0" applyFont="1" applyFill="1" applyBorder="1" applyAlignment="1">
      <alignment horizontal="center" vertical="center"/>
    </xf>
    <xf numFmtId="0" fontId="186" fillId="8" borderId="149" xfId="0" applyFont="1" applyFill="1" applyBorder="1" applyAlignment="1">
      <alignment horizontal="center" vertical="center"/>
    </xf>
    <xf numFmtId="0" fontId="186" fillId="37" borderId="147" xfId="0" applyFont="1" applyFill="1" applyBorder="1" applyAlignment="1">
      <alignment horizontal="center" vertical="center"/>
    </xf>
    <xf numFmtId="0" fontId="186" fillId="37" borderId="8" xfId="0" applyFont="1" applyFill="1" applyBorder="1" applyAlignment="1">
      <alignment horizontal="center" vertical="center"/>
    </xf>
    <xf numFmtId="0" fontId="186" fillId="37" borderId="145" xfId="0" applyFont="1" applyFill="1" applyBorder="1" applyAlignment="1">
      <alignment horizontal="center" vertical="center"/>
    </xf>
    <xf numFmtId="0" fontId="186" fillId="37" borderId="142" xfId="0" applyFont="1" applyFill="1" applyBorder="1" applyAlignment="1">
      <alignment horizontal="center" vertical="center"/>
    </xf>
    <xf numFmtId="3" fontId="186" fillId="0" borderId="150" xfId="0" applyNumberFormat="1" applyFont="1" applyBorder="1" applyAlignment="1">
      <alignment horizontal="center" vertical="center"/>
    </xf>
    <xf numFmtId="3" fontId="186" fillId="0" borderId="142" xfId="0" applyNumberFormat="1" applyFont="1" applyBorder="1" applyAlignment="1">
      <alignment horizontal="center" vertical="center"/>
    </xf>
    <xf numFmtId="0" fontId="188" fillId="39" borderId="130" xfId="0" applyFont="1" applyFill="1" applyBorder="1" applyAlignment="1">
      <alignment horizontal="left"/>
    </xf>
    <xf numFmtId="0" fontId="188" fillId="39" borderId="126" xfId="0" applyFont="1" applyFill="1" applyBorder="1" applyAlignment="1">
      <alignment horizontal="left"/>
    </xf>
    <xf numFmtId="0" fontId="188" fillId="39" borderId="131" xfId="0" applyFont="1" applyFill="1" applyBorder="1" applyAlignment="1">
      <alignment horizontal="left"/>
    </xf>
    <xf numFmtId="0" fontId="186" fillId="0" borderId="64" xfId="0" applyFont="1" applyBorder="1" applyAlignment="1">
      <alignment horizontal="left" vertical="center" wrapText="1"/>
    </xf>
    <xf numFmtId="0" fontId="186" fillId="0" borderId="142" xfId="0" applyFont="1" applyBorder="1" applyAlignment="1">
      <alignment horizontal="left" vertical="center" wrapText="1"/>
    </xf>
    <xf numFmtId="0" fontId="182" fillId="0" borderId="124" xfId="0" applyFont="1" applyBorder="1" applyAlignment="1">
      <alignment horizontal="center" vertical="center"/>
    </xf>
    <xf numFmtId="0" fontId="182" fillId="0" borderId="137" xfId="0" applyFont="1" applyBorder="1" applyAlignment="1">
      <alignment horizontal="center" vertical="center"/>
    </xf>
    <xf numFmtId="0" fontId="191" fillId="4" borderId="83" xfId="0" applyFont="1" applyFill="1" applyBorder="1" applyAlignment="1">
      <alignment horizontal="center" vertical="center"/>
    </xf>
    <xf numFmtId="0" fontId="191" fillId="4" borderId="84" xfId="0" applyFont="1" applyFill="1" applyBorder="1" applyAlignment="1">
      <alignment horizontal="center" vertical="center"/>
    </xf>
    <xf numFmtId="3" fontId="186" fillId="0" borderId="146" xfId="0" applyNumberFormat="1" applyFont="1" applyBorder="1" applyAlignment="1">
      <alignment horizontal="center" vertical="center"/>
    </xf>
    <xf numFmtId="3" fontId="186" fillId="0" borderId="64" xfId="0" applyNumberFormat="1" applyFont="1" applyBorder="1" applyAlignment="1">
      <alignment horizontal="center" vertical="center"/>
    </xf>
    <xf numFmtId="3" fontId="186" fillId="0" borderId="148" xfId="0" applyNumberFormat="1" applyFont="1" applyBorder="1" applyAlignment="1">
      <alignment horizontal="center" vertical="center"/>
    </xf>
    <xf numFmtId="3" fontId="186" fillId="0" borderId="61" xfId="0" applyNumberFormat="1" applyFont="1" applyBorder="1" applyAlignment="1">
      <alignment horizontal="center" vertical="center"/>
    </xf>
    <xf numFmtId="0" fontId="186" fillId="0" borderId="89" xfId="0" applyFont="1" applyFill="1" applyBorder="1" applyAlignment="1">
      <alignment horizontal="center" vertical="center"/>
    </xf>
    <xf numFmtId="0" fontId="186" fillId="38" borderId="147" xfId="0" applyFont="1" applyFill="1" applyBorder="1" applyAlignment="1">
      <alignment horizontal="center" vertical="center"/>
    </xf>
    <xf numFmtId="0" fontId="186" fillId="38" borderId="145" xfId="0" applyFont="1" applyFill="1" applyBorder="1" applyAlignment="1">
      <alignment horizontal="center" vertical="center"/>
    </xf>
    <xf numFmtId="0" fontId="186" fillId="8" borderId="62" xfId="0" applyFont="1" applyFill="1" applyBorder="1" applyAlignment="1">
      <alignment horizontal="center" vertical="center"/>
    </xf>
    <xf numFmtId="0" fontId="186" fillId="8" borderId="0" xfId="0" applyFont="1" applyFill="1" applyBorder="1" applyAlignment="1">
      <alignment horizontal="center" vertical="center"/>
    </xf>
    <xf numFmtId="0" fontId="186" fillId="8" borderId="153" xfId="0" applyFont="1" applyFill="1" applyBorder="1" applyAlignment="1">
      <alignment horizontal="center" vertical="center"/>
    </xf>
    <xf numFmtId="0" fontId="186" fillId="38" borderId="142" xfId="0" applyFont="1" applyFill="1" applyBorder="1" applyAlignment="1">
      <alignment horizontal="center" vertical="center"/>
    </xf>
    <xf numFmtId="0" fontId="186" fillId="8" borderId="104" xfId="0" applyFont="1" applyFill="1" applyBorder="1" applyAlignment="1">
      <alignment horizontal="center" vertical="center"/>
    </xf>
    <xf numFmtId="0" fontId="186" fillId="8" borderId="152" xfId="0" applyFont="1" applyFill="1" applyBorder="1" applyAlignment="1">
      <alignment horizontal="center" vertical="center"/>
    </xf>
    <xf numFmtId="0" fontId="186" fillId="38" borderId="114" xfId="0" applyFont="1" applyFill="1" applyBorder="1" applyAlignment="1">
      <alignment horizontal="center" vertical="center"/>
    </xf>
    <xf numFmtId="0" fontId="186" fillId="38" borderId="58" xfId="0" applyFont="1" applyFill="1" applyBorder="1" applyAlignment="1">
      <alignment horizontal="center" vertical="center"/>
    </xf>
    <xf numFmtId="0" fontId="186" fillId="37" borderId="114" xfId="0" applyFont="1" applyFill="1" applyBorder="1" applyAlignment="1">
      <alignment horizontal="center" vertical="center"/>
    </xf>
    <xf numFmtId="0" fontId="186" fillId="37" borderId="58" xfId="0" applyFont="1" applyFill="1" applyBorder="1" applyAlignment="1">
      <alignment horizontal="center" vertical="center"/>
    </xf>
    <xf numFmtId="0" fontId="169" fillId="0" borderId="143" xfId="0" applyFont="1" applyBorder="1" applyAlignment="1">
      <alignment horizontal="center" vertical="center"/>
    </xf>
    <xf numFmtId="0" fontId="186" fillId="0" borderId="0" xfId="0" applyFont="1" applyFill="1" applyBorder="1" applyAlignment="1">
      <alignment horizontal="center" vertical="center"/>
    </xf>
    <xf numFmtId="9" fontId="186" fillId="0" borderId="142" xfId="1" applyFont="1" applyBorder="1" applyAlignment="1">
      <alignment horizontal="center" vertical="center"/>
    </xf>
    <xf numFmtId="9" fontId="186" fillId="0" borderId="146" xfId="1" applyFont="1" applyBorder="1" applyAlignment="1">
      <alignment horizontal="center" vertical="center"/>
    </xf>
    <xf numFmtId="9" fontId="186" fillId="0" borderId="64" xfId="1" applyFont="1" applyBorder="1" applyAlignment="1">
      <alignment horizontal="center" vertical="center"/>
    </xf>
    <xf numFmtId="3" fontId="186" fillId="0" borderId="86" xfId="0" applyNumberFormat="1" applyFont="1" applyBorder="1" applyAlignment="1">
      <alignment horizontal="center" vertical="center"/>
    </xf>
    <xf numFmtId="3" fontId="186" fillId="0" borderId="78" xfId="0" applyNumberFormat="1" applyFont="1" applyBorder="1" applyAlignment="1">
      <alignment horizontal="center" vertical="center"/>
    </xf>
    <xf numFmtId="9" fontId="186" fillId="0" borderId="78" xfId="1" applyFont="1" applyBorder="1" applyAlignment="1">
      <alignment horizontal="center" vertical="center"/>
    </xf>
    <xf numFmtId="0" fontId="169" fillId="0" borderId="147" xfId="0" applyFont="1" applyBorder="1" applyAlignment="1">
      <alignment horizontal="center" vertical="center"/>
    </xf>
    <xf numFmtId="0" fontId="169" fillId="0" borderId="56" xfId="0" applyFont="1" applyBorder="1" applyAlignment="1">
      <alignment horizontal="center" vertical="center"/>
    </xf>
    <xf numFmtId="0" fontId="169" fillId="0" borderId="62" xfId="0" applyFont="1" applyBorder="1" applyAlignment="1">
      <alignment horizontal="center" vertical="center"/>
    </xf>
    <xf numFmtId="0" fontId="174" fillId="0" borderId="0" xfId="0" applyFont="1" applyAlignment="1">
      <alignment horizontal="center" vertical="center"/>
    </xf>
    <xf numFmtId="0" fontId="174" fillId="0" borderId="89" xfId="0" applyFont="1" applyBorder="1" applyAlignment="1">
      <alignment horizontal="center" vertical="center"/>
    </xf>
    <xf numFmtId="0" fontId="23" fillId="33" borderId="132" xfId="1347" applyFont="1" applyFill="1" applyBorder="1" applyAlignment="1">
      <alignment horizontal="center" vertical="center"/>
    </xf>
    <xf numFmtId="0" fontId="23" fillId="33" borderId="128" xfId="1347" applyFont="1" applyFill="1" applyBorder="1" applyAlignment="1">
      <alignment horizontal="center" vertical="center"/>
    </xf>
    <xf numFmtId="0" fontId="23" fillId="33" borderId="133" xfId="1347" applyFont="1" applyFill="1" applyBorder="1" applyAlignment="1">
      <alignment horizontal="center" vertical="center"/>
    </xf>
    <xf numFmtId="0" fontId="172" fillId="7" borderId="97" xfId="0" applyFont="1" applyFill="1" applyBorder="1" applyAlignment="1">
      <alignment horizontal="center" vertical="center" wrapText="1"/>
    </xf>
    <xf numFmtId="0" fontId="172" fillId="7" borderId="139" xfId="0" applyFont="1" applyFill="1" applyBorder="1" applyAlignment="1">
      <alignment horizontal="center" vertical="center" wrapText="1"/>
    </xf>
    <xf numFmtId="0" fontId="172" fillId="7" borderId="148" xfId="0" applyFont="1" applyFill="1" applyBorder="1"/>
    <xf numFmtId="0" fontId="172" fillId="7" borderId="151" xfId="0" applyFont="1" applyFill="1" applyBorder="1" applyAlignment="1">
      <alignment horizontal="center" wrapText="1"/>
    </xf>
    <xf numFmtId="0" fontId="174" fillId="33" borderId="155" xfId="1347" applyFont="1" applyFill="1" applyBorder="1" applyAlignment="1"/>
    <xf numFmtId="37" fontId="23" fillId="33" borderId="144" xfId="1347" applyNumberFormat="1" applyFont="1" applyFill="1" applyBorder="1" applyAlignment="1">
      <alignment horizontal="center" vertical="center"/>
    </xf>
    <xf numFmtId="0" fontId="179" fillId="33" borderId="144" xfId="1347" applyFont="1" applyFill="1" applyBorder="1" applyAlignment="1">
      <alignment horizontal="center" vertical="center"/>
    </xf>
    <xf numFmtId="0" fontId="171" fillId="4" borderId="144" xfId="1347" applyFont="1" applyFill="1" applyBorder="1"/>
    <xf numFmtId="0" fontId="179" fillId="33" borderId="144" xfId="1347" applyFont="1" applyFill="1" applyBorder="1" applyAlignment="1">
      <alignment horizontal="center"/>
    </xf>
    <xf numFmtId="0" fontId="23" fillId="33" borderId="131" xfId="1347" applyFont="1" applyFill="1" applyBorder="1" applyAlignment="1">
      <alignment horizontal="center" vertical="center"/>
    </xf>
    <xf numFmtId="273" fontId="179" fillId="3" borderId="123" xfId="0" applyNumberFormat="1" applyFont="1" applyFill="1" applyBorder="1" applyAlignment="1">
      <alignment horizontal="left"/>
    </xf>
    <xf numFmtId="6" fontId="23" fillId="3" borderId="151" xfId="1" applyNumberFormat="1" applyFont="1" applyFill="1" applyBorder="1" applyAlignment="1">
      <alignment horizontal="center"/>
    </xf>
    <xf numFmtId="0" fontId="172" fillId="5" borderId="89" xfId="0" applyFont="1" applyFill="1" applyBorder="1" applyAlignment="1">
      <alignment horizontal="right"/>
    </xf>
    <xf numFmtId="6" fontId="23" fillId="3" borderId="0" xfId="1" applyNumberFormat="1" applyFont="1" applyFill="1" applyBorder="1" applyAlignment="1">
      <alignment horizontal="center"/>
    </xf>
    <xf numFmtId="38" fontId="173" fillId="0" borderId="143" xfId="0" applyNumberFormat="1" applyFont="1" applyBorder="1"/>
    <xf numFmtId="5" fontId="15" fillId="0" borderId="146" xfId="0" applyNumberFormat="1" applyFont="1" applyBorder="1"/>
    <xf numFmtId="0" fontId="174" fillId="0" borderId="0" xfId="0" applyFont="1"/>
    <xf numFmtId="5" fontId="171" fillId="0" borderId="107" xfId="0" quotePrefix="1" applyNumberFormat="1" applyFont="1" applyBorder="1"/>
    <xf numFmtId="5" fontId="169" fillId="0" borderId="0" xfId="0" applyNumberFormat="1" applyFont="1"/>
    <xf numFmtId="5" fontId="169" fillId="0" borderId="0" xfId="0" quotePrefix="1" applyNumberFormat="1" applyFont="1"/>
    <xf numFmtId="283" fontId="182" fillId="4" borderId="58" xfId="0" applyNumberFormat="1" applyFont="1" applyFill="1" applyBorder="1" applyAlignment="1">
      <alignment horizontal="center" vertical="center"/>
    </xf>
    <xf numFmtId="179" fontId="186" fillId="0" borderId="142" xfId="0" applyNumberFormat="1" applyFont="1" applyBorder="1" applyAlignment="1">
      <alignment horizontal="center" vertical="center"/>
    </xf>
    <xf numFmtId="179" fontId="186" fillId="0" borderId="146" xfId="0" applyNumberFormat="1" applyFont="1" applyBorder="1" applyAlignment="1">
      <alignment horizontal="center" vertical="center"/>
    </xf>
    <xf numFmtId="179" fontId="186" fillId="0" borderId="78" xfId="0" applyNumberFormat="1" applyFont="1" applyBorder="1" applyAlignment="1">
      <alignment horizontal="center" vertical="center"/>
    </xf>
    <xf numFmtId="179" fontId="186" fillId="0" borderId="64" xfId="0" applyNumberFormat="1" applyFont="1" applyBorder="1" applyAlignment="1">
      <alignment horizontal="center" vertical="center"/>
    </xf>
    <xf numFmtId="8" fontId="171" fillId="0" borderId="0" xfId="0" applyNumberFormat="1" applyFont="1"/>
    <xf numFmtId="288" fontId="186" fillId="0" borderId="0" xfId="0" applyNumberFormat="1" applyFont="1" applyFill="1" applyBorder="1" applyAlignment="1">
      <alignment horizontal="center" vertical="center" wrapText="1"/>
    </xf>
    <xf numFmtId="288" fontId="186" fillId="0" borderId="0" xfId="0" applyNumberFormat="1" applyFont="1" applyFill="1" applyBorder="1" applyAlignment="1">
      <alignment horizontal="center" vertical="center" wrapText="1"/>
    </xf>
    <xf numFmtId="166" fontId="186" fillId="0" borderId="0" xfId="0" applyNumberFormat="1" applyFont="1" applyFill="1" applyBorder="1" applyAlignment="1">
      <alignment horizontal="center" vertical="center"/>
    </xf>
    <xf numFmtId="166" fontId="186" fillId="0" borderId="0" xfId="0" applyNumberFormat="1" applyFont="1" applyFill="1" applyBorder="1" applyAlignment="1">
      <alignment vertical="center"/>
    </xf>
    <xf numFmtId="6" fontId="186" fillId="0" borderId="0" xfId="0" applyNumberFormat="1" applyFont="1" applyFill="1" applyBorder="1" applyAlignment="1">
      <alignment horizontal="center" vertical="center"/>
    </xf>
    <xf numFmtId="166" fontId="186" fillId="0" borderId="0" xfId="0" applyNumberFormat="1" applyFont="1" applyFill="1" applyBorder="1" applyAlignment="1">
      <alignment horizontal="center" vertical="center"/>
    </xf>
    <xf numFmtId="6" fontId="186" fillId="0" borderId="0" xfId="0" applyNumberFormat="1" applyFont="1" applyFill="1" applyBorder="1" applyAlignment="1">
      <alignment horizontal="center" vertical="center"/>
    </xf>
    <xf numFmtId="285" fontId="186" fillId="0" borderId="0" xfId="0" applyNumberFormat="1" applyFont="1" applyFill="1" applyBorder="1" applyAlignment="1">
      <alignment horizontal="center" vertical="center"/>
    </xf>
    <xf numFmtId="279" fontId="186" fillId="0" borderId="0" xfId="0" applyNumberFormat="1" applyFont="1" applyFill="1" applyBorder="1" applyAlignment="1">
      <alignment horizontal="center" vertical="center"/>
    </xf>
    <xf numFmtId="300" fontId="186" fillId="0" borderId="0" xfId="0" applyNumberFormat="1" applyFont="1" applyFill="1" applyBorder="1" applyAlignment="1">
      <alignment horizontal="center" vertical="center"/>
    </xf>
    <xf numFmtId="0" fontId="182" fillId="0" borderId="0" xfId="0" applyFont="1" applyFill="1" applyBorder="1" applyAlignment="1">
      <alignment horizontal="center" vertical="center"/>
    </xf>
    <xf numFmtId="5" fontId="186" fillId="0" borderId="0" xfId="0" applyNumberFormat="1" applyFont="1" applyFill="1" applyBorder="1" applyAlignment="1"/>
    <xf numFmtId="5" fontId="186" fillId="0" borderId="0" xfId="18" applyNumberFormat="1" applyFont="1" applyFill="1" applyBorder="1" applyAlignment="1">
      <alignment horizontal="center" vertical="center"/>
    </xf>
    <xf numFmtId="9" fontId="186" fillId="0" borderId="0" xfId="0" applyNumberFormat="1" applyFont="1" applyFill="1" applyBorder="1" applyAlignment="1">
      <alignment horizontal="center" vertical="center"/>
    </xf>
    <xf numFmtId="0" fontId="186" fillId="0" borderId="0" xfId="0" applyFont="1" applyFill="1" applyBorder="1" applyAlignment="1"/>
    <xf numFmtId="44" fontId="186" fillId="0" borderId="0" xfId="18" applyFont="1" applyFill="1" applyBorder="1" applyAlignment="1">
      <alignment horizontal="center" vertical="center"/>
    </xf>
    <xf numFmtId="179" fontId="186" fillId="0" borderId="0" xfId="0" applyNumberFormat="1" applyFont="1" applyFill="1" applyBorder="1" applyAlignment="1">
      <alignment horizontal="center" vertical="center"/>
    </xf>
    <xf numFmtId="283" fontId="182" fillId="0" borderId="0" xfId="0" applyNumberFormat="1" applyFont="1" applyFill="1" applyBorder="1" applyAlignment="1">
      <alignment horizontal="center" vertical="center"/>
    </xf>
    <xf numFmtId="166" fontId="182" fillId="0" borderId="0" xfId="0" applyNumberFormat="1" applyFont="1" applyFill="1" applyBorder="1" applyAlignment="1">
      <alignment horizontal="center" vertical="center"/>
    </xf>
    <xf numFmtId="6" fontId="190" fillId="0" borderId="0" xfId="0" applyNumberFormat="1" applyFont="1" applyFill="1" applyBorder="1" applyAlignment="1">
      <alignment horizontal="center" vertical="center"/>
    </xf>
    <xf numFmtId="10" fontId="182" fillId="0" borderId="0" xfId="0" applyNumberFormat="1" applyFont="1" applyFill="1" applyBorder="1" applyAlignment="1">
      <alignment horizontal="center" vertical="center"/>
    </xf>
    <xf numFmtId="0" fontId="182" fillId="0" borderId="125" xfId="0" applyFont="1" applyBorder="1" applyAlignment="1">
      <alignment horizontal="center" vertical="center"/>
    </xf>
    <xf numFmtId="179" fontId="186" fillId="0" borderId="144" xfId="0" applyNumberFormat="1" applyFont="1" applyBorder="1" applyAlignment="1">
      <alignment horizontal="center" vertical="center"/>
    </xf>
    <xf numFmtId="179" fontId="186" fillId="0" borderId="151" xfId="0" applyNumberFormat="1" applyFont="1" applyBorder="1" applyAlignment="1">
      <alignment horizontal="center" vertical="center"/>
    </xf>
    <xf numFmtId="179" fontId="186" fillId="0" borderId="134" xfId="0" applyNumberFormat="1" applyFont="1" applyBorder="1" applyAlignment="1">
      <alignment horizontal="center" vertical="center"/>
    </xf>
    <xf numFmtId="179" fontId="186" fillId="0" borderId="2" xfId="0" applyNumberFormat="1" applyFont="1" applyBorder="1" applyAlignment="1">
      <alignment horizontal="center" vertical="center"/>
    </xf>
    <xf numFmtId="283" fontId="182" fillId="4" borderId="88" xfId="0" applyNumberFormat="1" applyFont="1" applyFill="1" applyBorder="1" applyAlignment="1">
      <alignment horizontal="center" vertical="center"/>
    </xf>
    <xf numFmtId="0" fontId="171" fillId="0" borderId="0" xfId="1347" applyFont="1" applyFill="1" applyBorder="1"/>
    <xf numFmtId="275" fontId="179" fillId="0" borderId="0" xfId="1" applyNumberFormat="1" applyFont="1" applyFill="1" applyBorder="1" applyAlignment="1">
      <alignment horizontal="center" vertical="center"/>
    </xf>
    <xf numFmtId="14" fontId="171" fillId="0" borderId="0" xfId="1347" applyNumberFormat="1" applyFont="1" applyFill="1" applyBorder="1" applyAlignment="1">
      <alignment horizontal="center" wrapText="1"/>
    </xf>
    <xf numFmtId="0" fontId="15" fillId="0" borderId="0" xfId="1347" applyFont="1" applyFill="1" applyBorder="1" applyAlignment="1">
      <alignment horizontal="left" vertical="center"/>
    </xf>
    <xf numFmtId="6" fontId="179" fillId="0" borderId="0" xfId="1347" applyNumberFormat="1" applyFont="1" applyFill="1" applyBorder="1" applyAlignment="1">
      <alignment horizontal="center"/>
    </xf>
    <xf numFmtId="14" fontId="174" fillId="33" borderId="126" xfId="1347" applyNumberFormat="1" applyFont="1" applyFill="1" applyBorder="1" applyAlignment="1">
      <alignment horizontal="center"/>
    </xf>
    <xf numFmtId="0" fontId="174" fillId="33" borderId="89" xfId="1347" applyFont="1" applyFill="1" applyBorder="1" applyAlignment="1">
      <alignment vertical="center"/>
    </xf>
    <xf numFmtId="0" fontId="174" fillId="33" borderId="126" xfId="1347" applyFont="1" applyFill="1" applyBorder="1" applyAlignment="1">
      <alignment horizontal="left" vertical="center"/>
    </xf>
    <xf numFmtId="14" fontId="15" fillId="33" borderId="133" xfId="1347" applyNumberFormat="1" applyFont="1" applyFill="1" applyBorder="1" applyAlignment="1">
      <alignment horizontal="center" wrapText="1"/>
    </xf>
    <xf numFmtId="8" fontId="185" fillId="33" borderId="5" xfId="1347" applyNumberFormat="1" applyFont="1" applyFill="1" applyBorder="1" applyAlignment="1">
      <alignment horizontal="center"/>
    </xf>
    <xf numFmtId="0" fontId="185" fillId="33" borderId="144" xfId="1347" applyFont="1" applyFill="1" applyBorder="1" applyAlignment="1">
      <alignment horizontal="center" vertical="center"/>
    </xf>
    <xf numFmtId="6" fontId="185" fillId="33" borderId="144" xfId="1347" applyNumberFormat="1" applyFont="1" applyFill="1" applyBorder="1" applyAlignment="1">
      <alignment horizontal="center"/>
    </xf>
    <xf numFmtId="0" fontId="196" fillId="4" borderId="144" xfId="1347" applyFont="1" applyFill="1" applyBorder="1"/>
    <xf numFmtId="0" fontId="185" fillId="33" borderId="144" xfId="1347" applyFont="1" applyFill="1" applyBorder="1" applyAlignment="1">
      <alignment horizontal="center"/>
    </xf>
    <xf numFmtId="0" fontId="196" fillId="4" borderId="144" xfId="1347" applyFont="1" applyFill="1" applyBorder="1" applyAlignment="1">
      <alignment horizontal="center"/>
    </xf>
    <xf numFmtId="3" fontId="185" fillId="33" borderId="144" xfId="1347" applyNumberFormat="1" applyFont="1" applyFill="1" applyBorder="1" applyAlignment="1">
      <alignment horizontal="center"/>
    </xf>
    <xf numFmtId="6" fontId="185" fillId="33" borderId="116" xfId="1347" applyNumberFormat="1" applyFont="1" applyFill="1" applyBorder="1" applyAlignment="1">
      <alignment horizontal="center"/>
    </xf>
    <xf numFmtId="0" fontId="196" fillId="33" borderId="144" xfId="1347" applyFont="1" applyFill="1" applyBorder="1"/>
    <xf numFmtId="0" fontId="196" fillId="33" borderId="144" xfId="1347" applyFont="1" applyFill="1" applyBorder="1" applyAlignment="1">
      <alignment horizontal="center"/>
    </xf>
    <xf numFmtId="262" fontId="185" fillId="0" borderId="144" xfId="0" applyNumberFormat="1" applyFont="1" applyBorder="1" applyAlignment="1">
      <alignment horizontal="center"/>
    </xf>
    <xf numFmtId="0" fontId="185" fillId="0" borderId="144" xfId="0" applyFont="1" applyBorder="1" applyAlignment="1">
      <alignment horizontal="center"/>
    </xf>
    <xf numFmtId="268" fontId="185" fillId="0" borderId="144" xfId="0" applyNumberFormat="1" applyFont="1" applyBorder="1" applyAlignment="1">
      <alignment horizontal="center"/>
    </xf>
    <xf numFmtId="264" fontId="185" fillId="0" borderId="144" xfId="0" applyNumberFormat="1" applyFont="1" applyBorder="1" applyAlignment="1">
      <alignment horizontal="center"/>
    </xf>
    <xf numFmtId="270" fontId="185" fillId="0" borderId="144" xfId="0" applyNumberFormat="1" applyFont="1" applyBorder="1" applyAlignment="1">
      <alignment horizontal="center"/>
    </xf>
    <xf numFmtId="265" fontId="185" fillId="0" borderId="144" xfId="0" applyNumberFormat="1" applyFont="1" applyBorder="1" applyAlignment="1">
      <alignment horizontal="center"/>
    </xf>
    <xf numFmtId="276" fontId="185" fillId="0" borderId="116" xfId="0" applyNumberFormat="1" applyFont="1" applyBorder="1" applyAlignment="1">
      <alignment horizontal="center"/>
    </xf>
    <xf numFmtId="9" fontId="196" fillId="33" borderId="5" xfId="1347" applyNumberFormat="1" applyFont="1" applyFill="1" applyBorder="1" applyAlignment="1">
      <alignment horizontal="center" vertical="center"/>
    </xf>
    <xf numFmtId="14" fontId="185" fillId="33" borderId="131" xfId="1347" applyNumberFormat="1" applyFont="1" applyFill="1" applyBorder="1" applyAlignment="1">
      <alignment horizontal="center"/>
    </xf>
    <xf numFmtId="275" fontId="185" fillId="33" borderId="149" xfId="1" applyNumberFormat="1" applyFont="1" applyFill="1" applyBorder="1" applyAlignment="1">
      <alignment horizontal="center" vertical="center"/>
    </xf>
    <xf numFmtId="0" fontId="170" fillId="0" borderId="0" xfId="0" applyFont="1" applyFill="1" applyBorder="1" applyAlignment="1">
      <alignment horizontal="center" vertical="center"/>
    </xf>
    <xf numFmtId="0" fontId="186" fillId="0" borderId="0" xfId="0" applyFont="1" applyFill="1"/>
    <xf numFmtId="5" fontId="186" fillId="0" borderId="0" xfId="0" applyNumberFormat="1" applyFont="1" applyFill="1"/>
    <xf numFmtId="5" fontId="186" fillId="0" borderId="0" xfId="0" applyNumberFormat="1" applyFont="1" applyFill="1" applyBorder="1"/>
    <xf numFmtId="9" fontId="186" fillId="0" borderId="0" xfId="1" applyFont="1" applyFill="1" applyBorder="1" applyAlignment="1">
      <alignment horizontal="center" vertical="center"/>
    </xf>
    <xf numFmtId="171" fontId="15" fillId="0" borderId="0" xfId="1" applyNumberFormat="1" applyFont="1" applyFill="1" applyBorder="1" applyAlignment="1">
      <alignment horizontal="center"/>
    </xf>
    <xf numFmtId="0" fontId="23" fillId="0" borderId="0" xfId="0" applyFont="1" applyFill="1" applyBorder="1"/>
    <xf numFmtId="9" fontId="23" fillId="0" borderId="0" xfId="0" applyNumberFormat="1" applyFont="1" applyFill="1" applyBorder="1" applyAlignment="1">
      <alignment horizontal="center"/>
    </xf>
    <xf numFmtId="10" fontId="15" fillId="0" borderId="0" xfId="0" applyNumberFormat="1" applyFont="1" applyFill="1" applyBorder="1" applyAlignment="1">
      <alignment horizontal="center"/>
    </xf>
    <xf numFmtId="0" fontId="23" fillId="0" borderId="153" xfId="0" applyFont="1" applyBorder="1" applyAlignment="1">
      <alignment horizontal="right"/>
    </xf>
    <xf numFmtId="5" fontId="23" fillId="0" borderId="134" xfId="0" applyNumberFormat="1" applyFont="1" applyBorder="1" applyAlignment="1">
      <alignment horizontal="center" vertical="center"/>
    </xf>
    <xf numFmtId="0" fontId="172" fillId="5" borderId="85" xfId="0" applyFont="1" applyFill="1" applyBorder="1" applyAlignment="1">
      <alignment horizontal="center"/>
    </xf>
    <xf numFmtId="0" fontId="174" fillId="0" borderId="101" xfId="0" applyFont="1" applyBorder="1" applyAlignment="1">
      <alignment horizontal="center"/>
    </xf>
    <xf numFmtId="37" fontId="15" fillId="0" borderId="90" xfId="22" applyNumberFormat="1" applyFont="1" applyBorder="1" applyAlignment="1">
      <alignment horizontal="center"/>
    </xf>
    <xf numFmtId="5" fontId="15" fillId="0" borderId="117" xfId="22" applyNumberFormat="1" applyFont="1" applyBorder="1" applyAlignment="1">
      <alignment horizontal="center"/>
    </xf>
    <xf numFmtId="37" fontId="15" fillId="0" borderId="87" xfId="22" applyNumberFormat="1" applyFont="1" applyBorder="1" applyAlignment="1">
      <alignment horizontal="center"/>
    </xf>
    <xf numFmtId="37" fontId="15" fillId="0" borderId="117" xfId="22" applyNumberFormat="1" applyFont="1" applyBorder="1" applyAlignment="1">
      <alignment horizontal="center"/>
    </xf>
    <xf numFmtId="166" fontId="23" fillId="0" borderId="61" xfId="22" applyNumberFormat="1" applyFont="1" applyBorder="1" applyAlignment="1">
      <alignment horizontal="center"/>
    </xf>
    <xf numFmtId="0" fontId="172" fillId="5" borderId="152" xfId="0" applyFont="1" applyFill="1" applyBorder="1" applyAlignment="1">
      <alignment horizontal="center"/>
    </xf>
    <xf numFmtId="0" fontId="23" fillId="0" borderId="63" xfId="0" applyFont="1" applyBorder="1"/>
    <xf numFmtId="0" fontId="186" fillId="0" borderId="0" xfId="0" applyFont="1" applyFill="1" applyAlignment="1">
      <alignment horizontal="center" vertical="center"/>
    </xf>
    <xf numFmtId="0" fontId="169" fillId="0" borderId="0" xfId="0" applyFont="1" applyFill="1" applyBorder="1" applyAlignment="1">
      <alignment horizontal="center" vertical="center"/>
    </xf>
    <xf numFmtId="0" fontId="169" fillId="0" borderId="0" xfId="0" applyFont="1" applyFill="1" applyBorder="1" applyAlignment="1">
      <alignment horizontal="center" vertical="center" wrapText="1"/>
    </xf>
  </cellXfs>
  <cellStyles count="1361">
    <cellStyle name="$ 0 decimal" xfId="131" xr:uid="{00000000-0005-0000-0000-00009F020000}"/>
    <cellStyle name="$ 1 decimal" xfId="132" xr:uid="{00000000-0005-0000-0000-0000A0020000}"/>
    <cellStyle name="$ 2 decimals" xfId="133" xr:uid="{00000000-0005-0000-0000-0000A1020000}"/>
    <cellStyle name="_%(SignOnly)" xfId="134" xr:uid="{00000000-0005-0000-0000-000000000000}"/>
    <cellStyle name="_%(SignSpaceOnly)" xfId="135" xr:uid="{00000000-0005-0000-0000-000001000000}"/>
    <cellStyle name="_%(SignSpaceOnly)_ControlTables" xfId="136" xr:uid="{00000000-0005-0000-0000-000002000000}"/>
    <cellStyle name="_%(SignSpaceOnly)_ControlTablesI" xfId="137" xr:uid="{00000000-0005-0000-0000-000003000000}"/>
    <cellStyle name="_%(SignSpaceOnly)_Database - Comparables" xfId="138" xr:uid="{00000000-0005-0000-0000-000004000000}"/>
    <cellStyle name="_%(SignSpaceOnly)_DB_Eye" xfId="139" xr:uid="{00000000-0005-0000-0000-000005000000}"/>
    <cellStyle name="_%(SignSpaceOnly)_Exec Summary" xfId="140" xr:uid="{00000000-0005-0000-0000-000006000000}"/>
    <cellStyle name="_%(SignSpaceOnly)_Exec Summary_1" xfId="141" xr:uid="{00000000-0005-0000-0000-000007000000}"/>
    <cellStyle name="_%(SignSpaceOnly)_Sheet1" xfId="142" xr:uid="{00000000-0005-0000-0000-000008000000}"/>
    <cellStyle name="_ARI Base Case July 25 TPS1" xfId="143" xr:uid="{00000000-0005-0000-0000-000009000000}"/>
    <cellStyle name="_Comma" xfId="144" xr:uid="{00000000-0005-0000-0000-00000A000000}"/>
    <cellStyle name="_Comma_3-Yr Eyechart" xfId="145" xr:uid="{00000000-0005-0000-0000-00000B000000}"/>
    <cellStyle name="_Comma_Asset Comparisons" xfId="146" xr:uid="{00000000-0005-0000-0000-00000C000000}"/>
    <cellStyle name="_Comma_Balance Sheet" xfId="147" xr:uid="{00000000-0005-0000-0000-00000D000000}"/>
    <cellStyle name="_Comma_Balance Sheet_ControlTables" xfId="148" xr:uid="{00000000-0005-0000-0000-00000E000000}"/>
    <cellStyle name="_Comma_Balance Sheet_ControlTablesI" xfId="149" xr:uid="{00000000-0005-0000-0000-00000F000000}"/>
    <cellStyle name="_Comma_Balance Sheet_Database - Comparables" xfId="150" xr:uid="{00000000-0005-0000-0000-000010000000}"/>
    <cellStyle name="_Comma_Balance Sheet_DB_Eye" xfId="151" xr:uid="{00000000-0005-0000-0000-000011000000}"/>
    <cellStyle name="_Comma_Balance Sheet_Exec Summary" xfId="152" xr:uid="{00000000-0005-0000-0000-000012000000}"/>
    <cellStyle name="_Comma_Balance Sheet_Existing Debt" xfId="153" xr:uid="{00000000-0005-0000-0000-000013000000}"/>
    <cellStyle name="_Comma_Balance Sheet_Kor-Port_LEQ_6-10-04_CR_Final-Struct_FINAL" xfId="154" xr:uid="{00000000-0005-0000-0000-000014000000}"/>
    <cellStyle name="_Comma_Balance Sheet_Mallard's_Landing_LEQ_8-17-04" xfId="155" xr:uid="{00000000-0005-0000-0000-000015000000}"/>
    <cellStyle name="_Comma_Balance Sheet_Quick Property Input" xfId="156" xr:uid="{00000000-0005-0000-0000-000016000000}"/>
    <cellStyle name="_Comma_Balance Sheet_Sheet1" xfId="157" xr:uid="{00000000-0005-0000-0000-000017000000}"/>
    <cellStyle name="_Comma_Balance Sheet_Sheet1_Data Tape" xfId="158" xr:uid="{00000000-0005-0000-0000-000018000000}"/>
    <cellStyle name="_Comma_Balance Sheet_Sheet1_Deal Assumptions" xfId="159" xr:uid="{00000000-0005-0000-0000-000019000000}"/>
    <cellStyle name="_Comma_Balance Sheet_Sheet1_RE Valuation 2" xfId="160" xr:uid="{00000000-0005-0000-0000-00001A000000}"/>
    <cellStyle name="_Comma_Balance Sheet_Sheet2" xfId="161" xr:uid="{00000000-0005-0000-0000-00001B000000}"/>
    <cellStyle name="_Comma_ControlTables" xfId="162" xr:uid="{00000000-0005-0000-0000-00001C000000}"/>
    <cellStyle name="_Comma_ControlTablesI" xfId="163" xr:uid="{00000000-0005-0000-0000-00001D000000}"/>
    <cellStyle name="_Comma_Cost Of Funds" xfId="164" xr:uid="{00000000-0005-0000-0000-00001E000000}"/>
    <cellStyle name="_Comma_Criteria" xfId="165" xr:uid="{00000000-0005-0000-0000-00001F000000}"/>
    <cellStyle name="_Comma_Criteria Test Export" xfId="166" xr:uid="{00000000-0005-0000-0000-000020000000}"/>
    <cellStyle name="_Comma_Criteria_ControlTables" xfId="167" xr:uid="{00000000-0005-0000-0000-000021000000}"/>
    <cellStyle name="_Comma_Criteria_ControlTablesI" xfId="168" xr:uid="{00000000-0005-0000-0000-000022000000}"/>
    <cellStyle name="_Comma_Criteria_Database - Comparables" xfId="169" xr:uid="{00000000-0005-0000-0000-000023000000}"/>
    <cellStyle name="_Comma_Criteria_DB_Eye" xfId="170" xr:uid="{00000000-0005-0000-0000-000024000000}"/>
    <cellStyle name="_Comma_Criteria_Exec Summary" xfId="171" xr:uid="{00000000-0005-0000-0000-000025000000}"/>
    <cellStyle name="_Comma_Criteria_Existing Debt" xfId="172" xr:uid="{00000000-0005-0000-0000-000026000000}"/>
    <cellStyle name="_Comma_Criteria_Kor-Port_LEQ_6-10-04_CR_Final-Struct_FINAL" xfId="173" xr:uid="{00000000-0005-0000-0000-000027000000}"/>
    <cellStyle name="_Comma_Criteria_Mallard's_Landing_LEQ_8-17-04" xfId="174" xr:uid="{00000000-0005-0000-0000-000028000000}"/>
    <cellStyle name="_Comma_Criteria_Quick Property Input" xfId="175" xr:uid="{00000000-0005-0000-0000-000029000000}"/>
    <cellStyle name="_Comma_Criteria_Sheet1" xfId="176" xr:uid="{00000000-0005-0000-0000-00002A000000}"/>
    <cellStyle name="_Comma_Criteria_Sheet1_Data Tape" xfId="177" xr:uid="{00000000-0005-0000-0000-00002B000000}"/>
    <cellStyle name="_Comma_Criteria_Sheet1_Deal Assumptions" xfId="178" xr:uid="{00000000-0005-0000-0000-00002C000000}"/>
    <cellStyle name="_Comma_Criteria_Sheet1_RE Valuation 2" xfId="179" xr:uid="{00000000-0005-0000-0000-00002D000000}"/>
    <cellStyle name="_Comma_Criteria_Sheet2" xfId="180" xr:uid="{00000000-0005-0000-0000-00002E000000}"/>
    <cellStyle name="_Comma_Data Tape" xfId="181" xr:uid="{00000000-0005-0000-0000-00002F000000}"/>
    <cellStyle name="_Comma_Data Tape_1" xfId="182" xr:uid="{00000000-0005-0000-0000-000030000000}"/>
    <cellStyle name="_Comma_Data Tape_ControlTables" xfId="183" xr:uid="{00000000-0005-0000-0000-000031000000}"/>
    <cellStyle name="_Comma_Data Tape_ControlTablesI" xfId="184" xr:uid="{00000000-0005-0000-0000-000032000000}"/>
    <cellStyle name="_Comma_Data Tape_Database - Comparables" xfId="185" xr:uid="{00000000-0005-0000-0000-000033000000}"/>
    <cellStyle name="_Comma_Data Tape_DB_Eye" xfId="186" xr:uid="{00000000-0005-0000-0000-000034000000}"/>
    <cellStyle name="_Comma_Data Tape_Exec Summary" xfId="187" xr:uid="{00000000-0005-0000-0000-000035000000}"/>
    <cellStyle name="_Comma_Data Tape_Existing Debt" xfId="188" xr:uid="{00000000-0005-0000-0000-000036000000}"/>
    <cellStyle name="_Comma_Data Tape_Kor-Port_LEQ_6-10-04_CR_Final-Struct_FINAL" xfId="189" xr:uid="{00000000-0005-0000-0000-000037000000}"/>
    <cellStyle name="_Comma_Data Tape_Mallard's_Landing_LEQ_8-17-04" xfId="190" xr:uid="{00000000-0005-0000-0000-000038000000}"/>
    <cellStyle name="_Comma_Data Tape_Quick Property Input" xfId="191" xr:uid="{00000000-0005-0000-0000-000039000000}"/>
    <cellStyle name="_Comma_Data Tape_Sheet1" xfId="192" xr:uid="{00000000-0005-0000-0000-00003A000000}"/>
    <cellStyle name="_Comma_Data Tape_Sheet1_Data Tape" xfId="193" xr:uid="{00000000-0005-0000-0000-00003B000000}"/>
    <cellStyle name="_Comma_Data Tape_Sheet1_Deal Assumptions" xfId="194" xr:uid="{00000000-0005-0000-0000-00003C000000}"/>
    <cellStyle name="_Comma_Data Tape_Sheet1_RE Valuation 2" xfId="195" xr:uid="{00000000-0005-0000-0000-00003D000000}"/>
    <cellStyle name="_Comma_Data Tape_Sheet2" xfId="196" xr:uid="{00000000-0005-0000-0000-00003E000000}"/>
    <cellStyle name="_Comma_Data_Tape" xfId="197" xr:uid="{00000000-0005-0000-0000-00003F000000}"/>
    <cellStyle name="_Comma_Database - Comparables" xfId="198" xr:uid="{00000000-0005-0000-0000-000040000000}"/>
    <cellStyle name="_Comma_Database - Economics" xfId="199" xr:uid="{00000000-0005-0000-0000-000041000000}"/>
    <cellStyle name="_Comma_DB Eye" xfId="200" xr:uid="{00000000-0005-0000-0000-000042000000}"/>
    <cellStyle name="_Comma_DB_Eye" xfId="201" xr:uid="{00000000-0005-0000-0000-000043000000}"/>
    <cellStyle name="_Comma_Deal Input" xfId="202" xr:uid="{00000000-0005-0000-0000-000044000000}"/>
    <cellStyle name="_Comma_Direct Cap Eye" xfId="203" xr:uid="{00000000-0005-0000-0000-000045000000}"/>
    <cellStyle name="_Comma_DPEM2005_vBetatest6" xfId="204" xr:uid="{00000000-0005-0000-0000-000046000000}"/>
    <cellStyle name="_Comma_ETR" xfId="205" xr:uid="{00000000-0005-0000-0000-000047000000}"/>
    <cellStyle name="_Comma_Exec Summary" xfId="206" xr:uid="{00000000-0005-0000-0000-000048000000}"/>
    <cellStyle name="_Comma_Existing Debt" xfId="207" xr:uid="{00000000-0005-0000-0000-000049000000}"/>
    <cellStyle name="_Comma_EyeChart" xfId="208" xr:uid="{00000000-0005-0000-0000-00004A000000}"/>
    <cellStyle name="_Comma_EyeChart 090503" xfId="209" xr:uid="{00000000-0005-0000-0000-00004B000000}"/>
    <cellStyle name="_Comma_Input" xfId="210" xr:uid="{00000000-0005-0000-0000-00004C000000}"/>
    <cellStyle name="_Comma_Input_1" xfId="211" xr:uid="{00000000-0005-0000-0000-00004D000000}"/>
    <cellStyle name="_Comma_Input_ControlTables" xfId="212" xr:uid="{00000000-0005-0000-0000-00004E000000}"/>
    <cellStyle name="_Comma_Input_ControlTablesI" xfId="213" xr:uid="{00000000-0005-0000-0000-00004F000000}"/>
    <cellStyle name="_Comma_Input_Data Tape" xfId="214" xr:uid="{00000000-0005-0000-0000-000050000000}"/>
    <cellStyle name="_Comma_Input_Database - Comparables" xfId="215" xr:uid="{00000000-0005-0000-0000-000051000000}"/>
    <cellStyle name="_Comma_Input_Database - Economics" xfId="216" xr:uid="{00000000-0005-0000-0000-000052000000}"/>
    <cellStyle name="_Comma_Input_DB_Eye" xfId="217" xr:uid="{00000000-0005-0000-0000-000053000000}"/>
    <cellStyle name="_Comma_Input_Exec Summary" xfId="218" xr:uid="{00000000-0005-0000-0000-000054000000}"/>
    <cellStyle name="_Comma_Input_Existing Debt" xfId="219" xr:uid="{00000000-0005-0000-0000-000055000000}"/>
    <cellStyle name="_Comma_Input_Kor-Port_LEQ_6-10-04_CR_Final-Struct_FINAL" xfId="220" xr:uid="{00000000-0005-0000-0000-000056000000}"/>
    <cellStyle name="_Comma_Input_Mallard's_Landing_LEQ_8-17-04" xfId="221" xr:uid="{00000000-0005-0000-0000-000057000000}"/>
    <cellStyle name="_Comma_Input_Quick Property Input" xfId="222" xr:uid="{00000000-0005-0000-0000-000058000000}"/>
    <cellStyle name="_Comma_Input_Sheet1" xfId="223" xr:uid="{00000000-0005-0000-0000-000059000000}"/>
    <cellStyle name="_Comma_Input_Sheet1_Data Tape" xfId="224" xr:uid="{00000000-0005-0000-0000-00005A000000}"/>
    <cellStyle name="_Comma_Input_Sheet1_Deal Assumptions" xfId="225" xr:uid="{00000000-0005-0000-0000-00005B000000}"/>
    <cellStyle name="_Comma_Input_Sheet1_RE Valuation 2" xfId="226" xr:uid="{00000000-0005-0000-0000-00005C000000}"/>
    <cellStyle name="_Comma_Input_Sheet2" xfId="227" xr:uid="{00000000-0005-0000-0000-00005D000000}"/>
    <cellStyle name="_Comma_JV Economics" xfId="228" xr:uid="{00000000-0005-0000-0000-00005E000000}"/>
    <cellStyle name="_Comma_M&amp;A Feed" xfId="229" xr:uid="{00000000-0005-0000-0000-00005F000000}"/>
    <cellStyle name="_Comma_NPV Case Eyechart" xfId="230" xr:uid="{00000000-0005-0000-0000-000060000000}"/>
    <cellStyle name="_Comma_Pools" xfId="231" xr:uid="{00000000-0005-0000-0000-000061000000}"/>
    <cellStyle name="_Comma_Pools_1" xfId="232" xr:uid="{00000000-0005-0000-0000-000062000000}"/>
    <cellStyle name="_Comma_Portfolio Valuation" xfId="233" xr:uid="{00000000-0005-0000-0000-000063000000}"/>
    <cellStyle name="_Comma_Pricing" xfId="234" xr:uid="{00000000-0005-0000-0000-000064000000}"/>
    <cellStyle name="_Comma_Prop 13" xfId="235" xr:uid="{00000000-0005-0000-0000-000065000000}"/>
    <cellStyle name="_Comma_Prop 13 Data" xfId="236" xr:uid="{00000000-0005-0000-0000-000066000000}"/>
    <cellStyle name="_Comma_Prop 13 Summary-11-10" xfId="237" xr:uid="{00000000-0005-0000-0000-000067000000}"/>
    <cellStyle name="_Comma_Property Assumptions" xfId="238" xr:uid="{00000000-0005-0000-0000-000068000000}"/>
    <cellStyle name="_Comma_Property Assumptions_1" xfId="239" xr:uid="{00000000-0005-0000-0000-000069000000}"/>
    <cellStyle name="_Comma_Quick Property Input" xfId="240" xr:uid="{00000000-0005-0000-0000-00006A000000}"/>
    <cellStyle name="_Comma_Senario Input Assumptions" xfId="241" xr:uid="{00000000-0005-0000-0000-00006B000000}"/>
    <cellStyle name="_Comma_Senario Input Assumptions_ControlTables" xfId="242" xr:uid="{00000000-0005-0000-0000-00006C000000}"/>
    <cellStyle name="_Comma_Senario Input Assumptions_ControlTablesI" xfId="243" xr:uid="{00000000-0005-0000-0000-00006D000000}"/>
    <cellStyle name="_Comma_Senario Input Assumptions_Database - Comparables" xfId="244" xr:uid="{00000000-0005-0000-0000-00006E000000}"/>
    <cellStyle name="_Comma_Senario Input Assumptions_DB_Eye" xfId="245" xr:uid="{00000000-0005-0000-0000-00006F000000}"/>
    <cellStyle name="_Comma_Senario Input Assumptions_Exec Summary" xfId="246" xr:uid="{00000000-0005-0000-0000-000070000000}"/>
    <cellStyle name="_Comma_Senario Input Assumptions_Existing Debt" xfId="247" xr:uid="{00000000-0005-0000-0000-000071000000}"/>
    <cellStyle name="_Comma_Senario Input Assumptions_Kor-Port_LEQ_6-10-04_CR_Final-Struct_FINAL" xfId="248" xr:uid="{00000000-0005-0000-0000-000072000000}"/>
    <cellStyle name="_Comma_Senario Input Assumptions_Mallard's_Landing_LEQ_8-17-04" xfId="249" xr:uid="{00000000-0005-0000-0000-000073000000}"/>
    <cellStyle name="_Comma_Senario Input Assumptions_Quick Property Input" xfId="250" xr:uid="{00000000-0005-0000-0000-000074000000}"/>
    <cellStyle name="_Comma_Senario Input Assumptions_Sheet1" xfId="251" xr:uid="{00000000-0005-0000-0000-000075000000}"/>
    <cellStyle name="_Comma_Senario Input Assumptions_Sheet1_Data Tape" xfId="252" xr:uid="{00000000-0005-0000-0000-000076000000}"/>
    <cellStyle name="_Comma_Senario Input Assumptions_Sheet1_Deal Assumptions" xfId="253" xr:uid="{00000000-0005-0000-0000-000077000000}"/>
    <cellStyle name="_Comma_Senario Input Assumptions_Sheet1_RE Valuation 2" xfId="254" xr:uid="{00000000-0005-0000-0000-000078000000}"/>
    <cellStyle name="_Comma_Senario Input Assumptions_Sheet2" xfId="255" xr:uid="{00000000-0005-0000-0000-000079000000}"/>
    <cellStyle name="_Comma_Sheet1" xfId="256" xr:uid="{00000000-0005-0000-0000-00007A000000}"/>
    <cellStyle name="_Comma_Sheet1_1" xfId="257" xr:uid="{00000000-0005-0000-0000-00007B000000}"/>
    <cellStyle name="_Comma_Sheet1_3-Yr Eyechart" xfId="258" xr:uid="{00000000-0005-0000-0000-00007C000000}"/>
    <cellStyle name="_Comma_Sheet1_Balance Sheet" xfId="259" xr:uid="{00000000-0005-0000-0000-00007D000000}"/>
    <cellStyle name="_Comma_Sheet1_Cost Of Funds" xfId="260" xr:uid="{00000000-0005-0000-0000-00007E000000}"/>
    <cellStyle name="_Comma_Sheet1_Criteria" xfId="261" xr:uid="{00000000-0005-0000-0000-00007F000000}"/>
    <cellStyle name="_Comma_Sheet1_Criteria Test Export" xfId="262" xr:uid="{00000000-0005-0000-0000-000080000000}"/>
    <cellStyle name="_Comma_Sheet1_Data Tape" xfId="263" xr:uid="{00000000-0005-0000-0000-000081000000}"/>
    <cellStyle name="_Comma_Sheet1_Data Tape_1" xfId="264" xr:uid="{00000000-0005-0000-0000-000082000000}"/>
    <cellStyle name="_Comma_Sheet1_Data_Tape" xfId="265" xr:uid="{00000000-0005-0000-0000-000083000000}"/>
    <cellStyle name="_Comma_Sheet1_Data_Tape_ControlTables" xfId="266" xr:uid="{00000000-0005-0000-0000-000084000000}"/>
    <cellStyle name="_Comma_Sheet1_Data_Tape_ControlTablesI" xfId="267" xr:uid="{00000000-0005-0000-0000-000085000000}"/>
    <cellStyle name="_Comma_Sheet1_Data_Tape_Database - Comparables" xfId="268" xr:uid="{00000000-0005-0000-0000-000086000000}"/>
    <cellStyle name="_Comma_Sheet1_Data_Tape_DB_Eye" xfId="269" xr:uid="{00000000-0005-0000-0000-000087000000}"/>
    <cellStyle name="_Comma_Sheet1_Data_Tape_Exec Summary" xfId="270" xr:uid="{00000000-0005-0000-0000-000088000000}"/>
    <cellStyle name="_Comma_Sheet1_Data_Tape_Existing Debt" xfId="271" xr:uid="{00000000-0005-0000-0000-000089000000}"/>
    <cellStyle name="_Comma_Sheet1_Data_Tape_Kor-Port_LEQ_6-10-04_CR_Final-Struct_FINAL" xfId="272" xr:uid="{00000000-0005-0000-0000-00008A000000}"/>
    <cellStyle name="_Comma_Sheet1_Data_Tape_Mallard's_Landing_LEQ_8-17-04" xfId="273" xr:uid="{00000000-0005-0000-0000-00008B000000}"/>
    <cellStyle name="_Comma_Sheet1_Data_Tape_Quick Property Input" xfId="274" xr:uid="{00000000-0005-0000-0000-00008C000000}"/>
    <cellStyle name="_Comma_Sheet1_Data_Tape_Sheet1" xfId="275" xr:uid="{00000000-0005-0000-0000-00008D000000}"/>
    <cellStyle name="_Comma_Sheet1_Data_Tape_Sheet1_Data Tape" xfId="276" xr:uid="{00000000-0005-0000-0000-00008E000000}"/>
    <cellStyle name="_Comma_Sheet1_Data_Tape_Sheet1_Deal Assumptions" xfId="277" xr:uid="{00000000-0005-0000-0000-00008F000000}"/>
    <cellStyle name="_Comma_Sheet1_Data_Tape_Sheet1_RE Valuation 2" xfId="278" xr:uid="{00000000-0005-0000-0000-000090000000}"/>
    <cellStyle name="_Comma_Sheet1_Data_Tape_Sheet2" xfId="279" xr:uid="{00000000-0005-0000-0000-000091000000}"/>
    <cellStyle name="_Comma_Sheet1_Database - Economics" xfId="280" xr:uid="{00000000-0005-0000-0000-000092000000}"/>
    <cellStyle name="_Comma_Sheet1_Deal Input" xfId="281" xr:uid="{00000000-0005-0000-0000-000093000000}"/>
    <cellStyle name="_Comma_Sheet1_Direct Cap Eye" xfId="282" xr:uid="{00000000-0005-0000-0000-000094000000}"/>
    <cellStyle name="_Comma_Sheet1_DPEM2005_vBetatest6" xfId="283" xr:uid="{00000000-0005-0000-0000-000095000000}"/>
    <cellStyle name="_Comma_Sheet1_ETR" xfId="284" xr:uid="{00000000-0005-0000-0000-000096000000}"/>
    <cellStyle name="_Comma_Sheet1_Existing Debt" xfId="285" xr:uid="{00000000-0005-0000-0000-000097000000}"/>
    <cellStyle name="_Comma_Sheet1_Input" xfId="286" xr:uid="{00000000-0005-0000-0000-000098000000}"/>
    <cellStyle name="_Comma_Sheet1_Input_1" xfId="287" xr:uid="{00000000-0005-0000-0000-000099000000}"/>
    <cellStyle name="_Comma_Sheet1_Input_Data Tape" xfId="288" xr:uid="{00000000-0005-0000-0000-00009A000000}"/>
    <cellStyle name="_Comma_Sheet1_Input_Database - Economics" xfId="289" xr:uid="{00000000-0005-0000-0000-00009B000000}"/>
    <cellStyle name="_Comma_Sheet1_M&amp;A Feed" xfId="290" xr:uid="{00000000-0005-0000-0000-00009C000000}"/>
    <cellStyle name="_Comma_Sheet1_NPV Case Eyechart" xfId="291" xr:uid="{00000000-0005-0000-0000-00009D000000}"/>
    <cellStyle name="_Comma_Sheet1_Pools" xfId="292" xr:uid="{00000000-0005-0000-0000-00009E000000}"/>
    <cellStyle name="_Comma_Sheet1_Pools_1" xfId="293" xr:uid="{00000000-0005-0000-0000-00009F000000}"/>
    <cellStyle name="_Comma_Sheet1_Pools_ControlTables" xfId="294" xr:uid="{00000000-0005-0000-0000-0000A0000000}"/>
    <cellStyle name="_Comma_Sheet1_Pools_ControlTablesI" xfId="295" xr:uid="{00000000-0005-0000-0000-0000A1000000}"/>
    <cellStyle name="_Comma_Sheet1_Pools_Database - Comparables" xfId="296" xr:uid="{00000000-0005-0000-0000-0000A2000000}"/>
    <cellStyle name="_Comma_Sheet1_Pools_DB_Eye" xfId="297" xr:uid="{00000000-0005-0000-0000-0000A3000000}"/>
    <cellStyle name="_Comma_Sheet1_Pools_Exec Summary" xfId="298" xr:uid="{00000000-0005-0000-0000-0000A4000000}"/>
    <cellStyle name="_Comma_Sheet1_Pools_Existing Debt" xfId="299" xr:uid="{00000000-0005-0000-0000-0000A5000000}"/>
    <cellStyle name="_Comma_Sheet1_Pools_Kor-Port_LEQ_6-10-04_CR_Final-Struct_FINAL" xfId="300" xr:uid="{00000000-0005-0000-0000-0000A6000000}"/>
    <cellStyle name="_Comma_Sheet1_Pools_Mallard's_Landing_LEQ_8-17-04" xfId="301" xr:uid="{00000000-0005-0000-0000-0000A7000000}"/>
    <cellStyle name="_Comma_Sheet1_Pools_Quick Property Input" xfId="302" xr:uid="{00000000-0005-0000-0000-0000A8000000}"/>
    <cellStyle name="_Comma_Sheet1_Pools_Sheet1" xfId="303" xr:uid="{00000000-0005-0000-0000-0000A9000000}"/>
    <cellStyle name="_Comma_Sheet1_Pools_Sheet1_Data Tape" xfId="304" xr:uid="{00000000-0005-0000-0000-0000AA000000}"/>
    <cellStyle name="_Comma_Sheet1_Pools_Sheet1_Deal Assumptions" xfId="305" xr:uid="{00000000-0005-0000-0000-0000AB000000}"/>
    <cellStyle name="_Comma_Sheet1_Pools_Sheet1_RE Valuation 2" xfId="306" xr:uid="{00000000-0005-0000-0000-0000AC000000}"/>
    <cellStyle name="_Comma_Sheet1_Pools_Sheet2" xfId="307" xr:uid="{00000000-0005-0000-0000-0000AD000000}"/>
    <cellStyle name="_Comma_Sheet1_Portfolio Valuation" xfId="308" xr:uid="{00000000-0005-0000-0000-0000AE000000}"/>
    <cellStyle name="_Comma_Sheet1_Prop 13" xfId="309" xr:uid="{00000000-0005-0000-0000-0000AF000000}"/>
    <cellStyle name="_Comma_Sheet1_Prop 13 Data" xfId="310" xr:uid="{00000000-0005-0000-0000-0000B0000000}"/>
    <cellStyle name="_Comma_Sheet1_Prop 13 Summary-11-10" xfId="311" xr:uid="{00000000-0005-0000-0000-0000B1000000}"/>
    <cellStyle name="_Comma_Sheet1_Property Assumptions" xfId="312" xr:uid="{00000000-0005-0000-0000-0000B2000000}"/>
    <cellStyle name="_Comma_Sheet1_Property Assumptions_1" xfId="313" xr:uid="{00000000-0005-0000-0000-0000B3000000}"/>
    <cellStyle name="_Comma_Sheet1_Quick Property Input" xfId="314" xr:uid="{00000000-0005-0000-0000-0000B4000000}"/>
    <cellStyle name="_Comma_Sheet1_Senario Input Assumptions" xfId="315" xr:uid="{00000000-0005-0000-0000-0000B5000000}"/>
    <cellStyle name="_Comma_Sheet1_Sheet1" xfId="316" xr:uid="{00000000-0005-0000-0000-0000B6000000}"/>
    <cellStyle name="_Comma_Sheet1_Sheet2" xfId="317" xr:uid="{00000000-0005-0000-0000-0000B7000000}"/>
    <cellStyle name="_Comma_Sheet1_Sheet2_1" xfId="318" xr:uid="{00000000-0005-0000-0000-0000B8000000}"/>
    <cellStyle name="_Comma_Sheet1_Sheet3" xfId="319" xr:uid="{00000000-0005-0000-0000-0000B9000000}"/>
    <cellStyle name="_Comma_Sheet1_Sheet5" xfId="320" xr:uid="{00000000-0005-0000-0000-0000BA000000}"/>
    <cellStyle name="_Comma_Sheet1_Structure Model_2003_test2" xfId="321" xr:uid="{00000000-0005-0000-0000-0000BB000000}"/>
    <cellStyle name="_Comma_Sheet2" xfId="322" xr:uid="{00000000-0005-0000-0000-0000BC000000}"/>
    <cellStyle name="_Comma_Sheet2_1" xfId="323" xr:uid="{00000000-0005-0000-0000-0000BD000000}"/>
    <cellStyle name="_Comma_Sheet3" xfId="324" xr:uid="{00000000-0005-0000-0000-0000BE000000}"/>
    <cellStyle name="_Comma_Sheet3_1" xfId="325" xr:uid="{00000000-0005-0000-0000-0000BF000000}"/>
    <cellStyle name="_Comma_Sheet4" xfId="326" xr:uid="{00000000-0005-0000-0000-0000C0000000}"/>
    <cellStyle name="_Comma_Sheet5" xfId="327" xr:uid="{00000000-0005-0000-0000-0000C1000000}"/>
    <cellStyle name="_Comma_Structure Model_2003_test2" xfId="328" xr:uid="{00000000-0005-0000-0000-0000C2000000}"/>
    <cellStyle name="_Comma_Structure Model_2003_test2_ControlTables" xfId="329" xr:uid="{00000000-0005-0000-0000-0000C3000000}"/>
    <cellStyle name="_Comma_Structure Model_2003_test2_ControlTablesI" xfId="330" xr:uid="{00000000-0005-0000-0000-0000C4000000}"/>
    <cellStyle name="_Comma_Structure Model_2003_test2_Database - Comparables" xfId="331" xr:uid="{00000000-0005-0000-0000-0000C5000000}"/>
    <cellStyle name="_Comma_Structure Model_2003_test2_DB_Eye" xfId="332" xr:uid="{00000000-0005-0000-0000-0000C6000000}"/>
    <cellStyle name="_Comma_Structure Model_2003_test2_Exec Summary" xfId="333" xr:uid="{00000000-0005-0000-0000-0000C7000000}"/>
    <cellStyle name="_Comma_Structure Model_2003_test2_Existing Debt" xfId="334" xr:uid="{00000000-0005-0000-0000-0000C8000000}"/>
    <cellStyle name="_Comma_Structure Model_2003_test2_Kor-Port_LEQ_6-10-04_CR_Final-Struct_FINAL" xfId="335" xr:uid="{00000000-0005-0000-0000-0000C9000000}"/>
    <cellStyle name="_Comma_Structure Model_2003_test2_Mallard's_Landing_LEQ_8-17-04" xfId="336" xr:uid="{00000000-0005-0000-0000-0000CA000000}"/>
    <cellStyle name="_Comma_Structure Model_2003_test2_Quick Property Input" xfId="337" xr:uid="{00000000-0005-0000-0000-0000CB000000}"/>
    <cellStyle name="_Comma_Structure Model_2003_test2_Sheet1" xfId="338" xr:uid="{00000000-0005-0000-0000-0000CC000000}"/>
    <cellStyle name="_Comma_Structure Model_2003_test2_Sheet1_Data Tape" xfId="339" xr:uid="{00000000-0005-0000-0000-0000CD000000}"/>
    <cellStyle name="_Comma_Structure Model_2003_test2_Sheet1_Deal Assumptions" xfId="340" xr:uid="{00000000-0005-0000-0000-0000CE000000}"/>
    <cellStyle name="_Comma_Structure Model_2003_test2_Sheet1_RE Valuation 2" xfId="341" xr:uid="{00000000-0005-0000-0000-0000CF000000}"/>
    <cellStyle name="_Comma_Structure Model_2003_test2_Sheet2" xfId="342" xr:uid="{00000000-0005-0000-0000-0000D0000000}"/>
    <cellStyle name="_Currency" xfId="343" xr:uid="{00000000-0005-0000-0000-0000D1000000}"/>
    <cellStyle name="_Currency_03-05-31 Final OBS Reports" xfId="344" xr:uid="{00000000-0005-0000-0000-0000D2000000}"/>
    <cellStyle name="_Currency_3-Yr Eyechart" xfId="345" xr:uid="{00000000-0005-0000-0000-0000D3000000}"/>
    <cellStyle name="_Currency_Alamosa Standalone6" xfId="346" xr:uid="{00000000-0005-0000-0000-0000D4000000}"/>
    <cellStyle name="_Currency_ARI Base Case July 25 TPS1" xfId="347" xr:uid="{00000000-0005-0000-0000-0000D5000000}"/>
    <cellStyle name="_Currency_Balance Sheet" xfId="348" xr:uid="{00000000-0005-0000-0000-0000D6000000}"/>
    <cellStyle name="_Currency_Balance Sheet_ControlTables" xfId="349" xr:uid="{00000000-0005-0000-0000-0000D7000000}"/>
    <cellStyle name="_Currency_Balance Sheet_ControlTablesI" xfId="350" xr:uid="{00000000-0005-0000-0000-0000D8000000}"/>
    <cellStyle name="_Currency_Balance Sheet_Database - Comparables" xfId="351" xr:uid="{00000000-0005-0000-0000-0000D9000000}"/>
    <cellStyle name="_Currency_Balance Sheet_DB_Eye" xfId="352" xr:uid="{00000000-0005-0000-0000-0000DA000000}"/>
    <cellStyle name="_Currency_Balance Sheet_Exec Summary" xfId="353" xr:uid="{00000000-0005-0000-0000-0000DB000000}"/>
    <cellStyle name="_Currency_Balance Sheet_Exec Summary_1" xfId="354" xr:uid="{00000000-0005-0000-0000-0000DC000000}"/>
    <cellStyle name="_Currency_Balance Sheet_Sheet1" xfId="355" xr:uid="{00000000-0005-0000-0000-0000DD000000}"/>
    <cellStyle name="_Currency_ControlTables" xfId="356" xr:uid="{00000000-0005-0000-0000-0000DE000000}"/>
    <cellStyle name="_Currency_ControlTablesI" xfId="357" xr:uid="{00000000-0005-0000-0000-0000DF000000}"/>
    <cellStyle name="_Currency_Cost Of Funds" xfId="358" xr:uid="{00000000-0005-0000-0000-0000E0000000}"/>
    <cellStyle name="_Currency_Criteria" xfId="359" xr:uid="{00000000-0005-0000-0000-0000E1000000}"/>
    <cellStyle name="_Currency_Criteria Test Export" xfId="360" xr:uid="{00000000-0005-0000-0000-0000E2000000}"/>
    <cellStyle name="_Currency_Criteria_ControlTables" xfId="361" xr:uid="{00000000-0005-0000-0000-0000E3000000}"/>
    <cellStyle name="_Currency_Criteria_ControlTablesI" xfId="362" xr:uid="{00000000-0005-0000-0000-0000E4000000}"/>
    <cellStyle name="_Currency_Criteria_Database - Comparables" xfId="363" xr:uid="{00000000-0005-0000-0000-0000E5000000}"/>
    <cellStyle name="_Currency_Criteria_DB_Eye" xfId="364" xr:uid="{00000000-0005-0000-0000-0000E6000000}"/>
    <cellStyle name="_Currency_Criteria_Exec Summary" xfId="365" xr:uid="{00000000-0005-0000-0000-0000E7000000}"/>
    <cellStyle name="_Currency_Criteria_Exec Summary_1" xfId="366" xr:uid="{00000000-0005-0000-0000-0000E8000000}"/>
    <cellStyle name="_Currency_Criteria_Sheet1" xfId="367" xr:uid="{00000000-0005-0000-0000-0000E9000000}"/>
    <cellStyle name="_Currency_Data Tape" xfId="368" xr:uid="{00000000-0005-0000-0000-0000EA000000}"/>
    <cellStyle name="_Currency_Data Tape_1" xfId="369" xr:uid="{00000000-0005-0000-0000-0000EB000000}"/>
    <cellStyle name="_Currency_Data Tape_ControlTables" xfId="370" xr:uid="{00000000-0005-0000-0000-0000EC000000}"/>
    <cellStyle name="_Currency_Data Tape_ControlTablesI" xfId="371" xr:uid="{00000000-0005-0000-0000-0000ED000000}"/>
    <cellStyle name="_Currency_Data Tape_Database - Comparables" xfId="372" xr:uid="{00000000-0005-0000-0000-0000EE000000}"/>
    <cellStyle name="_Currency_Data Tape_DB_Eye" xfId="373" xr:uid="{00000000-0005-0000-0000-0000EF000000}"/>
    <cellStyle name="_Currency_Data Tape_Exec Summary" xfId="374" xr:uid="{00000000-0005-0000-0000-0000F0000000}"/>
    <cellStyle name="_Currency_Data Tape_Exec Summary_1" xfId="375" xr:uid="{00000000-0005-0000-0000-0000F1000000}"/>
    <cellStyle name="_Currency_Data Tape_Sheet1" xfId="376" xr:uid="{00000000-0005-0000-0000-0000F2000000}"/>
    <cellStyle name="_Currency_Data_Tape" xfId="377" xr:uid="{00000000-0005-0000-0000-0000F3000000}"/>
    <cellStyle name="_Currency_Data_Tape_ControlTables" xfId="378" xr:uid="{00000000-0005-0000-0000-0000F4000000}"/>
    <cellStyle name="_Currency_Data_Tape_ControlTablesI" xfId="379" xr:uid="{00000000-0005-0000-0000-0000F5000000}"/>
    <cellStyle name="_Currency_Data_Tape_Database - Comparables" xfId="380" xr:uid="{00000000-0005-0000-0000-0000F6000000}"/>
    <cellStyle name="_Currency_Data_Tape_DB_Eye" xfId="381" xr:uid="{00000000-0005-0000-0000-0000F7000000}"/>
    <cellStyle name="_Currency_Data_Tape_Exec Summary" xfId="382" xr:uid="{00000000-0005-0000-0000-0000F8000000}"/>
    <cellStyle name="_Currency_Data_Tape_Exec Summary_1" xfId="383" xr:uid="{00000000-0005-0000-0000-0000F9000000}"/>
    <cellStyle name="_Currency_Data_Tape_Sheet1" xfId="384" xr:uid="{00000000-0005-0000-0000-0000FA000000}"/>
    <cellStyle name="_Currency_Database - Comparables" xfId="385" xr:uid="{00000000-0005-0000-0000-0000FB000000}"/>
    <cellStyle name="_Currency_Database - Economics" xfId="386" xr:uid="{00000000-0005-0000-0000-0000FC000000}"/>
    <cellStyle name="_Currency_DB_Eye" xfId="387" xr:uid="{00000000-0005-0000-0000-0000FD000000}"/>
    <cellStyle name="_Currency_Deal Input" xfId="388" xr:uid="{00000000-0005-0000-0000-0000FE000000}"/>
    <cellStyle name="_Currency_Direct Cap Eye" xfId="389" xr:uid="{00000000-0005-0000-0000-0000FF000000}"/>
    <cellStyle name="_Currency_DPEM2005_vBetatest6" xfId="390" xr:uid="{00000000-0005-0000-0000-000000010000}"/>
    <cellStyle name="_Currency_ETR" xfId="391" xr:uid="{00000000-0005-0000-0000-000001010000}"/>
    <cellStyle name="_Currency_Exec Summary" xfId="392" xr:uid="{00000000-0005-0000-0000-000002010000}"/>
    <cellStyle name="_Currency_Exec Summary_1" xfId="393" xr:uid="{00000000-0005-0000-0000-000003010000}"/>
    <cellStyle name="_Currency_Existing Debt" xfId="394" xr:uid="{00000000-0005-0000-0000-000004010000}"/>
    <cellStyle name="_Currency_Existing Debt_1" xfId="395" xr:uid="{00000000-0005-0000-0000-000005010000}"/>
    <cellStyle name="_Currency_EyeChart" xfId="396" xr:uid="{00000000-0005-0000-0000-000006010000}"/>
    <cellStyle name="_Currency_EyeChart 090503" xfId="397" xr:uid="{00000000-0005-0000-0000-000007010000}"/>
    <cellStyle name="_Currency_GMACCH_Loans_OBS_033103_Final_v2" xfId="398" xr:uid="{00000000-0005-0000-0000-000008010000}"/>
    <cellStyle name="_Currency_Input" xfId="399" xr:uid="{00000000-0005-0000-0000-000009010000}"/>
    <cellStyle name="_Currency_Input_1" xfId="400" xr:uid="{00000000-0005-0000-0000-00000A010000}"/>
    <cellStyle name="_Currency_Input_2" xfId="401" xr:uid="{00000000-0005-0000-0000-00000B010000}"/>
    <cellStyle name="_Currency_Input_ControlTables" xfId="402" xr:uid="{00000000-0005-0000-0000-00000C010000}"/>
    <cellStyle name="_Currency_Input_ControlTablesI" xfId="403" xr:uid="{00000000-0005-0000-0000-00000D010000}"/>
    <cellStyle name="_Currency_Input_Data Tape" xfId="404" xr:uid="{00000000-0005-0000-0000-00000E010000}"/>
    <cellStyle name="_Currency_Input_Database - Comparables" xfId="405" xr:uid="{00000000-0005-0000-0000-00000F010000}"/>
    <cellStyle name="_Currency_Input_Database - Economics" xfId="406" xr:uid="{00000000-0005-0000-0000-000010010000}"/>
    <cellStyle name="_Currency_Input_DB_Eye" xfId="407" xr:uid="{00000000-0005-0000-0000-000011010000}"/>
    <cellStyle name="_Currency_Input_Exec Summary" xfId="408" xr:uid="{00000000-0005-0000-0000-000012010000}"/>
    <cellStyle name="_Currency_Input_Exec Summary_1" xfId="409" xr:uid="{00000000-0005-0000-0000-000013010000}"/>
    <cellStyle name="_Currency_Input_Sheet1" xfId="410" xr:uid="{00000000-0005-0000-0000-000014010000}"/>
    <cellStyle name="_Currency_JV Economics" xfId="411" xr:uid="{00000000-0005-0000-0000-000015010000}"/>
    <cellStyle name="_Currency_M&amp;A Feed" xfId="412" xr:uid="{00000000-0005-0000-0000-000016010000}"/>
    <cellStyle name="_Currency_NPV Case Eyechart" xfId="413" xr:uid="{00000000-0005-0000-0000-000017010000}"/>
    <cellStyle name="_Currency_Pools" xfId="414" xr:uid="{00000000-0005-0000-0000-000018010000}"/>
    <cellStyle name="_Currency_Pools_1" xfId="415" xr:uid="{00000000-0005-0000-0000-000019010000}"/>
    <cellStyle name="_Currency_Pools_ControlTables" xfId="416" xr:uid="{00000000-0005-0000-0000-00001A010000}"/>
    <cellStyle name="_Currency_Pools_ControlTablesI" xfId="417" xr:uid="{00000000-0005-0000-0000-00001B010000}"/>
    <cellStyle name="_Currency_Pools_Database - Comparables" xfId="418" xr:uid="{00000000-0005-0000-0000-00001C010000}"/>
    <cellStyle name="_Currency_Pools_DB_Eye" xfId="419" xr:uid="{00000000-0005-0000-0000-00001D010000}"/>
    <cellStyle name="_Currency_Pools_Exec Summary" xfId="420" xr:uid="{00000000-0005-0000-0000-00001E010000}"/>
    <cellStyle name="_Currency_Pools_Exec Summary_1" xfId="421" xr:uid="{00000000-0005-0000-0000-00001F010000}"/>
    <cellStyle name="_Currency_Pools_Sheet1" xfId="422" xr:uid="{00000000-0005-0000-0000-000020010000}"/>
    <cellStyle name="_Currency_Portfolio Valuation" xfId="423" xr:uid="{00000000-0005-0000-0000-000021010000}"/>
    <cellStyle name="_Currency_Pricing" xfId="424" xr:uid="{00000000-0005-0000-0000-000022010000}"/>
    <cellStyle name="_Currency_Prop 13" xfId="425" xr:uid="{00000000-0005-0000-0000-000023010000}"/>
    <cellStyle name="_Currency_Prop 13 Data" xfId="426" xr:uid="{00000000-0005-0000-0000-000024010000}"/>
    <cellStyle name="_Currency_Prop 13 Summary-11-10" xfId="427" xr:uid="{00000000-0005-0000-0000-000025010000}"/>
    <cellStyle name="_Currency_Property Assumptions" xfId="428" xr:uid="{00000000-0005-0000-0000-000026010000}"/>
    <cellStyle name="_Currency_Property Assumptions_1" xfId="429" xr:uid="{00000000-0005-0000-0000-000027010000}"/>
    <cellStyle name="_Currency_Quick Property Input" xfId="430" xr:uid="{00000000-0005-0000-0000-000028010000}"/>
    <cellStyle name="_Currency_Roberts Standalone14 Quarterly 2" xfId="431" xr:uid="{00000000-0005-0000-0000-000029010000}"/>
    <cellStyle name="_Currency_Senario Input Assumptions" xfId="432" xr:uid="{00000000-0005-0000-0000-00002A010000}"/>
    <cellStyle name="_Currency_Senario Input Assumptions_ControlTables" xfId="433" xr:uid="{00000000-0005-0000-0000-00002B010000}"/>
    <cellStyle name="_Currency_Senario Input Assumptions_ControlTablesI" xfId="434" xr:uid="{00000000-0005-0000-0000-00002C010000}"/>
    <cellStyle name="_Currency_Senario Input Assumptions_Database - Comparables" xfId="435" xr:uid="{00000000-0005-0000-0000-00002D010000}"/>
    <cellStyle name="_Currency_Senario Input Assumptions_DB_Eye" xfId="436" xr:uid="{00000000-0005-0000-0000-00002E010000}"/>
    <cellStyle name="_Currency_Senario Input Assumptions_Exec Summary" xfId="437" xr:uid="{00000000-0005-0000-0000-00002F010000}"/>
    <cellStyle name="_Currency_Senario Input Assumptions_Exec Summary_1" xfId="438" xr:uid="{00000000-0005-0000-0000-000030010000}"/>
    <cellStyle name="_Currency_Senario Input Assumptions_Sheet1" xfId="439" xr:uid="{00000000-0005-0000-0000-000031010000}"/>
    <cellStyle name="_Currency_Sheet1" xfId="440" xr:uid="{00000000-0005-0000-0000-000032010000}"/>
    <cellStyle name="_Currency_Sheet1_1" xfId="441" xr:uid="{00000000-0005-0000-0000-000033010000}"/>
    <cellStyle name="_Currency_Sheet1_3-Yr Eyechart" xfId="442" xr:uid="{00000000-0005-0000-0000-000034010000}"/>
    <cellStyle name="_Currency_Sheet1_Balance Sheet" xfId="443" xr:uid="{00000000-0005-0000-0000-000035010000}"/>
    <cellStyle name="_Currency_Sheet1_Balance Sheet_ControlTables" xfId="444" xr:uid="{00000000-0005-0000-0000-000036010000}"/>
    <cellStyle name="_Currency_Sheet1_Balance Sheet_ControlTablesI" xfId="445" xr:uid="{00000000-0005-0000-0000-000037010000}"/>
    <cellStyle name="_Currency_Sheet1_Balance Sheet_Database - Comparables" xfId="446" xr:uid="{00000000-0005-0000-0000-000038010000}"/>
    <cellStyle name="_Currency_Sheet1_Balance Sheet_DB_Eye" xfId="447" xr:uid="{00000000-0005-0000-0000-000039010000}"/>
    <cellStyle name="_Currency_Sheet1_Balance Sheet_Exec Summary" xfId="448" xr:uid="{00000000-0005-0000-0000-00003A010000}"/>
    <cellStyle name="_Currency_Sheet1_Balance Sheet_Exec Summary_1" xfId="449" xr:uid="{00000000-0005-0000-0000-00003B010000}"/>
    <cellStyle name="_Currency_Sheet1_Balance Sheet_Sheet1" xfId="450" xr:uid="{00000000-0005-0000-0000-00003C010000}"/>
    <cellStyle name="_Currency_Sheet1_ControlTables" xfId="451" xr:uid="{00000000-0005-0000-0000-00003D010000}"/>
    <cellStyle name="_Currency_Sheet1_ControlTablesI" xfId="452" xr:uid="{00000000-0005-0000-0000-00003E010000}"/>
    <cellStyle name="_Currency_Sheet1_Cost Of Funds" xfId="453" xr:uid="{00000000-0005-0000-0000-00003F010000}"/>
    <cellStyle name="_Currency_Sheet1_Criteria" xfId="454" xr:uid="{00000000-0005-0000-0000-000040010000}"/>
    <cellStyle name="_Currency_Sheet1_Criteria Test Export" xfId="455" xr:uid="{00000000-0005-0000-0000-000041010000}"/>
    <cellStyle name="_Currency_Sheet1_Criteria_ControlTables" xfId="456" xr:uid="{00000000-0005-0000-0000-000042010000}"/>
    <cellStyle name="_Currency_Sheet1_Criteria_ControlTablesI" xfId="457" xr:uid="{00000000-0005-0000-0000-000043010000}"/>
    <cellStyle name="_Currency_Sheet1_Criteria_Database - Comparables" xfId="458" xr:uid="{00000000-0005-0000-0000-000044010000}"/>
    <cellStyle name="_Currency_Sheet1_Criteria_DB_Eye" xfId="459" xr:uid="{00000000-0005-0000-0000-000045010000}"/>
    <cellStyle name="_Currency_Sheet1_Criteria_Exec Summary" xfId="460" xr:uid="{00000000-0005-0000-0000-000046010000}"/>
    <cellStyle name="_Currency_Sheet1_Criteria_Exec Summary_1" xfId="461" xr:uid="{00000000-0005-0000-0000-000047010000}"/>
    <cellStyle name="_Currency_Sheet1_Criteria_Sheet1" xfId="462" xr:uid="{00000000-0005-0000-0000-000048010000}"/>
    <cellStyle name="_Currency_Sheet1_Data Tape" xfId="463" xr:uid="{00000000-0005-0000-0000-000049010000}"/>
    <cellStyle name="_Currency_Sheet1_Data Tape_1" xfId="464" xr:uid="{00000000-0005-0000-0000-00004A010000}"/>
    <cellStyle name="_Currency_Sheet1_Data Tape_ControlTables" xfId="465" xr:uid="{00000000-0005-0000-0000-00004B010000}"/>
    <cellStyle name="_Currency_Sheet1_Data Tape_ControlTablesI" xfId="466" xr:uid="{00000000-0005-0000-0000-00004C010000}"/>
    <cellStyle name="_Currency_Sheet1_Data Tape_Database - Comparables" xfId="467" xr:uid="{00000000-0005-0000-0000-00004D010000}"/>
    <cellStyle name="_Currency_Sheet1_Data Tape_DB_Eye" xfId="468" xr:uid="{00000000-0005-0000-0000-00004E010000}"/>
    <cellStyle name="_Currency_Sheet1_Data Tape_Exec Summary" xfId="469" xr:uid="{00000000-0005-0000-0000-00004F010000}"/>
    <cellStyle name="_Currency_Sheet1_Data Tape_Exec Summary_1" xfId="470" xr:uid="{00000000-0005-0000-0000-000050010000}"/>
    <cellStyle name="_Currency_Sheet1_Data Tape_Sheet1" xfId="471" xr:uid="{00000000-0005-0000-0000-000051010000}"/>
    <cellStyle name="_Currency_Sheet1_Data_Tape" xfId="472" xr:uid="{00000000-0005-0000-0000-000052010000}"/>
    <cellStyle name="_Currency_Sheet1_Data_Tape_ControlTables" xfId="473" xr:uid="{00000000-0005-0000-0000-000053010000}"/>
    <cellStyle name="_Currency_Sheet1_Data_Tape_ControlTablesI" xfId="474" xr:uid="{00000000-0005-0000-0000-000054010000}"/>
    <cellStyle name="_Currency_Sheet1_Data_Tape_DB_Eye" xfId="475" xr:uid="{00000000-0005-0000-0000-000055010000}"/>
    <cellStyle name="_Currency_Sheet1_Data_Tape_Exec Summary" xfId="476" xr:uid="{00000000-0005-0000-0000-000056010000}"/>
    <cellStyle name="_Currency_Sheet1_Data_Tape_Exec Summary_1" xfId="477" xr:uid="{00000000-0005-0000-0000-000057010000}"/>
    <cellStyle name="_Currency_Sheet1_Data_Tape_Sheet1" xfId="478" xr:uid="{00000000-0005-0000-0000-000058010000}"/>
    <cellStyle name="_Currency_Sheet1_Database - Comparables" xfId="479" xr:uid="{00000000-0005-0000-0000-000059010000}"/>
    <cellStyle name="_Currency_Sheet1_Database - Economics" xfId="480" xr:uid="{00000000-0005-0000-0000-00005A010000}"/>
    <cellStyle name="_Currency_Sheet1_DB_Eye" xfId="481" xr:uid="{00000000-0005-0000-0000-00005B010000}"/>
    <cellStyle name="_Currency_Sheet1_Deal Input" xfId="482" xr:uid="{00000000-0005-0000-0000-00005C010000}"/>
    <cellStyle name="_Currency_Sheet1_Direct Cap Eye" xfId="483" xr:uid="{00000000-0005-0000-0000-00005D010000}"/>
    <cellStyle name="_Currency_Sheet1_DPEM2005_vBetatest6" xfId="484" xr:uid="{00000000-0005-0000-0000-00005E010000}"/>
    <cellStyle name="_Currency_Sheet1_ETR" xfId="485" xr:uid="{00000000-0005-0000-0000-00005F010000}"/>
    <cellStyle name="_Currency_Sheet1_Exec Summary" xfId="486" xr:uid="{00000000-0005-0000-0000-000060010000}"/>
    <cellStyle name="_Currency_Sheet1_Exec Summary_1" xfId="487" xr:uid="{00000000-0005-0000-0000-000061010000}"/>
    <cellStyle name="_Currency_Sheet1_Existing Debt" xfId="488" xr:uid="{00000000-0005-0000-0000-000062010000}"/>
    <cellStyle name="_Currency_Sheet1_Input" xfId="489" xr:uid="{00000000-0005-0000-0000-000063010000}"/>
    <cellStyle name="_Currency_Sheet1_Input_1" xfId="490" xr:uid="{00000000-0005-0000-0000-000064010000}"/>
    <cellStyle name="_Currency_Sheet1_Input_ControlTables" xfId="491" xr:uid="{00000000-0005-0000-0000-000065010000}"/>
    <cellStyle name="_Currency_Sheet1_Input_ControlTablesI" xfId="492" xr:uid="{00000000-0005-0000-0000-000066010000}"/>
    <cellStyle name="_Currency_Sheet1_Input_Data Tape" xfId="493" xr:uid="{00000000-0005-0000-0000-000067010000}"/>
    <cellStyle name="_Currency_Sheet1_Input_Database - Economics" xfId="494" xr:uid="{00000000-0005-0000-0000-000068010000}"/>
    <cellStyle name="_Currency_Sheet1_Input_DB_Eye" xfId="495" xr:uid="{00000000-0005-0000-0000-000069010000}"/>
    <cellStyle name="_Currency_Sheet1_Input_Exec Summary" xfId="496" xr:uid="{00000000-0005-0000-0000-00006A010000}"/>
    <cellStyle name="_Currency_Sheet1_Input_Exec Summary_1" xfId="497" xr:uid="{00000000-0005-0000-0000-00006B010000}"/>
    <cellStyle name="_Currency_Sheet1_Input_Sheet1" xfId="498" xr:uid="{00000000-0005-0000-0000-00006C010000}"/>
    <cellStyle name="_Currency_Sheet1_M&amp;A Feed" xfId="499" xr:uid="{00000000-0005-0000-0000-00006D010000}"/>
    <cellStyle name="_Currency_Sheet1_NPV Case Eyechart" xfId="500" xr:uid="{00000000-0005-0000-0000-00006E010000}"/>
    <cellStyle name="_Currency_Sheet1_Pools" xfId="501" xr:uid="{00000000-0005-0000-0000-00006F010000}"/>
    <cellStyle name="_Currency_Sheet1_Pools_1" xfId="502" xr:uid="{00000000-0005-0000-0000-000070010000}"/>
    <cellStyle name="_Currency_Sheet1_Pools_ControlTables" xfId="503" xr:uid="{00000000-0005-0000-0000-000071010000}"/>
    <cellStyle name="_Currency_Sheet1_Pools_ControlTablesI" xfId="504" xr:uid="{00000000-0005-0000-0000-000072010000}"/>
    <cellStyle name="_Currency_Sheet1_Pools_DB_Eye" xfId="505" xr:uid="{00000000-0005-0000-0000-000073010000}"/>
    <cellStyle name="_Currency_Sheet1_Pools_Exec Summary" xfId="506" xr:uid="{00000000-0005-0000-0000-000074010000}"/>
    <cellStyle name="_Currency_Sheet1_Pools_Exec Summary_1" xfId="507" xr:uid="{00000000-0005-0000-0000-000075010000}"/>
    <cellStyle name="_Currency_Sheet1_Pools_Sheet1" xfId="508" xr:uid="{00000000-0005-0000-0000-000076010000}"/>
    <cellStyle name="_Currency_Sheet1_Portfolio Valuation" xfId="509" xr:uid="{00000000-0005-0000-0000-000077010000}"/>
    <cellStyle name="_Currency_Sheet1_Prop 13" xfId="510" xr:uid="{00000000-0005-0000-0000-000078010000}"/>
    <cellStyle name="_Currency_Sheet1_Prop 13 Data" xfId="511" xr:uid="{00000000-0005-0000-0000-000079010000}"/>
    <cellStyle name="_Currency_Sheet1_Prop 13 Summary-11-10" xfId="512" xr:uid="{00000000-0005-0000-0000-00007A010000}"/>
    <cellStyle name="_Currency_Sheet1_Property Assumptions" xfId="513" xr:uid="{00000000-0005-0000-0000-00007B010000}"/>
    <cellStyle name="_Currency_Sheet1_Property Assumptions_1" xfId="514" xr:uid="{00000000-0005-0000-0000-00007C010000}"/>
    <cellStyle name="_Currency_Sheet1_Quick Property Input" xfId="515" xr:uid="{00000000-0005-0000-0000-00007D010000}"/>
    <cellStyle name="_Currency_Sheet1_Senario Input Assumptions" xfId="516" xr:uid="{00000000-0005-0000-0000-00007E010000}"/>
    <cellStyle name="_Currency_Sheet1_Senario Input Assumptions_ControlTables" xfId="517" xr:uid="{00000000-0005-0000-0000-00007F010000}"/>
    <cellStyle name="_Currency_Sheet1_Senario Input Assumptions_ControlTablesI" xfId="518" xr:uid="{00000000-0005-0000-0000-000080010000}"/>
    <cellStyle name="_Currency_Sheet1_Senario Input Assumptions_DB_Eye" xfId="519" xr:uid="{00000000-0005-0000-0000-000081010000}"/>
    <cellStyle name="_Currency_Sheet1_Senario Input Assumptions_Exec Summary" xfId="520" xr:uid="{00000000-0005-0000-0000-000082010000}"/>
    <cellStyle name="_Currency_Sheet1_Senario Input Assumptions_Exec Summary_1" xfId="521" xr:uid="{00000000-0005-0000-0000-000083010000}"/>
    <cellStyle name="_Currency_Sheet1_Senario Input Assumptions_Sheet1" xfId="522" xr:uid="{00000000-0005-0000-0000-000084010000}"/>
    <cellStyle name="_Currency_Sheet1_Sheet1" xfId="523" xr:uid="{00000000-0005-0000-0000-000085010000}"/>
    <cellStyle name="_Currency_Sheet1_Sheet1_Data Tape" xfId="524" xr:uid="{00000000-0005-0000-0000-000086010000}"/>
    <cellStyle name="_Currency_Sheet1_Sheet1_Database - Eyechart" xfId="525" xr:uid="{00000000-0005-0000-0000-000087010000}"/>
    <cellStyle name="_Currency_Sheet1_Sheet1_Deal Assumptions" xfId="526" xr:uid="{00000000-0005-0000-0000-000088010000}"/>
    <cellStyle name="_Currency_Sheet1_Sheet1_Model" xfId="527" xr:uid="{00000000-0005-0000-0000-000089010000}"/>
    <cellStyle name="_Currency_Sheet1_Sheet1_Monthly CF Input" xfId="528" xr:uid="{00000000-0005-0000-0000-00008A010000}"/>
    <cellStyle name="_Currency_Sheet1_Sheet1_Property Assumptions" xfId="529" xr:uid="{00000000-0005-0000-0000-00008B010000}"/>
    <cellStyle name="_Currency_Sheet1_Sheet1_RE Valuation 2" xfId="530" xr:uid="{00000000-0005-0000-0000-00008C010000}"/>
    <cellStyle name="_Currency_Sheet1_Sheet1_Sensitivities" xfId="531" xr:uid="{00000000-0005-0000-0000-00008D010000}"/>
    <cellStyle name="_Currency_Sheet1_Sheet2" xfId="532" xr:uid="{00000000-0005-0000-0000-00008E010000}"/>
    <cellStyle name="_Currency_Sheet1_Sheet2_1" xfId="533" xr:uid="{00000000-0005-0000-0000-00008F010000}"/>
    <cellStyle name="_Currency_Sheet1_Sheet3" xfId="534" xr:uid="{00000000-0005-0000-0000-000090010000}"/>
    <cellStyle name="_Currency_Sheet1_Sheet5" xfId="535" xr:uid="{00000000-0005-0000-0000-000091010000}"/>
    <cellStyle name="_Currency_Sheet1_Structure Model_2003_test2" xfId="536" xr:uid="{00000000-0005-0000-0000-000092010000}"/>
    <cellStyle name="_Currency_Sheet1_Structure Model_2003_test2_ControlTables" xfId="537" xr:uid="{00000000-0005-0000-0000-000093010000}"/>
    <cellStyle name="_Currency_Sheet1_Structure Model_2003_test2_ControlTablesI" xfId="538" xr:uid="{00000000-0005-0000-0000-000094010000}"/>
    <cellStyle name="_Currency_Sheet1_Structure Model_2003_test2_DB_Eye" xfId="539" xr:uid="{00000000-0005-0000-0000-000095010000}"/>
    <cellStyle name="_Currency_Sheet1_Structure Model_2003_test2_Exec Summary" xfId="540" xr:uid="{00000000-0005-0000-0000-000096010000}"/>
    <cellStyle name="_Currency_Sheet1_Structure Model_2003_test2_Exec Summary_1" xfId="541" xr:uid="{00000000-0005-0000-0000-000097010000}"/>
    <cellStyle name="_Currency_Sheet1_Structure Model_2003_test2_Sheet1" xfId="542" xr:uid="{00000000-0005-0000-0000-000098010000}"/>
    <cellStyle name="_Currency_Sheet2" xfId="543" xr:uid="{00000000-0005-0000-0000-000099010000}"/>
    <cellStyle name="_Currency_Sheet2_1" xfId="544" xr:uid="{00000000-0005-0000-0000-00009A010000}"/>
    <cellStyle name="_Currency_Sheet3" xfId="545" xr:uid="{00000000-0005-0000-0000-00009B010000}"/>
    <cellStyle name="_Currency_Sheet3_1" xfId="546" xr:uid="{00000000-0005-0000-0000-00009C010000}"/>
    <cellStyle name="_Currency_Sheet3_ControlTables" xfId="547" xr:uid="{00000000-0005-0000-0000-00009D010000}"/>
    <cellStyle name="_Currency_Sheet3_ControlTablesI" xfId="548" xr:uid="{00000000-0005-0000-0000-00009E010000}"/>
    <cellStyle name="_Currency_Sheet3_DB_Eye" xfId="549" xr:uid="{00000000-0005-0000-0000-00009F010000}"/>
    <cellStyle name="_Currency_Sheet3_Exec Summary" xfId="550" xr:uid="{00000000-0005-0000-0000-0000A0010000}"/>
    <cellStyle name="_Currency_Sheet3_Exec Summary_1" xfId="551" xr:uid="{00000000-0005-0000-0000-0000A1010000}"/>
    <cellStyle name="_Currency_Sheet3_Sheet1" xfId="552" xr:uid="{00000000-0005-0000-0000-0000A2010000}"/>
    <cellStyle name="_Currency_Sheet4" xfId="553" xr:uid="{00000000-0005-0000-0000-0000A3010000}"/>
    <cellStyle name="_Currency_Sheet5" xfId="554" xr:uid="{00000000-0005-0000-0000-0000A4010000}"/>
    <cellStyle name="_Currency_Structure Model_2003_test2" xfId="555" xr:uid="{00000000-0005-0000-0000-0000A5010000}"/>
    <cellStyle name="_Currency_Structure Model_2003_test2_ControlTables" xfId="556" xr:uid="{00000000-0005-0000-0000-0000A6010000}"/>
    <cellStyle name="_Currency_Structure Model_2003_test2_ControlTablesI" xfId="557" xr:uid="{00000000-0005-0000-0000-0000A7010000}"/>
    <cellStyle name="_Currency_Structure Model_2003_test2_DB_Eye" xfId="558" xr:uid="{00000000-0005-0000-0000-0000A8010000}"/>
    <cellStyle name="_Currency_Structure Model_2003_test2_Exec Summary" xfId="559" xr:uid="{00000000-0005-0000-0000-0000A9010000}"/>
    <cellStyle name="_Currency_Structure Model_2003_test2_Exec Summary_1" xfId="560" xr:uid="{00000000-0005-0000-0000-0000AA010000}"/>
    <cellStyle name="_Currency_Structure Model_2003_test2_Sheet1" xfId="561" xr:uid="{00000000-0005-0000-0000-0000AB010000}"/>
    <cellStyle name="_CurrencySpace" xfId="562" xr:uid="{00000000-0005-0000-0000-0000AC010000}"/>
    <cellStyle name="_CurrencySpace_3-Yr Eyechart" xfId="563" xr:uid="{00000000-0005-0000-0000-0000AD010000}"/>
    <cellStyle name="_CurrencySpace_Balance Sheet" xfId="564" xr:uid="{00000000-0005-0000-0000-0000AE010000}"/>
    <cellStyle name="_CurrencySpace_Balance Sheet_ControlTables" xfId="565" xr:uid="{00000000-0005-0000-0000-0000AF010000}"/>
    <cellStyle name="_CurrencySpace_Balance Sheet_ControlTablesI" xfId="566" xr:uid="{00000000-0005-0000-0000-0000B0010000}"/>
    <cellStyle name="_CurrencySpace_Balance Sheet_DB_Eye" xfId="567" xr:uid="{00000000-0005-0000-0000-0000B1010000}"/>
    <cellStyle name="_CurrencySpace_Balance Sheet_Exec Summary" xfId="568" xr:uid="{00000000-0005-0000-0000-0000B2010000}"/>
    <cellStyle name="_CurrencySpace_Balance Sheet_Exec Summary_1" xfId="569" xr:uid="{00000000-0005-0000-0000-0000B3010000}"/>
    <cellStyle name="_CurrencySpace_Balance Sheet_Sheet1" xfId="570" xr:uid="{00000000-0005-0000-0000-0000B4010000}"/>
    <cellStyle name="_CurrencySpace_ControlTables" xfId="571" xr:uid="{00000000-0005-0000-0000-0000B5010000}"/>
    <cellStyle name="_CurrencySpace_ControlTablesI" xfId="572" xr:uid="{00000000-0005-0000-0000-0000B6010000}"/>
    <cellStyle name="_CurrencySpace_Cost Of Funds" xfId="573" xr:uid="{00000000-0005-0000-0000-0000B7010000}"/>
    <cellStyle name="_CurrencySpace_Criteria" xfId="574" xr:uid="{00000000-0005-0000-0000-0000B8010000}"/>
    <cellStyle name="_CurrencySpace_Criteria Test Export" xfId="575" xr:uid="{00000000-0005-0000-0000-0000B9010000}"/>
    <cellStyle name="_CurrencySpace_Criteria_ControlTables" xfId="576" xr:uid="{00000000-0005-0000-0000-0000BA010000}"/>
    <cellStyle name="_CurrencySpace_Criteria_ControlTablesI" xfId="577" xr:uid="{00000000-0005-0000-0000-0000BB010000}"/>
    <cellStyle name="_CurrencySpace_Criteria_DB_Eye" xfId="578" xr:uid="{00000000-0005-0000-0000-0000BC010000}"/>
    <cellStyle name="_CurrencySpace_Criteria_Exec Summary" xfId="579" xr:uid="{00000000-0005-0000-0000-0000BD010000}"/>
    <cellStyle name="_CurrencySpace_Criteria_Exec Summary_1" xfId="580" xr:uid="{00000000-0005-0000-0000-0000BE010000}"/>
    <cellStyle name="_CurrencySpace_Criteria_Sheet1" xfId="581" xr:uid="{00000000-0005-0000-0000-0000BF010000}"/>
    <cellStyle name="_CurrencySpace_Data Tape" xfId="582" xr:uid="{00000000-0005-0000-0000-0000C0010000}"/>
    <cellStyle name="_CurrencySpace_Data Tape_1" xfId="583" xr:uid="{00000000-0005-0000-0000-0000C1010000}"/>
    <cellStyle name="_CurrencySpace_Data Tape_ControlTables" xfId="584" xr:uid="{00000000-0005-0000-0000-0000C2010000}"/>
    <cellStyle name="_CurrencySpace_Data Tape_ControlTablesI" xfId="585" xr:uid="{00000000-0005-0000-0000-0000C3010000}"/>
    <cellStyle name="_CurrencySpace_Data Tape_DB_Eye" xfId="586" xr:uid="{00000000-0005-0000-0000-0000C4010000}"/>
    <cellStyle name="_CurrencySpace_Data Tape_Exec Summary" xfId="587" xr:uid="{00000000-0005-0000-0000-0000C5010000}"/>
    <cellStyle name="_CurrencySpace_Data Tape_Exec Summary_1" xfId="588" xr:uid="{00000000-0005-0000-0000-0000C6010000}"/>
    <cellStyle name="_CurrencySpace_Data Tape_Sheet1" xfId="589" xr:uid="{00000000-0005-0000-0000-0000C7010000}"/>
    <cellStyle name="_CurrencySpace_Data_Tape" xfId="590" xr:uid="{00000000-0005-0000-0000-0000C8010000}"/>
    <cellStyle name="_CurrencySpace_Database - Economics" xfId="591" xr:uid="{00000000-0005-0000-0000-0000C9010000}"/>
    <cellStyle name="_CurrencySpace_DB_Eye" xfId="592" xr:uid="{00000000-0005-0000-0000-0000CA010000}"/>
    <cellStyle name="_CurrencySpace_Deal Input" xfId="593" xr:uid="{00000000-0005-0000-0000-0000CB010000}"/>
    <cellStyle name="_CurrencySpace_Direct Cap Eye" xfId="594" xr:uid="{00000000-0005-0000-0000-0000CC010000}"/>
    <cellStyle name="_CurrencySpace_DPEM2005_vBetatest6" xfId="595" xr:uid="{00000000-0005-0000-0000-0000CD010000}"/>
    <cellStyle name="_CurrencySpace_ETR" xfId="596" xr:uid="{00000000-0005-0000-0000-0000CE010000}"/>
    <cellStyle name="_CurrencySpace_Exec Summary" xfId="597" xr:uid="{00000000-0005-0000-0000-0000CF010000}"/>
    <cellStyle name="_CurrencySpace_Exec Summary_1" xfId="598" xr:uid="{00000000-0005-0000-0000-0000D0010000}"/>
    <cellStyle name="_CurrencySpace_Existing Debt" xfId="599" xr:uid="{00000000-0005-0000-0000-0000D1010000}"/>
    <cellStyle name="_CurrencySpace_EyeChart" xfId="600" xr:uid="{00000000-0005-0000-0000-0000D2010000}"/>
    <cellStyle name="_CurrencySpace_EyeChart 090503" xfId="601" xr:uid="{00000000-0005-0000-0000-0000D3010000}"/>
    <cellStyle name="_CurrencySpace_Input" xfId="602" xr:uid="{00000000-0005-0000-0000-0000D4010000}"/>
    <cellStyle name="_CurrencySpace_Input_1" xfId="603" xr:uid="{00000000-0005-0000-0000-0000D5010000}"/>
    <cellStyle name="_CurrencySpace_Input_ControlTables" xfId="604" xr:uid="{00000000-0005-0000-0000-0000D6010000}"/>
    <cellStyle name="_CurrencySpace_Input_ControlTablesI" xfId="605" xr:uid="{00000000-0005-0000-0000-0000D7010000}"/>
    <cellStyle name="_CurrencySpace_Input_Data Tape" xfId="606" xr:uid="{00000000-0005-0000-0000-0000D8010000}"/>
    <cellStyle name="_CurrencySpace_Input_Database - Economics" xfId="607" xr:uid="{00000000-0005-0000-0000-0000D9010000}"/>
    <cellStyle name="_CurrencySpace_Input_DB_Eye" xfId="608" xr:uid="{00000000-0005-0000-0000-0000DA010000}"/>
    <cellStyle name="_CurrencySpace_Input_Exec Summary" xfId="609" xr:uid="{00000000-0005-0000-0000-0000DB010000}"/>
    <cellStyle name="_CurrencySpace_Input_Exec Summary_1" xfId="610" xr:uid="{00000000-0005-0000-0000-0000DC010000}"/>
    <cellStyle name="_CurrencySpace_Input_Sheet1" xfId="611" xr:uid="{00000000-0005-0000-0000-0000DD010000}"/>
    <cellStyle name="_CurrencySpace_JV Economics" xfId="612" xr:uid="{00000000-0005-0000-0000-0000DE010000}"/>
    <cellStyle name="_CurrencySpace_M&amp;A Feed" xfId="613" xr:uid="{00000000-0005-0000-0000-0000DF010000}"/>
    <cellStyle name="_CurrencySpace_NPV Case Eyechart" xfId="614" xr:uid="{00000000-0005-0000-0000-0000E0010000}"/>
    <cellStyle name="_CurrencySpace_Pools" xfId="615" xr:uid="{00000000-0005-0000-0000-0000E1010000}"/>
    <cellStyle name="_CurrencySpace_Pools_1" xfId="616" xr:uid="{00000000-0005-0000-0000-0000E2010000}"/>
    <cellStyle name="_CurrencySpace_Portfolio Valuation" xfId="617" xr:uid="{00000000-0005-0000-0000-0000E3010000}"/>
    <cellStyle name="_CurrencySpace_Pricing" xfId="618" xr:uid="{00000000-0005-0000-0000-0000E4010000}"/>
    <cellStyle name="_CurrencySpace_Prop 13" xfId="619" xr:uid="{00000000-0005-0000-0000-0000E5010000}"/>
    <cellStyle name="_CurrencySpace_Prop 13 Data" xfId="620" xr:uid="{00000000-0005-0000-0000-0000E6010000}"/>
    <cellStyle name="_CurrencySpace_Prop 13 Summary-11-10" xfId="621" xr:uid="{00000000-0005-0000-0000-0000E7010000}"/>
    <cellStyle name="_CurrencySpace_Property Assumptions" xfId="622" xr:uid="{00000000-0005-0000-0000-0000E8010000}"/>
    <cellStyle name="_CurrencySpace_Property Assumptions_1" xfId="623" xr:uid="{00000000-0005-0000-0000-0000E9010000}"/>
    <cellStyle name="_CurrencySpace_Quick Property Input" xfId="624" xr:uid="{00000000-0005-0000-0000-0000EA010000}"/>
    <cellStyle name="_CurrencySpace_Senario Input Assumptions" xfId="625" xr:uid="{00000000-0005-0000-0000-0000EB010000}"/>
    <cellStyle name="_CurrencySpace_Senario Input Assumptions_ControlTables" xfId="626" xr:uid="{00000000-0005-0000-0000-0000EC010000}"/>
    <cellStyle name="_CurrencySpace_Senario Input Assumptions_ControlTablesI" xfId="627" xr:uid="{00000000-0005-0000-0000-0000ED010000}"/>
    <cellStyle name="_CurrencySpace_Senario Input Assumptions_DB_Eye" xfId="628" xr:uid="{00000000-0005-0000-0000-0000EE010000}"/>
    <cellStyle name="_CurrencySpace_Senario Input Assumptions_Exec Summary" xfId="629" xr:uid="{00000000-0005-0000-0000-0000EF010000}"/>
    <cellStyle name="_CurrencySpace_Senario Input Assumptions_Exec Summary_1" xfId="630" xr:uid="{00000000-0005-0000-0000-0000F0010000}"/>
    <cellStyle name="_CurrencySpace_Senario Input Assumptions_Sheet1" xfId="631" xr:uid="{00000000-0005-0000-0000-0000F1010000}"/>
    <cellStyle name="_CurrencySpace_Sheet1" xfId="632" xr:uid="{00000000-0005-0000-0000-0000F2010000}"/>
    <cellStyle name="_CurrencySpace_Sheet1_1" xfId="633" xr:uid="{00000000-0005-0000-0000-0000F3010000}"/>
    <cellStyle name="_CurrencySpace_Sheet1_3-Yr Eyechart" xfId="634" xr:uid="{00000000-0005-0000-0000-0000F4010000}"/>
    <cellStyle name="_CurrencySpace_Sheet1_Balance Sheet" xfId="635" xr:uid="{00000000-0005-0000-0000-0000F5010000}"/>
    <cellStyle name="_CurrencySpace_Sheet1_Cost Of Funds" xfId="636" xr:uid="{00000000-0005-0000-0000-0000F6010000}"/>
    <cellStyle name="_CurrencySpace_Sheet1_Criteria" xfId="637" xr:uid="{00000000-0005-0000-0000-0000F7010000}"/>
    <cellStyle name="_CurrencySpace_Sheet1_Criteria Test Export" xfId="638" xr:uid="{00000000-0005-0000-0000-0000F8010000}"/>
    <cellStyle name="_CurrencySpace_Sheet1_Data Tape" xfId="639" xr:uid="{00000000-0005-0000-0000-0000F9010000}"/>
    <cellStyle name="_CurrencySpace_Sheet1_Data Tape_1" xfId="640" xr:uid="{00000000-0005-0000-0000-0000FA010000}"/>
    <cellStyle name="_CurrencySpace_Sheet1_Data_Tape" xfId="641" xr:uid="{00000000-0005-0000-0000-0000FB010000}"/>
    <cellStyle name="_CurrencySpace_Sheet1_Data_Tape_ControlTables" xfId="642" xr:uid="{00000000-0005-0000-0000-0000FC010000}"/>
    <cellStyle name="_CurrencySpace_Sheet1_Data_Tape_ControlTablesI" xfId="643" xr:uid="{00000000-0005-0000-0000-0000FD010000}"/>
    <cellStyle name="_CurrencySpace_Sheet1_Data_Tape_DB_Eye" xfId="644" xr:uid="{00000000-0005-0000-0000-0000FE010000}"/>
    <cellStyle name="_CurrencySpace_Sheet1_Data_Tape_Exec Summary" xfId="645" xr:uid="{00000000-0005-0000-0000-0000FF010000}"/>
    <cellStyle name="_CurrencySpace_Sheet1_Data_Tape_Exec Summary_1" xfId="646" xr:uid="{00000000-0005-0000-0000-000000020000}"/>
    <cellStyle name="_CurrencySpace_Sheet1_Data_Tape_Sheet1" xfId="647" xr:uid="{00000000-0005-0000-0000-000001020000}"/>
    <cellStyle name="_CurrencySpace_Sheet1_Database - Economics" xfId="648" xr:uid="{00000000-0005-0000-0000-000002020000}"/>
    <cellStyle name="_CurrencySpace_Sheet1_Deal Input" xfId="649" xr:uid="{00000000-0005-0000-0000-000003020000}"/>
    <cellStyle name="_CurrencySpace_Sheet1_Direct Cap Eye" xfId="650" xr:uid="{00000000-0005-0000-0000-000004020000}"/>
    <cellStyle name="_CurrencySpace_Sheet1_DPEM2005_vBetatest6" xfId="651" xr:uid="{00000000-0005-0000-0000-000005020000}"/>
    <cellStyle name="_CurrencySpace_Sheet1_ETR" xfId="652" xr:uid="{00000000-0005-0000-0000-000006020000}"/>
    <cellStyle name="_CurrencySpace_Sheet1_Existing Debt" xfId="653" xr:uid="{00000000-0005-0000-0000-000007020000}"/>
    <cellStyle name="_CurrencySpace_Sheet1_Input" xfId="654" xr:uid="{00000000-0005-0000-0000-000008020000}"/>
    <cellStyle name="_CurrencySpace_Sheet1_Input_1" xfId="655" xr:uid="{00000000-0005-0000-0000-000009020000}"/>
    <cellStyle name="_CurrencySpace_Sheet1_Input_Data Tape" xfId="656" xr:uid="{00000000-0005-0000-0000-00000A020000}"/>
    <cellStyle name="_CurrencySpace_Sheet1_Input_Database - Economics" xfId="657" xr:uid="{00000000-0005-0000-0000-00000B020000}"/>
    <cellStyle name="_CurrencySpace_Sheet1_M&amp;A Feed" xfId="658" xr:uid="{00000000-0005-0000-0000-00000C020000}"/>
    <cellStyle name="_CurrencySpace_Sheet1_NPV Case Eyechart" xfId="659" xr:uid="{00000000-0005-0000-0000-00000D020000}"/>
    <cellStyle name="_CurrencySpace_Sheet1_Pools" xfId="660" xr:uid="{00000000-0005-0000-0000-00000E020000}"/>
    <cellStyle name="_CurrencySpace_Sheet1_Pools_1" xfId="661" xr:uid="{00000000-0005-0000-0000-00000F020000}"/>
    <cellStyle name="_CurrencySpace_Sheet1_Pools_ControlTables" xfId="662" xr:uid="{00000000-0005-0000-0000-000010020000}"/>
    <cellStyle name="_CurrencySpace_Sheet1_Pools_ControlTablesI" xfId="663" xr:uid="{00000000-0005-0000-0000-000011020000}"/>
    <cellStyle name="_CurrencySpace_Sheet1_Pools_DB_Eye" xfId="664" xr:uid="{00000000-0005-0000-0000-000012020000}"/>
    <cellStyle name="_CurrencySpace_Sheet1_Pools_Exec Summary" xfId="665" xr:uid="{00000000-0005-0000-0000-000013020000}"/>
    <cellStyle name="_CurrencySpace_Sheet1_Pools_Exec Summary_1" xfId="666" xr:uid="{00000000-0005-0000-0000-000014020000}"/>
    <cellStyle name="_CurrencySpace_Sheet1_Pools_Sheet1" xfId="667" xr:uid="{00000000-0005-0000-0000-000015020000}"/>
    <cellStyle name="_CurrencySpace_Sheet1_Portfolio Valuation" xfId="668" xr:uid="{00000000-0005-0000-0000-000016020000}"/>
    <cellStyle name="_CurrencySpace_Sheet1_Prop 13" xfId="669" xr:uid="{00000000-0005-0000-0000-000017020000}"/>
    <cellStyle name="_CurrencySpace_Sheet1_Prop 13 Data" xfId="670" xr:uid="{00000000-0005-0000-0000-000018020000}"/>
    <cellStyle name="_CurrencySpace_Sheet1_Prop 13 Summary-11-10" xfId="671" xr:uid="{00000000-0005-0000-0000-000019020000}"/>
    <cellStyle name="_CurrencySpace_Sheet1_Property Assumptions" xfId="672" xr:uid="{00000000-0005-0000-0000-00001A020000}"/>
    <cellStyle name="_CurrencySpace_Sheet1_Property Assumptions_1" xfId="673" xr:uid="{00000000-0005-0000-0000-00001B020000}"/>
    <cellStyle name="_CurrencySpace_Sheet1_Quick Property Input" xfId="674" xr:uid="{00000000-0005-0000-0000-00001C020000}"/>
    <cellStyle name="_CurrencySpace_Sheet1_Senario Input Assumptions" xfId="675" xr:uid="{00000000-0005-0000-0000-00001D020000}"/>
    <cellStyle name="_CurrencySpace_Sheet1_Sheet1" xfId="676" xr:uid="{00000000-0005-0000-0000-00001E020000}"/>
    <cellStyle name="_CurrencySpace_Sheet1_Sheet2" xfId="677" xr:uid="{00000000-0005-0000-0000-00001F020000}"/>
    <cellStyle name="_CurrencySpace_Sheet1_Sheet2_1" xfId="678" xr:uid="{00000000-0005-0000-0000-000020020000}"/>
    <cellStyle name="_CurrencySpace_Sheet1_Sheet3" xfId="679" xr:uid="{00000000-0005-0000-0000-000021020000}"/>
    <cellStyle name="_CurrencySpace_Sheet1_Sheet5" xfId="680" xr:uid="{00000000-0005-0000-0000-000022020000}"/>
    <cellStyle name="_CurrencySpace_Sheet1_Structure Model_2003_test2" xfId="681" xr:uid="{00000000-0005-0000-0000-000023020000}"/>
    <cellStyle name="_CurrencySpace_Sheet2" xfId="682" xr:uid="{00000000-0005-0000-0000-000024020000}"/>
    <cellStyle name="_CurrencySpace_Sheet2_1" xfId="683" xr:uid="{00000000-0005-0000-0000-000025020000}"/>
    <cellStyle name="_CurrencySpace_Sheet3" xfId="684" xr:uid="{00000000-0005-0000-0000-000026020000}"/>
    <cellStyle name="_CurrencySpace_Sheet3_1" xfId="685" xr:uid="{00000000-0005-0000-0000-000027020000}"/>
    <cellStyle name="_CurrencySpace_Sheet4" xfId="686" xr:uid="{00000000-0005-0000-0000-000028020000}"/>
    <cellStyle name="_CurrencySpace_Sheet5" xfId="687" xr:uid="{00000000-0005-0000-0000-000029020000}"/>
    <cellStyle name="_CurrencySpace_Structure Model_2003_test2" xfId="688" xr:uid="{00000000-0005-0000-0000-00002A020000}"/>
    <cellStyle name="_CurrencySpace_Structure Model_2003_test2_ControlTables" xfId="689" xr:uid="{00000000-0005-0000-0000-00002B020000}"/>
    <cellStyle name="_CurrencySpace_Structure Model_2003_test2_ControlTablesI" xfId="690" xr:uid="{00000000-0005-0000-0000-00002C020000}"/>
    <cellStyle name="_CurrencySpace_Structure Model_2003_test2_DB_Eye" xfId="691" xr:uid="{00000000-0005-0000-0000-00002D020000}"/>
    <cellStyle name="_CurrencySpace_Structure Model_2003_test2_Exec Summary" xfId="692" xr:uid="{00000000-0005-0000-0000-00002E020000}"/>
    <cellStyle name="_CurrencySpace_Structure Model_2003_test2_Exec Summary_1" xfId="693" xr:uid="{00000000-0005-0000-0000-00002F020000}"/>
    <cellStyle name="_CurrencySpace_Structure Model_2003_test2_Sheet1" xfId="694" xr:uid="{00000000-0005-0000-0000-000030020000}"/>
    <cellStyle name="_Euro" xfId="695" xr:uid="{00000000-0005-0000-0000-000031020000}"/>
    <cellStyle name="_Euro_ControlTables" xfId="696" xr:uid="{00000000-0005-0000-0000-000032020000}"/>
    <cellStyle name="_Euro_ControlTablesI" xfId="697" xr:uid="{00000000-0005-0000-0000-000033020000}"/>
    <cellStyle name="_Euro_DB Eye" xfId="698" xr:uid="{00000000-0005-0000-0000-000034020000}"/>
    <cellStyle name="_Euro_DB_Eye" xfId="699" xr:uid="{00000000-0005-0000-0000-000035020000}"/>
    <cellStyle name="_Euro_Exec Summary" xfId="700" xr:uid="{00000000-0005-0000-0000-000036020000}"/>
    <cellStyle name="_Euro_Sheet1" xfId="701" xr:uid="{00000000-0005-0000-0000-000037020000}"/>
    <cellStyle name="_Existing Debt" xfId="702" xr:uid="{00000000-0005-0000-0000-000038020000}"/>
    <cellStyle name="_Heading" xfId="703" xr:uid="{00000000-0005-0000-0000-000039020000}"/>
    <cellStyle name="_Highlight" xfId="704" xr:uid="{00000000-0005-0000-0000-00003A020000}"/>
    <cellStyle name="_Multiple" xfId="705" xr:uid="{00000000-0005-0000-0000-00003B020000}"/>
    <cellStyle name="_Multiple_3-Yr Eyechart" xfId="706" xr:uid="{00000000-0005-0000-0000-00003C020000}"/>
    <cellStyle name="_Multiple_ARI Base Case July 25 TPS1" xfId="707" xr:uid="{00000000-0005-0000-0000-00003D020000}"/>
    <cellStyle name="_Multiple_Balance Sheet" xfId="708" xr:uid="{00000000-0005-0000-0000-00003E020000}"/>
    <cellStyle name="_Multiple_Cost Of Funds" xfId="709" xr:uid="{00000000-0005-0000-0000-00003F020000}"/>
    <cellStyle name="_Multiple_Criteria" xfId="710" xr:uid="{00000000-0005-0000-0000-000040020000}"/>
    <cellStyle name="_Multiple_Criteria Test Export" xfId="711" xr:uid="{00000000-0005-0000-0000-000041020000}"/>
    <cellStyle name="_Multiple_Data Tape" xfId="712" xr:uid="{00000000-0005-0000-0000-000042020000}"/>
    <cellStyle name="_Multiple_Data Tape_1" xfId="713" xr:uid="{00000000-0005-0000-0000-000043020000}"/>
    <cellStyle name="_Multiple_Data_Tape" xfId="714" xr:uid="{00000000-0005-0000-0000-000044020000}"/>
    <cellStyle name="_Multiple_DB_Eye" xfId="715" xr:uid="{00000000-0005-0000-0000-000045020000}"/>
    <cellStyle name="_Multiple_Deal Input" xfId="716" xr:uid="{00000000-0005-0000-0000-000046020000}"/>
    <cellStyle name="_Multiple_Direct Cap Eye" xfId="717" xr:uid="{00000000-0005-0000-0000-000047020000}"/>
    <cellStyle name="_Multiple_DPEM2005_vBetatest6" xfId="718" xr:uid="{00000000-0005-0000-0000-000048020000}"/>
    <cellStyle name="_Multiple_ETR" xfId="719" xr:uid="{00000000-0005-0000-0000-000049020000}"/>
    <cellStyle name="_Multiple_Existing Debt" xfId="720" xr:uid="{00000000-0005-0000-0000-00004A020000}"/>
    <cellStyle name="_Multiple_Existing Debt_1" xfId="721" xr:uid="{00000000-0005-0000-0000-00004B020000}"/>
    <cellStyle name="_Multiple_EyeChart" xfId="722" xr:uid="{00000000-0005-0000-0000-00004C020000}"/>
    <cellStyle name="_Multiple_EyeChart 090503" xfId="723" xr:uid="{00000000-0005-0000-0000-00004D020000}"/>
    <cellStyle name="_Multiple_Input" xfId="724" xr:uid="{00000000-0005-0000-0000-00004E020000}"/>
    <cellStyle name="_Multiple_Input_1" xfId="725" xr:uid="{00000000-0005-0000-0000-00004F020000}"/>
    <cellStyle name="_Multiple_Input_Data Tape" xfId="726" xr:uid="{00000000-0005-0000-0000-000050020000}"/>
    <cellStyle name="_Multiple_JV Economics" xfId="727" xr:uid="{00000000-0005-0000-0000-000051020000}"/>
    <cellStyle name="_Multiple_M&amp;A Feed" xfId="728" xr:uid="{00000000-0005-0000-0000-000052020000}"/>
    <cellStyle name="_Multiple_NPV Case Eyechart" xfId="729" xr:uid="{00000000-0005-0000-0000-000053020000}"/>
    <cellStyle name="_Multiple_Pools" xfId="730" xr:uid="{00000000-0005-0000-0000-000054020000}"/>
    <cellStyle name="_Multiple_Pools_1" xfId="731" xr:uid="{00000000-0005-0000-0000-000055020000}"/>
    <cellStyle name="_Multiple_Portfolio Valuation" xfId="732" xr:uid="{00000000-0005-0000-0000-000056020000}"/>
    <cellStyle name="_Multiple_Pricing" xfId="733" xr:uid="{00000000-0005-0000-0000-000057020000}"/>
    <cellStyle name="_Multiple_Prop 13" xfId="734" xr:uid="{00000000-0005-0000-0000-000058020000}"/>
    <cellStyle name="_Multiple_Prop 13 Data" xfId="735" xr:uid="{00000000-0005-0000-0000-000059020000}"/>
    <cellStyle name="_Multiple_Prop 13 Summary-11-10" xfId="736" xr:uid="{00000000-0005-0000-0000-00005A020000}"/>
    <cellStyle name="_Multiple_Property Assumptions" xfId="737" xr:uid="{00000000-0005-0000-0000-00005B020000}"/>
    <cellStyle name="_Multiple_Property Assumptions_1" xfId="738" xr:uid="{00000000-0005-0000-0000-00005C020000}"/>
    <cellStyle name="_Multiple_Quick Property Input" xfId="739" xr:uid="{00000000-0005-0000-0000-00005D020000}"/>
    <cellStyle name="_Multiple_Senario Input Assumptions" xfId="740" xr:uid="{00000000-0005-0000-0000-00005E020000}"/>
    <cellStyle name="_Multiple_Sheet1" xfId="741" xr:uid="{00000000-0005-0000-0000-00005F020000}"/>
    <cellStyle name="_Multiple_Sheet1_3-Yr Eyechart" xfId="742" xr:uid="{00000000-0005-0000-0000-000060020000}"/>
    <cellStyle name="_Multiple_Sheet1_Balance Sheet" xfId="743" xr:uid="{00000000-0005-0000-0000-000061020000}"/>
    <cellStyle name="_Multiple_Sheet1_Cost Of Funds" xfId="744" xr:uid="{00000000-0005-0000-0000-000062020000}"/>
    <cellStyle name="_Multiple_Sheet1_Criteria" xfId="745" xr:uid="{00000000-0005-0000-0000-000063020000}"/>
    <cellStyle name="_Multiple_Sheet1_Criteria Test Export" xfId="746" xr:uid="{00000000-0005-0000-0000-000064020000}"/>
    <cellStyle name="_Multiple_Sheet1_Data Tape" xfId="747" xr:uid="{00000000-0005-0000-0000-000065020000}"/>
    <cellStyle name="_Multiple_Sheet1_Data Tape_1" xfId="748" xr:uid="{00000000-0005-0000-0000-000066020000}"/>
    <cellStyle name="_Multiple_Sheet1_Data_Tape" xfId="749" xr:uid="{00000000-0005-0000-0000-000067020000}"/>
    <cellStyle name="_Multiple_Sheet1_Deal Input" xfId="750" xr:uid="{00000000-0005-0000-0000-000068020000}"/>
    <cellStyle name="_Multiple_Sheet1_Direct Cap Eye" xfId="751" xr:uid="{00000000-0005-0000-0000-000069020000}"/>
    <cellStyle name="_Multiple_Sheet1_DPEM2005_vBetatest6" xfId="752" xr:uid="{00000000-0005-0000-0000-00006A020000}"/>
    <cellStyle name="_Multiple_Sheet1_ETR" xfId="753" xr:uid="{00000000-0005-0000-0000-00006B020000}"/>
    <cellStyle name="_Multiple_Sheet1_Existing Debt" xfId="754" xr:uid="{00000000-0005-0000-0000-00006C020000}"/>
    <cellStyle name="_Multiple_Sheet1_Input" xfId="755" xr:uid="{00000000-0005-0000-0000-00006D020000}"/>
    <cellStyle name="_Multiple_Sheet1_Input_1" xfId="756" xr:uid="{00000000-0005-0000-0000-00006E020000}"/>
    <cellStyle name="_Multiple_Sheet1_Input_Data Tape" xfId="757" xr:uid="{00000000-0005-0000-0000-00006F020000}"/>
    <cellStyle name="_Multiple_Sheet1_M&amp;A Feed" xfId="758" xr:uid="{00000000-0005-0000-0000-000070020000}"/>
    <cellStyle name="_Multiple_Sheet1_NPV Case Eyechart" xfId="759" xr:uid="{00000000-0005-0000-0000-000071020000}"/>
    <cellStyle name="_Multiple_Sheet1_Pools" xfId="760" xr:uid="{00000000-0005-0000-0000-000072020000}"/>
    <cellStyle name="_Multiple_Sheet1_Pools_1" xfId="761" xr:uid="{00000000-0005-0000-0000-000073020000}"/>
    <cellStyle name="_Multiple_Sheet1_Portfolio Valuation" xfId="762" xr:uid="{00000000-0005-0000-0000-000074020000}"/>
    <cellStyle name="_Multiple_Sheet1_Prop 13" xfId="763" xr:uid="{00000000-0005-0000-0000-000075020000}"/>
    <cellStyle name="_Multiple_Sheet1_Prop 13 Data" xfId="764" xr:uid="{00000000-0005-0000-0000-000076020000}"/>
    <cellStyle name="_Multiple_Sheet1_Prop 13 Summary-11-10" xfId="765" xr:uid="{00000000-0005-0000-0000-000077020000}"/>
    <cellStyle name="_Multiple_Sheet1_Property Assumptions" xfId="766" xr:uid="{00000000-0005-0000-0000-000078020000}"/>
    <cellStyle name="_Multiple_Sheet1_Property Assumptions_1" xfId="767" xr:uid="{00000000-0005-0000-0000-000079020000}"/>
    <cellStyle name="_Multiple_Sheet1_Quick Property Input" xfId="768" xr:uid="{00000000-0005-0000-0000-00007A020000}"/>
    <cellStyle name="_Multiple_Sheet1_Senario Input Assumptions" xfId="769" xr:uid="{00000000-0005-0000-0000-00007B020000}"/>
    <cellStyle name="_Multiple_Sheet1_Sheet1" xfId="770" xr:uid="{00000000-0005-0000-0000-00007C020000}"/>
    <cellStyle name="_Multiple_Sheet1_Sheet2" xfId="771" xr:uid="{00000000-0005-0000-0000-00007D020000}"/>
    <cellStyle name="_Multiple_Sheet1_Sheet2_1" xfId="772" xr:uid="{00000000-0005-0000-0000-00007E020000}"/>
    <cellStyle name="_Multiple_Sheet1_Sheet3" xfId="773" xr:uid="{00000000-0005-0000-0000-00007F020000}"/>
    <cellStyle name="_Multiple_Sheet1_Sheet5" xfId="774" xr:uid="{00000000-0005-0000-0000-000080020000}"/>
    <cellStyle name="_Multiple_Sheet1_Structure Model_2003_test2" xfId="775" xr:uid="{00000000-0005-0000-0000-000081020000}"/>
    <cellStyle name="_Multiple_Sheet2" xfId="776" xr:uid="{00000000-0005-0000-0000-000082020000}"/>
    <cellStyle name="_Multiple_Sheet2_1" xfId="777" xr:uid="{00000000-0005-0000-0000-000083020000}"/>
    <cellStyle name="_Multiple_Sheet3" xfId="778" xr:uid="{00000000-0005-0000-0000-000084020000}"/>
    <cellStyle name="_Multiple_Sheet3_1" xfId="779" xr:uid="{00000000-0005-0000-0000-000085020000}"/>
    <cellStyle name="_Multiple_Sheet4" xfId="780" xr:uid="{00000000-0005-0000-0000-000086020000}"/>
    <cellStyle name="_Multiple_Sheet5" xfId="781" xr:uid="{00000000-0005-0000-0000-000087020000}"/>
    <cellStyle name="_Multiple_Structure Model_2003_test2" xfId="782" xr:uid="{00000000-0005-0000-0000-000088020000}"/>
    <cellStyle name="_MultipleSpace" xfId="783" xr:uid="{00000000-0005-0000-0000-000089020000}"/>
    <cellStyle name="_MultipleSpace_ARI Base Case July 25 TPS1" xfId="784" xr:uid="{00000000-0005-0000-0000-00008A020000}"/>
    <cellStyle name="_MultipleSpace_DB_Eye" xfId="785" xr:uid="{00000000-0005-0000-0000-00008B020000}"/>
    <cellStyle name="_MultipleSpace_Existing Debt" xfId="786" xr:uid="{00000000-0005-0000-0000-00008C020000}"/>
    <cellStyle name="_MultipleSpace_EyeChart" xfId="787" xr:uid="{00000000-0005-0000-0000-00008D020000}"/>
    <cellStyle name="_MultipleSpace_EyeChart 090503" xfId="788" xr:uid="{00000000-0005-0000-0000-00008E020000}"/>
    <cellStyle name="_MultipleSpace_Input" xfId="789" xr:uid="{00000000-0005-0000-0000-00008F020000}"/>
    <cellStyle name="_MultipleSpace_Input_1" xfId="790" xr:uid="{00000000-0005-0000-0000-000090020000}"/>
    <cellStyle name="_MultipleSpace_Pricing" xfId="791" xr:uid="{00000000-0005-0000-0000-000091020000}"/>
    <cellStyle name="_MultipleSpace_Sheet2" xfId="792" xr:uid="{00000000-0005-0000-0000-000092020000}"/>
    <cellStyle name="_MultipleSpace_Sheet4" xfId="793" xr:uid="{00000000-0005-0000-0000-000093020000}"/>
    <cellStyle name="_Percent" xfId="794" xr:uid="{00000000-0005-0000-0000-000094020000}"/>
    <cellStyle name="_Percent_ARI Base Case July 25 TPS1" xfId="795" xr:uid="{00000000-0005-0000-0000-000095020000}"/>
    <cellStyle name="_Percent_Existing Debt" xfId="796" xr:uid="{00000000-0005-0000-0000-000096020000}"/>
    <cellStyle name="_PercentSpace" xfId="797" xr:uid="{00000000-0005-0000-0000-000097020000}"/>
    <cellStyle name="_PercentSpace_ARI Base Case July 25 TPS1" xfId="798" xr:uid="{00000000-0005-0000-0000-000098020000}"/>
    <cellStyle name="_PercentSpace_Existing Debt" xfId="799" xr:uid="{00000000-0005-0000-0000-000099020000}"/>
    <cellStyle name="_SubHeading" xfId="800" xr:uid="{00000000-0005-0000-0000-00009A020000}"/>
    <cellStyle name="_Table" xfId="801" xr:uid="{00000000-0005-0000-0000-00009B020000}"/>
    <cellStyle name="_TableHead" xfId="802" xr:uid="{00000000-0005-0000-0000-00009C020000}"/>
    <cellStyle name="_TableRowHead" xfId="803" xr:uid="{00000000-0005-0000-0000-00009D020000}"/>
    <cellStyle name="_TableSuperHead" xfId="804" xr:uid="{00000000-0005-0000-0000-00009E020000}"/>
    <cellStyle name="0.0 x" xfId="805" xr:uid="{00000000-0005-0000-0000-0000A2020000}"/>
    <cellStyle name="000" xfId="806" xr:uid="{00000000-0005-0000-0000-0000A3020000}"/>
    <cellStyle name="1" xfId="807" xr:uid="{00000000-0005-0000-0000-0000A4020000}"/>
    <cellStyle name="1_03-05-31 Final OBS Reports" xfId="808" xr:uid="{00000000-0005-0000-0000-0000A5020000}"/>
    <cellStyle name="1_GMACCH_Loans_OBS_033103_Final_v2" xfId="809" xr:uid="{00000000-0005-0000-0000-0000A6020000}"/>
    <cellStyle name="1_Japan - 3Q02 Risk Rating Worksheet - 101602_Japan" xfId="810" xr:uid="{00000000-0005-0000-0000-0000A7020000}"/>
    <cellStyle name="1_Japan - 3Q02 Risk Rating Worksheet - 101602_Japan_Comparison vs. prior_Q2 2003" xfId="811" xr:uid="{00000000-0005-0000-0000-0000A8020000}"/>
    <cellStyle name="1_Japan - 4Q2002 - Risk Rating Worksheet_final" xfId="812" xr:uid="{00000000-0005-0000-0000-0000A9020000}"/>
    <cellStyle name="1_Japan - 4Q2002 - Risk Rating Worksheet_final_12.11.2002" xfId="813" xr:uid="{00000000-0005-0000-0000-0000AA020000}"/>
    <cellStyle name="1_Japan - 4Q2002 - Risk Rating Worksheet_final_12.11.2002_Comparison vs. prior_Q2 2003" xfId="814" xr:uid="{00000000-0005-0000-0000-0000AB020000}"/>
    <cellStyle name="1_Japan - 4Q2002 - Risk Rating Worksheet_final_Comparison vs. prior_Q2 2003" xfId="815" xr:uid="{00000000-0005-0000-0000-0000AC020000}"/>
    <cellStyle name="1_Japan-1Q2003 - Risk Rating Worksheet03.06.2003F" xfId="816" xr:uid="{00000000-0005-0000-0000-0000AD020000}"/>
    <cellStyle name="1_Japan-1Q2003 - Risk Rating Worksheet03.06.2003F_Comparison vs. prior_Q2 2003" xfId="817" xr:uid="{00000000-0005-0000-0000-0000AE020000}"/>
    <cellStyle name="1_SALEM" xfId="818" xr:uid="{00000000-0005-0000-0000-0000AF020000}"/>
    <cellStyle name="1_SALEM_03-05-31 Final OBS Reports" xfId="819" xr:uid="{00000000-0005-0000-0000-0000B0020000}"/>
    <cellStyle name="1_SALEM_GMACCH_Loans_OBS_033103_Final_v2" xfId="820" xr:uid="{00000000-0005-0000-0000-0000B1020000}"/>
    <cellStyle name="1_SALEM_Japan - 3Q02 Risk Rating Worksheet - 101602_Japan" xfId="821" xr:uid="{00000000-0005-0000-0000-0000B2020000}"/>
    <cellStyle name="1_SALEM_Japan - 3Q02 Risk Rating Worksheet - 101602_Japan_Comparison vs. prior_Q2 2003" xfId="822" xr:uid="{00000000-0005-0000-0000-0000B3020000}"/>
    <cellStyle name="1_SALEM_Japan - 4Q2002 - Risk Rating Worksheet_final" xfId="823" xr:uid="{00000000-0005-0000-0000-0000B4020000}"/>
    <cellStyle name="1_SALEM_Japan - 4Q2002 - Risk Rating Worksheet_final_12.11.2002" xfId="824" xr:uid="{00000000-0005-0000-0000-0000B5020000}"/>
    <cellStyle name="1_SALEM_Japan - 4Q2002 - Risk Rating Worksheet_final_12.11.2002_Comparison vs. prior_Q2 2003" xfId="825" xr:uid="{00000000-0005-0000-0000-0000B6020000}"/>
    <cellStyle name="1_SALEM_Japan - 4Q2002 - Risk Rating Worksheet_final_Comparison vs. prior_Q2 2003" xfId="826" xr:uid="{00000000-0005-0000-0000-0000B7020000}"/>
    <cellStyle name="1_SALEM_Japan-1Q2003 - Risk Rating Worksheet03.06.2003F" xfId="827" xr:uid="{00000000-0005-0000-0000-0000B8020000}"/>
    <cellStyle name="1_SALEM_Japan-1Q2003 - Risk Rating Worksheet03.06.2003F_Comparison vs. prior_Q2 2003" xfId="828" xr:uid="{00000000-0005-0000-0000-0000B9020000}"/>
    <cellStyle name="1_SALEM_Sheet1" xfId="829" xr:uid="{00000000-0005-0000-0000-0000BA020000}"/>
    <cellStyle name="1_SALEM_Sheet3" xfId="830" xr:uid="{00000000-0005-0000-0000-0000BB020000}"/>
    <cellStyle name="1_sec8 (2)" xfId="831" xr:uid="{00000000-0005-0000-0000-0000BC020000}"/>
    <cellStyle name="1_sec8 (2)_03-05-31 Final OBS Reports" xfId="832" xr:uid="{00000000-0005-0000-0000-0000BD020000}"/>
    <cellStyle name="1_sec8 (2)_GMACCH_Loans_OBS_033103_Final_v2" xfId="833" xr:uid="{00000000-0005-0000-0000-0000BE020000}"/>
    <cellStyle name="1_sec8 (2)_Japan - 3Q02 Risk Rating Worksheet - 101602_Japan" xfId="834" xr:uid="{00000000-0005-0000-0000-0000BF020000}"/>
    <cellStyle name="1_sec8 (2)_Japan - 3Q02 Risk Rating Worksheet - 101602_Japan_Comparison vs. prior_Q2 2003" xfId="835" xr:uid="{00000000-0005-0000-0000-0000C0020000}"/>
    <cellStyle name="1_sec8 (2)_Japan - 4Q2002 - Risk Rating Worksheet_final" xfId="836" xr:uid="{00000000-0005-0000-0000-0000C1020000}"/>
    <cellStyle name="1_sec8 (2)_Japan - 4Q2002 - Risk Rating Worksheet_final_12.11.2002" xfId="837" xr:uid="{00000000-0005-0000-0000-0000C2020000}"/>
    <cellStyle name="1_sec8 (2)_Japan - 4Q2002 - Risk Rating Worksheet_final_12.11.2002_Comparison vs. prior_Q2 2003" xfId="838" xr:uid="{00000000-0005-0000-0000-0000C3020000}"/>
    <cellStyle name="1_sec8 (2)_Japan - 4Q2002 - Risk Rating Worksheet_final_Comparison vs. prior_Q2 2003" xfId="839" xr:uid="{00000000-0005-0000-0000-0000C4020000}"/>
    <cellStyle name="1_sec8 (2)_Japan-1Q2003 - Risk Rating Worksheet03.06.2003F" xfId="840" xr:uid="{00000000-0005-0000-0000-0000C5020000}"/>
    <cellStyle name="1_sec8 (2)_Japan-1Q2003 - Risk Rating Worksheet03.06.2003F_Comparison vs. prior_Q2 2003" xfId="841" xr:uid="{00000000-0005-0000-0000-0000C6020000}"/>
    <cellStyle name="1_sec8 (2)_Sheet1" xfId="842" xr:uid="{00000000-0005-0000-0000-0000C7020000}"/>
    <cellStyle name="1_sec8 (2)_Sheet3" xfId="843" xr:uid="{00000000-0005-0000-0000-0000C8020000}"/>
    <cellStyle name="1_Sheet1" xfId="844" xr:uid="{00000000-0005-0000-0000-0000C9020000}"/>
    <cellStyle name="1_Sheet3" xfId="845" xr:uid="{00000000-0005-0000-0000-0000CA020000}"/>
    <cellStyle name="2" xfId="846" xr:uid="{00000000-0005-0000-0000-0000CB020000}"/>
    <cellStyle name="2_03-05-31 Final OBS Reports" xfId="847" xr:uid="{00000000-0005-0000-0000-0000CC020000}"/>
    <cellStyle name="2_GMACCH_Loans_OBS_033103_Final_v2" xfId="848" xr:uid="{00000000-0005-0000-0000-0000CD020000}"/>
    <cellStyle name="2_Japan - 3Q02 Risk Rating Worksheet - 101602_Japan" xfId="849" xr:uid="{00000000-0005-0000-0000-0000CE020000}"/>
    <cellStyle name="2_Japan - 3Q02 Risk Rating Worksheet - 101602_Japan_Comparison vs. prior_Q2 2003" xfId="850" xr:uid="{00000000-0005-0000-0000-0000CF020000}"/>
    <cellStyle name="2_Japan - 4Q2002 - Risk Rating Worksheet_final" xfId="851" xr:uid="{00000000-0005-0000-0000-0000D0020000}"/>
    <cellStyle name="2_Japan - 4Q2002 - Risk Rating Worksheet_final_12.11.2002" xfId="852" xr:uid="{00000000-0005-0000-0000-0000D1020000}"/>
    <cellStyle name="2_Japan - 4Q2002 - Risk Rating Worksheet_final_12.11.2002_Comparison vs. prior_Q2 2003" xfId="853" xr:uid="{00000000-0005-0000-0000-0000D2020000}"/>
    <cellStyle name="2_Japan - 4Q2002 - Risk Rating Worksheet_final_Comparison vs. prior_Q2 2003" xfId="854" xr:uid="{00000000-0005-0000-0000-0000D3020000}"/>
    <cellStyle name="2_Japan-1Q2003 - Risk Rating Worksheet03.06.2003F" xfId="855" xr:uid="{00000000-0005-0000-0000-0000D4020000}"/>
    <cellStyle name="2_Japan-1Q2003 - Risk Rating Worksheet03.06.2003F_Comparison vs. prior_Q2 2003" xfId="856" xr:uid="{00000000-0005-0000-0000-0000D5020000}"/>
    <cellStyle name="2_SALEM" xfId="857" xr:uid="{00000000-0005-0000-0000-0000D6020000}"/>
    <cellStyle name="2_SALEM_03-05-31 Final OBS Reports" xfId="858" xr:uid="{00000000-0005-0000-0000-0000D7020000}"/>
    <cellStyle name="2_SALEM_GMACCH_Loans_OBS_033103_Final_v2" xfId="859" xr:uid="{00000000-0005-0000-0000-0000D8020000}"/>
    <cellStyle name="2_SALEM_Japan - 3Q02 Risk Rating Worksheet - 101602_Japan" xfId="860" xr:uid="{00000000-0005-0000-0000-0000D9020000}"/>
    <cellStyle name="2_SALEM_Japan - 3Q02 Risk Rating Worksheet - 101602_Japan_Comparison vs. prior_Q2 2003" xfId="861" xr:uid="{00000000-0005-0000-0000-0000DA020000}"/>
    <cellStyle name="2_SALEM_Japan - 4Q2002 - Risk Rating Worksheet_final" xfId="862" xr:uid="{00000000-0005-0000-0000-0000DB020000}"/>
    <cellStyle name="2_SALEM_Japan - 4Q2002 - Risk Rating Worksheet_final_12.11.2002" xfId="863" xr:uid="{00000000-0005-0000-0000-0000DC020000}"/>
    <cellStyle name="2_SALEM_Japan - 4Q2002 - Risk Rating Worksheet_final_12.11.2002_Comparison vs. prior_Q2 2003" xfId="864" xr:uid="{00000000-0005-0000-0000-0000DD020000}"/>
    <cellStyle name="2_SALEM_Japan - 4Q2002 - Risk Rating Worksheet_final_Comparison vs. prior_Q2 2003" xfId="865" xr:uid="{00000000-0005-0000-0000-0000DE020000}"/>
    <cellStyle name="2_SALEM_Japan-1Q2003 - Risk Rating Worksheet03.06.2003F" xfId="866" xr:uid="{00000000-0005-0000-0000-0000DF020000}"/>
    <cellStyle name="2_SALEM_Japan-1Q2003 - Risk Rating Worksheet03.06.2003F_Comparison vs. prior_Q2 2003" xfId="867" xr:uid="{00000000-0005-0000-0000-0000E0020000}"/>
    <cellStyle name="2_SALEM_Sheet1" xfId="868" xr:uid="{00000000-0005-0000-0000-0000E1020000}"/>
    <cellStyle name="2_SALEM_Sheet3" xfId="869" xr:uid="{00000000-0005-0000-0000-0000E2020000}"/>
    <cellStyle name="2_Sheet1" xfId="870" xr:uid="{00000000-0005-0000-0000-0000E3020000}"/>
    <cellStyle name="2_Sheet3" xfId="871" xr:uid="{00000000-0005-0000-0000-0000E4020000}"/>
    <cellStyle name="3" xfId="872" xr:uid="{00000000-0005-0000-0000-0000E5020000}"/>
    <cellStyle name="3$" xfId="873" xr:uid="{00000000-0005-0000-0000-0000F2020000}"/>
    <cellStyle name="3_03-05-31 Final OBS Reports" xfId="874" xr:uid="{00000000-0005-0000-0000-0000E6020000}"/>
    <cellStyle name="3_GMACCH_Loans_OBS_033103_Final_v2" xfId="875" xr:uid="{00000000-0005-0000-0000-0000E7020000}"/>
    <cellStyle name="3_Japan - 3Q02 Risk Rating Worksheet - 101602_Japan" xfId="876" xr:uid="{00000000-0005-0000-0000-0000E8020000}"/>
    <cellStyle name="3_Japan - 3Q02 Risk Rating Worksheet - 101602_Japan_Comparison vs. prior_Q2 2003" xfId="877" xr:uid="{00000000-0005-0000-0000-0000E9020000}"/>
    <cellStyle name="3_Japan - 4Q2002 - Risk Rating Worksheet_final" xfId="878" xr:uid="{00000000-0005-0000-0000-0000EA020000}"/>
    <cellStyle name="3_Japan - 4Q2002 - Risk Rating Worksheet_final_12.11.2002" xfId="879" xr:uid="{00000000-0005-0000-0000-0000EB020000}"/>
    <cellStyle name="3_Japan - 4Q2002 - Risk Rating Worksheet_final_12.11.2002_Comparison vs. prior_Q2 2003" xfId="880" xr:uid="{00000000-0005-0000-0000-0000EC020000}"/>
    <cellStyle name="3_Japan - 4Q2002 - Risk Rating Worksheet_final_Comparison vs. prior_Q2 2003" xfId="881" xr:uid="{00000000-0005-0000-0000-0000ED020000}"/>
    <cellStyle name="3_Japan-1Q2003 - Risk Rating Worksheet03.06.2003F" xfId="882" xr:uid="{00000000-0005-0000-0000-0000EE020000}"/>
    <cellStyle name="3_Japan-1Q2003 - Risk Rating Worksheet03.06.2003F_Comparison vs. prior_Q2 2003" xfId="883" xr:uid="{00000000-0005-0000-0000-0000EF020000}"/>
    <cellStyle name="3_Sheet1" xfId="884" xr:uid="{00000000-0005-0000-0000-0000F0020000}"/>
    <cellStyle name="3_Sheet3" xfId="885" xr:uid="{00000000-0005-0000-0000-0000F1020000}"/>
    <cellStyle name="A" xfId="886" xr:uid="{00000000-0005-0000-0000-0000F3020000}"/>
    <cellStyle name="Actual Date" xfId="887" xr:uid="{00000000-0005-0000-0000-0000F4020000}"/>
    <cellStyle name="AFE" xfId="888" xr:uid="{00000000-0005-0000-0000-0000F5020000}"/>
    <cellStyle name="ag" xfId="889" xr:uid="{00000000-0005-0000-0000-0000F6020000}"/>
    <cellStyle name="args.style" xfId="890" xr:uid="{00000000-0005-0000-0000-0000F7020000}"/>
    <cellStyle name="Arial 10" xfId="891" xr:uid="{00000000-0005-0000-0000-0000F8020000}"/>
    <cellStyle name="Arial 12" xfId="892" xr:uid="{00000000-0005-0000-0000-0000F9020000}"/>
    <cellStyle name="BLACK" xfId="893" xr:uid="{00000000-0005-0000-0000-0000FA020000}"/>
    <cellStyle name="Blank[,]" xfId="894" xr:uid="{00000000-0005-0000-0000-0000FB020000}"/>
    <cellStyle name="Blank[1%]" xfId="895" xr:uid="{00000000-0005-0000-0000-0000FC020000}"/>
    <cellStyle name="Blue" xfId="896" xr:uid="{00000000-0005-0000-0000-0000FD020000}"/>
    <cellStyle name="blue currency" xfId="897" xr:uid="{00000000-0005-0000-0000-0000FE020000}"/>
    <cellStyle name="BLUE date" xfId="898" xr:uid="{00000000-0005-0000-0000-0000FF020000}"/>
    <cellStyle name="blue$00" xfId="899" xr:uid="{00000000-0005-0000-0000-000001030000}"/>
    <cellStyle name="BLUE_Citrix_2pgr2" xfId="900" xr:uid="{00000000-0005-0000-0000-000000030000}"/>
    <cellStyle name="Body" xfId="901" xr:uid="{00000000-0005-0000-0000-000002030000}"/>
    <cellStyle name="BOLD, 8 POINT" xfId="902" xr:uid="{00000000-0005-0000-0000-000003030000}"/>
    <cellStyle name="BoldItalicNoUnderline" xfId="903" xr:uid="{00000000-0005-0000-0000-000004030000}"/>
    <cellStyle name="BoldSDoubUnderlineBack" xfId="904" xr:uid="{00000000-0005-0000-0000-000005030000}"/>
    <cellStyle name="BoldSingUnderline" xfId="905" xr:uid="{00000000-0005-0000-0000-000006030000}"/>
    <cellStyle name="Border Heavy" xfId="906" xr:uid="{00000000-0005-0000-0000-000007030000}"/>
    <cellStyle name="Border Thin" xfId="907" xr:uid="{00000000-0005-0000-0000-000008030000}"/>
    <cellStyle name="bottomHeavy" xfId="908" xr:uid="{00000000-0005-0000-0000-000009030000}"/>
    <cellStyle name="bottomHeavy-w-left" xfId="909" xr:uid="{00000000-0005-0000-0000-00000A030000}"/>
    <cellStyle name="brad" xfId="910" xr:uid="{00000000-0005-0000-0000-00000B030000}"/>
    <cellStyle name="British Pound" xfId="911" xr:uid="{00000000-0005-0000-0000-00000C030000}"/>
    <cellStyle name="Ç¥ÁØ_¿ù°£¿ä¾àº¸°í" xfId="912" xr:uid="{00000000-0005-0000-0000-00000D030000}"/>
    <cellStyle name="Calc Currency (0)" xfId="913" xr:uid="{00000000-0005-0000-0000-00000E030000}"/>
    <cellStyle name="Calc Currency (2)" xfId="914" xr:uid="{00000000-0005-0000-0000-00000F030000}"/>
    <cellStyle name="Calc Percent (0)" xfId="915" xr:uid="{00000000-0005-0000-0000-000010030000}"/>
    <cellStyle name="Calc Percent (1)" xfId="916" xr:uid="{00000000-0005-0000-0000-000011030000}"/>
    <cellStyle name="Calc Percent (2)" xfId="917" xr:uid="{00000000-0005-0000-0000-000012030000}"/>
    <cellStyle name="Calc Units (0)" xfId="918" xr:uid="{00000000-0005-0000-0000-000013030000}"/>
    <cellStyle name="Calc Units (1)" xfId="919" xr:uid="{00000000-0005-0000-0000-000014030000}"/>
    <cellStyle name="Calc Units (2)" xfId="920" xr:uid="{00000000-0005-0000-0000-000015030000}"/>
    <cellStyle name="caps 0.00" xfId="921" xr:uid="{00000000-0005-0000-0000-000016030000}"/>
    <cellStyle name="capsdate" xfId="922" xr:uid="{00000000-0005-0000-0000-000017030000}"/>
    <cellStyle name="Case" xfId="923" xr:uid="{00000000-0005-0000-0000-000018030000}"/>
    <cellStyle name="Cash Flow Statement" xfId="924" xr:uid="{00000000-0005-0000-0000-000019030000}"/>
    <cellStyle name="Center Across" xfId="925" xr:uid="{00000000-0005-0000-0000-00001A030000}"/>
    <cellStyle name="colheadleft" xfId="926" xr:uid="{00000000-0005-0000-0000-00001B030000}"/>
    <cellStyle name="colheadright" xfId="927" xr:uid="{00000000-0005-0000-0000-00001C030000}"/>
    <cellStyle name="Column Heading" xfId="928" xr:uid="{00000000-0005-0000-0000-00001D030000}"/>
    <cellStyle name="ColumnHeading" xfId="929" xr:uid="{00000000-0005-0000-0000-00001E030000}"/>
    <cellStyle name="Comma" xfId="1360" builtinId="3"/>
    <cellStyle name="Comma [00]" xfId="930" xr:uid="{00000000-0005-0000-0000-000020030000}"/>
    <cellStyle name="Comma [1]" xfId="931" xr:uid="{00000000-0005-0000-0000-000021030000}"/>
    <cellStyle name="Comma 0" xfId="932" xr:uid="{00000000-0005-0000-0000-000022030000}"/>
    <cellStyle name="Comma 0*" xfId="933" xr:uid="{00000000-0005-0000-0000-000023030000}"/>
    <cellStyle name="Comma 2" xfId="3" xr:uid="{00000000-0005-0000-0000-000024030000}"/>
    <cellStyle name="Comma 2 10" xfId="22" xr:uid="{00000000-0005-0000-0000-000025030000}"/>
    <cellStyle name="Comma 2 2" xfId="11" xr:uid="{00000000-0005-0000-0000-000026030000}"/>
    <cellStyle name="Comma 3" xfId="17" xr:uid="{00000000-0005-0000-0000-000027030000}"/>
    <cellStyle name="Comma 4" xfId="20" xr:uid="{00000000-0005-0000-0000-000028030000}"/>
    <cellStyle name="Comma 5" xfId="934" xr:uid="{00000000-0005-0000-0000-000029030000}"/>
    <cellStyle name="Comma 6" xfId="935" xr:uid="{00000000-0005-0000-0000-00002A030000}"/>
    <cellStyle name="Comma 7" xfId="936" xr:uid="{00000000-0005-0000-0000-00002B030000}"/>
    <cellStyle name="Comma 8" xfId="1350" xr:uid="{00000000-0005-0000-0000-00002C030000}"/>
    <cellStyle name="Comma 9" xfId="1359" xr:uid="{DC164E84-3E58-4E35-9903-251FD07BA1A7}"/>
    <cellStyle name="Comma0" xfId="937" xr:uid="{00000000-0005-0000-0000-00002D030000}"/>
    <cellStyle name="Comma0 - Style3" xfId="938" xr:uid="{00000000-0005-0000-0000-00002E030000}"/>
    <cellStyle name="Comma0 - Style5" xfId="939" xr:uid="{00000000-0005-0000-0000-00002F030000}"/>
    <cellStyle name="Comma0_Criteria" xfId="940" xr:uid="{00000000-0005-0000-0000-000030030000}"/>
    <cellStyle name="Comma1 - Style1" xfId="941" xr:uid="{00000000-0005-0000-0000-000031030000}"/>
    <cellStyle name="CommaFixed" xfId="942" xr:uid="{00000000-0005-0000-0000-000032030000}"/>
    <cellStyle name="CommaNoDec" xfId="943" xr:uid="{00000000-0005-0000-0000-000033030000}"/>
    <cellStyle name="CommaNoDecTot" xfId="944" xr:uid="{00000000-0005-0000-0000-000034030000}"/>
    <cellStyle name="CommaTotTop" xfId="945" xr:uid="{00000000-0005-0000-0000-000035030000}"/>
    <cellStyle name="CommaTotTopNoDec" xfId="946" xr:uid="{00000000-0005-0000-0000-000036030000}"/>
    <cellStyle name="Copied" xfId="947" xr:uid="{00000000-0005-0000-0000-000037030000}"/>
    <cellStyle name="COST1" xfId="948" xr:uid="{00000000-0005-0000-0000-000038030000}"/>
    <cellStyle name="Curren - Style2" xfId="949" xr:uid="{00000000-0005-0000-0000-000039030000}"/>
    <cellStyle name="Curren - Style4" xfId="950" xr:uid="{00000000-0005-0000-0000-00003A030000}"/>
    <cellStyle name="Currency" xfId="18" builtinId="4"/>
    <cellStyle name="Currency [00]" xfId="951" xr:uid="{00000000-0005-0000-0000-00003C030000}"/>
    <cellStyle name="Currency [2]" xfId="952" xr:uid="{00000000-0005-0000-0000-00003D030000}"/>
    <cellStyle name="Currency 0" xfId="953" xr:uid="{00000000-0005-0000-0000-00003E030000}"/>
    <cellStyle name="Currency 2" xfId="4" xr:uid="{00000000-0005-0000-0000-00003F030000}"/>
    <cellStyle name="Currency 2 2" xfId="12" xr:uid="{00000000-0005-0000-0000-000040030000}"/>
    <cellStyle name="Currency 2 3" xfId="1355" xr:uid="{00000000-0005-0000-0000-000041030000}"/>
    <cellStyle name="Currency 3" xfId="954" xr:uid="{00000000-0005-0000-0000-000042030000}"/>
    <cellStyle name="Currency 4" xfId="955" xr:uid="{00000000-0005-0000-0000-000043030000}"/>
    <cellStyle name="Currency 5" xfId="956" xr:uid="{00000000-0005-0000-0000-000044030000}"/>
    <cellStyle name="Currency 6" xfId="957" xr:uid="{00000000-0005-0000-0000-000045030000}"/>
    <cellStyle name="Currency 7" xfId="958" xr:uid="{00000000-0005-0000-0000-000046030000}"/>
    <cellStyle name="Currency 8" xfId="1358" xr:uid="{E3B2DBE1-D04C-412B-9A10-6043A65E5AC8}"/>
    <cellStyle name="Currency0" xfId="959" xr:uid="{00000000-0005-0000-0000-000047030000}"/>
    <cellStyle name="Currency1" xfId="960" xr:uid="{00000000-0005-0000-0000-000048030000}"/>
    <cellStyle name="CurrencyTotTop[" xfId="961" xr:uid="{00000000-0005-0000-0000-000049030000}"/>
    <cellStyle name="D" xfId="962" xr:uid="{00000000-0005-0000-0000-00004A030000}"/>
    <cellStyle name="Date" xfId="963" xr:uid="{00000000-0005-0000-0000-00004B030000}"/>
    <cellStyle name="Date Aligned" xfId="964" xr:uid="{00000000-0005-0000-0000-00004C030000}"/>
    <cellStyle name="date month-year" xfId="965" xr:uid="{00000000-0005-0000-0000-00004D030000}"/>
    <cellStyle name="Date Short" xfId="966" xr:uid="{00000000-0005-0000-0000-00004E030000}"/>
    <cellStyle name="date_09.01.01_Property_Tax_Basis1" xfId="967" xr:uid="{00000000-0005-0000-0000-00004F030000}"/>
    <cellStyle name="Date1" xfId="968" xr:uid="{00000000-0005-0000-0000-000050030000}"/>
    <cellStyle name="DATETIME" xfId="969" xr:uid="{00000000-0005-0000-0000-000051030000}"/>
    <cellStyle name="decimal 0" xfId="970" xr:uid="{00000000-0005-0000-0000-000052030000}"/>
    <cellStyle name="decimal 1" xfId="971" xr:uid="{00000000-0005-0000-0000-000053030000}"/>
    <cellStyle name="decimal 2" xfId="972" xr:uid="{00000000-0005-0000-0000-000054030000}"/>
    <cellStyle name="Dollar" xfId="973" xr:uid="{00000000-0005-0000-0000-000055030000}"/>
    <cellStyle name="Dollar1" xfId="974" xr:uid="{00000000-0005-0000-0000-000056030000}"/>
    <cellStyle name="Dollar1Blue" xfId="975" xr:uid="{00000000-0005-0000-0000-000057030000}"/>
    <cellStyle name="Dollar2" xfId="976" xr:uid="{00000000-0005-0000-0000-000058030000}"/>
    <cellStyle name="Dotted Line" xfId="977" xr:uid="{00000000-0005-0000-0000-000059030000}"/>
    <cellStyle name="Double Accounting" xfId="978" xr:uid="{00000000-0005-0000-0000-00005A030000}"/>
    <cellStyle name="dp*Accent" xfId="979" xr:uid="{00000000-0005-0000-0000-00005B030000}"/>
    <cellStyle name="dp*ChartSubTitle" xfId="980" xr:uid="{00000000-0005-0000-0000-00005C030000}"/>
    <cellStyle name="dp*ChartTitle" xfId="981" xr:uid="{00000000-0005-0000-0000-00005D030000}"/>
    <cellStyle name="dp*ColumnHeading1" xfId="982" xr:uid="{00000000-0005-0000-0000-00005E030000}"/>
    <cellStyle name="dp*ColumnHeading2" xfId="983" xr:uid="{00000000-0005-0000-0000-00005F030000}"/>
    <cellStyle name="dp*ColumnHeadingDate" xfId="984" xr:uid="{00000000-0005-0000-0000-000060030000}"/>
    <cellStyle name="dp*FiscalDate" xfId="985" xr:uid="{00000000-0005-0000-0000-000061030000}"/>
    <cellStyle name="dp*Footnote" xfId="986" xr:uid="{00000000-0005-0000-0000-000062030000}"/>
    <cellStyle name="dp*Information" xfId="987" xr:uid="{00000000-0005-0000-0000-000063030000}"/>
    <cellStyle name="dp*LabelItalics" xfId="988" xr:uid="{00000000-0005-0000-0000-000064030000}"/>
    <cellStyle name="dp*LabelItalicsLineAbove" xfId="989" xr:uid="{00000000-0005-0000-0000-000065030000}"/>
    <cellStyle name="dp*LabelLine" xfId="990" xr:uid="{00000000-0005-0000-0000-000066030000}"/>
    <cellStyle name="dp*Labels" xfId="991" xr:uid="{00000000-0005-0000-0000-000067030000}"/>
    <cellStyle name="dp*Normal" xfId="992" xr:uid="{00000000-0005-0000-0000-000068030000}"/>
    <cellStyle name="dp*NormalCurrency1Dec." xfId="993" xr:uid="{00000000-0005-0000-0000-000069030000}"/>
    <cellStyle name="dp*NormalCurrency2Dec." xfId="994" xr:uid="{00000000-0005-0000-0000-00006A030000}"/>
    <cellStyle name="dp*Number%Italics" xfId="995" xr:uid="{00000000-0005-0000-0000-00006B030000}"/>
    <cellStyle name="dp*Number%ItalicsLineAbove" xfId="996" xr:uid="{00000000-0005-0000-0000-00006C030000}"/>
    <cellStyle name="dp*NumberCurrencyLine" xfId="997" xr:uid="{00000000-0005-0000-0000-00006D030000}"/>
    <cellStyle name="dp*NumberGeneral" xfId="998" xr:uid="{00000000-0005-0000-0000-00006E030000}"/>
    <cellStyle name="dp*NumberGeneral2Dec." xfId="999" xr:uid="{00000000-0005-0000-0000-00006F030000}"/>
    <cellStyle name="dp*NumberLine" xfId="1000" xr:uid="{00000000-0005-0000-0000-000070030000}"/>
    <cellStyle name="dp*NumberLineEPS" xfId="1001" xr:uid="{00000000-0005-0000-0000-000071030000}"/>
    <cellStyle name="dp*NumberSpecial" xfId="1002" xr:uid="{00000000-0005-0000-0000-000072030000}"/>
    <cellStyle name="dp*RatioX" xfId="1003" xr:uid="{00000000-0005-0000-0000-000073030000}"/>
    <cellStyle name="dp*SeriesName" xfId="1004" xr:uid="{00000000-0005-0000-0000-000074030000}"/>
    <cellStyle name="dp*SheetSubTitle" xfId="1005" xr:uid="{00000000-0005-0000-0000-000075030000}"/>
    <cellStyle name="dp*SheetTitle" xfId="1006" xr:uid="{00000000-0005-0000-0000-000076030000}"/>
    <cellStyle name="dp*SubTitle" xfId="1007" xr:uid="{00000000-0005-0000-0000-000077030000}"/>
    <cellStyle name="dp*ThickLineAbove" xfId="1008" xr:uid="{00000000-0005-0000-0000-000078030000}"/>
    <cellStyle name="dp*ThickLineBelow" xfId="1009" xr:uid="{00000000-0005-0000-0000-000079030000}"/>
    <cellStyle name="dp*ThinLineAbove" xfId="1010" xr:uid="{00000000-0005-0000-0000-00007A030000}"/>
    <cellStyle name="dp*ThinLineBelow" xfId="1011" xr:uid="{00000000-0005-0000-0000-00007B030000}"/>
    <cellStyle name="dp*XAxisTitle" xfId="1012" xr:uid="{00000000-0005-0000-0000-00007C030000}"/>
    <cellStyle name="dp*Y2AxisTitle" xfId="1013" xr:uid="{00000000-0005-0000-0000-00007D030000}"/>
    <cellStyle name="dp*YAxisTitle" xfId="1014" xr:uid="{00000000-0005-0000-0000-00007E030000}"/>
    <cellStyle name="Driver" xfId="1015" xr:uid="{00000000-0005-0000-0000-00007F030000}"/>
    <cellStyle name="Enter Currency (0)" xfId="1016" xr:uid="{00000000-0005-0000-0000-000080030000}"/>
    <cellStyle name="Enter Currency (2)" xfId="1017" xr:uid="{00000000-0005-0000-0000-000081030000}"/>
    <cellStyle name="Enter Units (0)" xfId="1018" xr:uid="{00000000-0005-0000-0000-000082030000}"/>
    <cellStyle name="Enter Units (1)" xfId="1019" xr:uid="{00000000-0005-0000-0000-000083030000}"/>
    <cellStyle name="Enter Units (2)" xfId="1020" xr:uid="{00000000-0005-0000-0000-000084030000}"/>
    <cellStyle name="Entered" xfId="1021" xr:uid="{00000000-0005-0000-0000-000085030000}"/>
    <cellStyle name="Euro" xfId="1022" xr:uid="{00000000-0005-0000-0000-000086030000}"/>
    <cellStyle name="EvenBodyShade" xfId="1023" xr:uid="{00000000-0005-0000-0000-000087030000}"/>
    <cellStyle name="EvenBodyShade 2" xfId="1024" xr:uid="{00000000-0005-0000-0000-000088030000}"/>
    <cellStyle name="EvenBodyShade 3" xfId="1025" xr:uid="{00000000-0005-0000-0000-000089030000}"/>
    <cellStyle name="EvenBodyShade 4" xfId="1026" xr:uid="{00000000-0005-0000-0000-00008A030000}"/>
    <cellStyle name="EvenBodyShade 5" xfId="1027" xr:uid="{00000000-0005-0000-0000-00008B030000}"/>
    <cellStyle name="EvenBodyShade 9" xfId="1028" xr:uid="{00000000-0005-0000-0000-00008C030000}"/>
    <cellStyle name="EY House" xfId="1029" xr:uid="{00000000-0005-0000-0000-00008D030000}"/>
    <cellStyle name="F1" xfId="1030" xr:uid="{00000000-0005-0000-0000-00008E030000}"/>
    <cellStyle name="Fixed" xfId="1031" xr:uid="{00000000-0005-0000-0000-00008F030000}"/>
    <cellStyle name="Fixed4 - Style4" xfId="1032" xr:uid="{00000000-0005-0000-0000-000090030000}"/>
    <cellStyle name="Followed Hyperlink" xfId="88" builtinId="9" hidden="1"/>
    <cellStyle name="Followed Hyperlink" xfId="89" builtinId="9" hidden="1"/>
    <cellStyle name="Followed Hyperlink" xfId="90" builtinId="9" hidden="1"/>
    <cellStyle name="Followed Hyperlink" xfId="91" builtinId="9" hidden="1"/>
    <cellStyle name="Followed Hyperlink" xfId="92" builtinId="9" hidden="1"/>
    <cellStyle name="Followed Hyperlink" xfId="93" builtinId="9" hidden="1"/>
    <cellStyle name="Followed Hyperlink" xfId="94" builtinId="9" hidden="1"/>
    <cellStyle name="Followed Hyperlink" xfId="95" builtinId="9" hidden="1"/>
    <cellStyle name="Followed Hyperlink" xfId="96" builtinId="9" hidden="1"/>
    <cellStyle name="Followed Hyperlink" xfId="97" builtinId="9" hidden="1"/>
    <cellStyle name="Followed Hyperlink" xfId="98" builtinId="9" hidden="1"/>
    <cellStyle name="Followed Hyperlink" xfId="99" builtinId="9" hidden="1"/>
    <cellStyle name="Followed Hyperlink" xfId="100" builtinId="9" hidden="1"/>
    <cellStyle name="Followed Hyperlink" xfId="101" builtinId="9" hidden="1"/>
    <cellStyle name="Followed Hyperlink" xfId="103" builtinId="9" hidden="1"/>
    <cellStyle name="Followed Hyperlink" xfId="104" builtinId="9" hidden="1"/>
    <cellStyle name="Followed Hyperlink" xfId="105" builtinId="9" hidden="1"/>
    <cellStyle name="Followed Hyperlink" xfId="106" builtinId="9" hidden="1"/>
    <cellStyle name="Followed Hyperlink" xfId="107" builtinId="9" hidden="1"/>
    <cellStyle name="Followed Hyperlink" xfId="108" builtinId="9" hidden="1"/>
    <cellStyle name="Followed Hyperlink" xfId="109" builtinId="9" hidden="1"/>
    <cellStyle name="Followed Hyperlink" xfId="110" builtinId="9" hidden="1"/>
    <cellStyle name="Followed Hyperlink" xfId="111" builtinId="9" hidden="1"/>
    <cellStyle name="Followed Hyperlink" xfId="112" builtinId="9" hidden="1"/>
    <cellStyle name="Followed Hyperlink" xfId="113" builtinId="9" hidden="1"/>
    <cellStyle name="Followed Hyperlink" xfId="114" builtinId="9" hidden="1"/>
    <cellStyle name="Followed Hyperlink" xfId="115" builtinId="9" hidden="1"/>
    <cellStyle name="Followed Hyperlink" xfId="116" builtinId="9" hidden="1"/>
    <cellStyle name="Followed Hyperlink" xfId="117" builtinId="9" hidden="1"/>
    <cellStyle name="Followed Hyperlink" xfId="119" builtinId="9" hidden="1"/>
    <cellStyle name="Followed Hyperlink" xfId="120" builtinId="9" hidden="1"/>
    <cellStyle name="Followed Hyperlink" xfId="121" builtinId="9" hidden="1"/>
    <cellStyle name="Followed Hyperlink" xfId="122" builtinId="9" hidden="1"/>
    <cellStyle name="Followed Hyperlink" xfId="123" builtinId="9" hidden="1"/>
    <cellStyle name="Followed Hyperlink" xfId="124" builtinId="9" hidden="1"/>
    <cellStyle name="Followed Hyperlink" xfId="125" builtinId="9" hidden="1"/>
    <cellStyle name="Followed Hyperlink" xfId="126" builtinId="9" hidden="1"/>
    <cellStyle name="Followed Hyperlink" xfId="1336" builtinId="9" hidden="1"/>
    <cellStyle name="Followed Hyperlink" xfId="1337" builtinId="9" hidden="1"/>
    <cellStyle name="Followed Hyperlink" xfId="1338" builtinId="9" hidden="1"/>
    <cellStyle name="Followed Hyperlink" xfId="1342" builtinId="9" hidden="1"/>
    <cellStyle name="Followed Hyperlink" xfId="1344" builtinId="9" hidden="1"/>
    <cellStyle name="Followed Hyperlink" xfId="1346" builtinId="9" hidden="1"/>
    <cellStyle name="Followed Hyperlink" xfId="118" builtinId="9" hidden="1"/>
    <cellStyle name="Followed Hyperlink" xfId="102" builtinId="9" hidden="1"/>
    <cellStyle name="Followed Hyperlink" xfId="55" builtinId="9" hidden="1"/>
    <cellStyle name="Followed Hyperlink" xfId="56" builtinId="9" hidden="1"/>
    <cellStyle name="Followed Hyperlink" xfId="57" builtinId="9" hidden="1"/>
    <cellStyle name="Followed Hyperlink" xfId="58" builtinId="9" hidden="1"/>
    <cellStyle name="Followed Hyperlink" xfId="59" builtinId="9" hidden="1"/>
    <cellStyle name="Followed Hyperlink" xfId="60" builtinId="9" hidden="1"/>
    <cellStyle name="Followed Hyperlink" xfId="61" builtinId="9" hidden="1"/>
    <cellStyle name="Followed Hyperlink" xfId="62" builtinId="9" hidden="1"/>
    <cellStyle name="Followed Hyperlink" xfId="63" builtinId="9" hidden="1"/>
    <cellStyle name="Followed Hyperlink" xfId="64" builtinId="9" hidden="1"/>
    <cellStyle name="Followed Hyperlink" xfId="65" builtinId="9" hidden="1"/>
    <cellStyle name="Followed Hyperlink" xfId="66" builtinId="9" hidden="1"/>
    <cellStyle name="Followed Hyperlink" xfId="67" builtinId="9" hidden="1"/>
    <cellStyle name="Followed Hyperlink" xfId="68" builtinId="9" hidden="1"/>
    <cellStyle name="Followed Hyperlink" xfId="69" builtinId="9" hidden="1"/>
    <cellStyle name="Followed Hyperlink" xfId="71" builtinId="9" hidden="1"/>
    <cellStyle name="Followed Hyperlink" xfId="72" builtinId="9" hidden="1"/>
    <cellStyle name="Followed Hyperlink" xfId="73" builtinId="9" hidden="1"/>
    <cellStyle name="Followed Hyperlink" xfId="74" builtinId="9" hidden="1"/>
    <cellStyle name="Followed Hyperlink" xfId="75" builtinId="9" hidden="1"/>
    <cellStyle name="Followed Hyperlink" xfId="76" builtinId="9" hidden="1"/>
    <cellStyle name="Followed Hyperlink" xfId="77" builtinId="9" hidden="1"/>
    <cellStyle name="Followed Hyperlink" xfId="78" builtinId="9" hidden="1"/>
    <cellStyle name="Followed Hyperlink" xfId="79" builtinId="9" hidden="1"/>
    <cellStyle name="Followed Hyperlink" xfId="80" builtinId="9" hidden="1"/>
    <cellStyle name="Followed Hyperlink" xfId="81" builtinId="9" hidden="1"/>
    <cellStyle name="Followed Hyperlink" xfId="82" builtinId="9" hidden="1"/>
    <cellStyle name="Followed Hyperlink" xfId="83" builtinId="9" hidden="1"/>
    <cellStyle name="Followed Hyperlink" xfId="84" builtinId="9" hidden="1"/>
    <cellStyle name="Followed Hyperlink" xfId="85" builtinId="9" hidden="1"/>
    <cellStyle name="Followed Hyperlink" xfId="86" builtinId="9" hidden="1"/>
    <cellStyle name="Followed Hyperlink" xfId="87" builtinId="9" hidden="1"/>
    <cellStyle name="Followed Hyperlink" xfId="70" builtinId="9" hidden="1"/>
    <cellStyle name="Followed Hyperlink" xfId="40" builtinId="9" hidden="1"/>
    <cellStyle name="Followed Hyperlink" xfId="41" builtinId="9" hidden="1"/>
    <cellStyle name="Followed Hyperlink" xfId="42" builtinId="9" hidden="1"/>
    <cellStyle name="Followed Hyperlink" xfId="43" builtinId="9" hidden="1"/>
    <cellStyle name="Followed Hyperlink" xfId="44" builtinId="9" hidden="1"/>
    <cellStyle name="Followed Hyperlink" xfId="45" builtinId="9" hidden="1"/>
    <cellStyle name="Followed Hyperlink" xfId="46" builtinId="9" hidden="1"/>
    <cellStyle name="Followed Hyperlink" xfId="47" builtinId="9" hidden="1"/>
    <cellStyle name="Followed Hyperlink" xfId="48" builtinId="9" hidden="1"/>
    <cellStyle name="Followed Hyperlink" xfId="49" builtinId="9" hidden="1"/>
    <cellStyle name="Followed Hyperlink" xfId="50" builtinId="9" hidden="1"/>
    <cellStyle name="Followed Hyperlink" xfId="51" builtinId="9" hidden="1"/>
    <cellStyle name="Followed Hyperlink" xfId="52" builtinId="9" hidden="1"/>
    <cellStyle name="Followed Hyperlink" xfId="53" builtinId="9" hidden="1"/>
    <cellStyle name="Followed Hyperlink" xfId="54" builtinId="9" hidden="1"/>
    <cellStyle name="Followed Hyperlink" xfId="32" builtinId="9" hidden="1"/>
    <cellStyle name="Followed Hyperlink" xfId="33" builtinId="9" hidden="1"/>
    <cellStyle name="Followed Hyperlink" xfId="34" builtinId="9" hidden="1"/>
    <cellStyle name="Followed Hyperlink" xfId="35" builtinId="9" hidden="1"/>
    <cellStyle name="Followed Hyperlink" xfId="36" builtinId="9" hidden="1"/>
    <cellStyle name="Followed Hyperlink" xfId="37" builtinId="9" hidden="1"/>
    <cellStyle name="Followed Hyperlink" xfId="38" builtinId="9" hidden="1"/>
    <cellStyle name="Followed Hyperlink" xfId="39" builtinId="9" hidden="1"/>
    <cellStyle name="Followed Hyperlink" xfId="28" builtinId="9" hidden="1"/>
    <cellStyle name="Followed Hyperlink" xfId="29" builtinId="9" hidden="1"/>
    <cellStyle name="Followed Hyperlink" xfId="30" builtinId="9" hidden="1"/>
    <cellStyle name="Followed Hyperlink" xfId="31" builtinId="9" hidden="1"/>
    <cellStyle name="Followed Hyperlink" xfId="26" builtinId="9" hidden="1"/>
    <cellStyle name="Followed Hyperlink" xfId="27" builtinId="9" hidden="1"/>
    <cellStyle name="Followed Hyperlink" xfId="25" builtinId="9" hidden="1"/>
    <cellStyle name="Footnote" xfId="1033" xr:uid="{00000000-0005-0000-0000-0000FD030000}"/>
    <cellStyle name="general" xfId="1034" xr:uid="{00000000-0005-0000-0000-0000FE030000}"/>
    <cellStyle name="Good 2" xfId="1345" xr:uid="{00000000-0005-0000-0000-0000FF030000}"/>
    <cellStyle name="GrandTotal" xfId="1035" xr:uid="{00000000-0005-0000-0000-000000040000}"/>
    <cellStyle name="Grey" xfId="1036" xr:uid="{00000000-0005-0000-0000-000001040000}"/>
    <cellStyle name="Hard Percent" xfId="1037" xr:uid="{00000000-0005-0000-0000-000002040000}"/>
    <cellStyle name="Head 1" xfId="1038" xr:uid="{00000000-0005-0000-0000-000003040000}"/>
    <cellStyle name="Head0" xfId="1039" xr:uid="{00000000-0005-0000-0000-000004040000}"/>
    <cellStyle name="Head1" xfId="1040" xr:uid="{00000000-0005-0000-0000-000005040000}"/>
    <cellStyle name="Head2" xfId="1041" xr:uid="{00000000-0005-0000-0000-000006040000}"/>
    <cellStyle name="Head3" xfId="1042" xr:uid="{00000000-0005-0000-0000-000007040000}"/>
    <cellStyle name="Head4" xfId="1043" xr:uid="{00000000-0005-0000-0000-000008040000}"/>
    <cellStyle name="Head5" xfId="1044" xr:uid="{00000000-0005-0000-0000-000009040000}"/>
    <cellStyle name="Head6" xfId="1045" xr:uid="{00000000-0005-0000-0000-00000A040000}"/>
    <cellStyle name="Head7" xfId="1046" xr:uid="{00000000-0005-0000-0000-00000B040000}"/>
    <cellStyle name="Head8" xfId="1047" xr:uid="{00000000-0005-0000-0000-00000C040000}"/>
    <cellStyle name="Head9" xfId="1048" xr:uid="{00000000-0005-0000-0000-00000D040000}"/>
    <cellStyle name="HEADER" xfId="1049" xr:uid="{00000000-0005-0000-0000-00000E040000}"/>
    <cellStyle name="Header1" xfId="1050" xr:uid="{00000000-0005-0000-0000-00000F040000}"/>
    <cellStyle name="Header2" xfId="1051" xr:uid="{00000000-0005-0000-0000-000010040000}"/>
    <cellStyle name="Heading" xfId="1052" xr:uid="{00000000-0005-0000-0000-000011040000}"/>
    <cellStyle name="Heading 2 2" xfId="1351" xr:uid="{00000000-0005-0000-0000-000012040000}"/>
    <cellStyle name="Heading Left" xfId="1053" xr:uid="{00000000-0005-0000-0000-000013040000}"/>
    <cellStyle name="Heading Right" xfId="1054" xr:uid="{00000000-0005-0000-0000-000014040000}"/>
    <cellStyle name="Heading1" xfId="1055" xr:uid="{00000000-0005-0000-0000-000015040000}"/>
    <cellStyle name="Heading2" xfId="1056" xr:uid="{00000000-0005-0000-0000-000016040000}"/>
    <cellStyle name="HeadingS" xfId="1057" xr:uid="{00000000-0005-0000-0000-000017040000}"/>
    <cellStyle name="HEADINGSTOP" xfId="1058" xr:uid="{00000000-0005-0000-0000-000018040000}"/>
    <cellStyle name="Headline" xfId="1059" xr:uid="{00000000-0005-0000-0000-000019040000}"/>
    <cellStyle name="HeadShade" xfId="1060" xr:uid="{00000000-0005-0000-0000-00001A040000}"/>
    <cellStyle name="HeadShade 2" xfId="1061" xr:uid="{00000000-0005-0000-0000-00001B040000}"/>
    <cellStyle name="HeadShade 3" xfId="1062" xr:uid="{00000000-0005-0000-0000-00001C040000}"/>
    <cellStyle name="HeadShade 4" xfId="1063" xr:uid="{00000000-0005-0000-0000-00001D040000}"/>
    <cellStyle name="HeadShade 5" xfId="1064" xr:uid="{00000000-0005-0000-0000-00001E040000}"/>
    <cellStyle name="HeadShade 9" xfId="1065" xr:uid="{00000000-0005-0000-0000-00001F040000}"/>
    <cellStyle name="helv narrow 8" xfId="1066" xr:uid="{00000000-0005-0000-0000-000020040000}"/>
    <cellStyle name="Hidden" xfId="1067" xr:uid="{00000000-0005-0000-0000-000021040000}"/>
    <cellStyle name="Hide" xfId="1068" xr:uid="{00000000-0005-0000-0000-000022040000}"/>
    <cellStyle name="HIGHLIGHT" xfId="1069" xr:uid="{00000000-0005-0000-0000-000023040000}"/>
    <cellStyle name="Hyperlink" xfId="1343" builtinId="8" hidden="1"/>
    <cellStyle name="Hyperlink" xfId="1341" builtinId="8" hidden="1"/>
    <cellStyle name="Hyperlink 2" xfId="1357" xr:uid="{3D23AB57-93B8-4255-940A-082865DDDD0E}"/>
    <cellStyle name="I" xfId="1070" xr:uid="{00000000-0005-0000-0000-000026040000}"/>
    <cellStyle name="Input [yellow]" xfId="1071" xr:uid="{00000000-0005-0000-0000-000027040000}"/>
    <cellStyle name="Input Comma" xfId="1072" xr:uid="{00000000-0005-0000-0000-000028040000}"/>
    <cellStyle name="Input Comma [0]" xfId="1073" xr:uid="{00000000-0005-0000-0000-000029040000}"/>
    <cellStyle name="Input Currency" xfId="1074" xr:uid="{00000000-0005-0000-0000-00002A040000}"/>
    <cellStyle name="Input Currency [0]" xfId="1075" xr:uid="{00000000-0005-0000-0000-00002B040000}"/>
    <cellStyle name="Input Percent" xfId="1076" xr:uid="{00000000-0005-0000-0000-00002C040000}"/>
    <cellStyle name="Input Percent [0]" xfId="1077" xr:uid="{00000000-0005-0000-0000-00002D040000}"/>
    <cellStyle name="Inputs" xfId="1078" xr:uid="{00000000-0005-0000-0000-00002E040000}"/>
    <cellStyle name="Italics" xfId="1079" xr:uid="{00000000-0005-0000-0000-00002F040000}"/>
    <cellStyle name="Lable8Left" xfId="1080" xr:uid="{00000000-0005-0000-0000-000030040000}"/>
    <cellStyle name="left" xfId="1081" xr:uid="{00000000-0005-0000-0000-000031040000}"/>
    <cellStyle name="Ligne" xfId="1082" xr:uid="{00000000-0005-0000-0000-000032040000}"/>
    <cellStyle name="Lines" xfId="1083" xr:uid="{00000000-0005-0000-0000-000033040000}"/>
    <cellStyle name="Link Currency (0)" xfId="1084" xr:uid="{00000000-0005-0000-0000-000034040000}"/>
    <cellStyle name="Link Currency (2)" xfId="1085" xr:uid="{00000000-0005-0000-0000-000035040000}"/>
    <cellStyle name="Link Units (0)" xfId="1086" xr:uid="{00000000-0005-0000-0000-000036040000}"/>
    <cellStyle name="Link Units (1)" xfId="1087" xr:uid="{00000000-0005-0000-0000-000037040000}"/>
    <cellStyle name="Link Units (2)" xfId="1088" xr:uid="{00000000-0005-0000-0000-000038040000}"/>
    <cellStyle name="Linked" xfId="1089" xr:uid="{00000000-0005-0000-0000-000039040000}"/>
    <cellStyle name="LISAM" xfId="1090" xr:uid="{00000000-0005-0000-0000-00003A040000}"/>
    <cellStyle name="M" xfId="1091" xr:uid="{00000000-0005-0000-0000-00003B040000}"/>
    <cellStyle name="Margins" xfId="1092" xr:uid="{00000000-0005-0000-0000-00003C040000}"/>
    <cellStyle name="Migliaia (0)_Foglio1 (2)" xfId="1093" xr:uid="{00000000-0005-0000-0000-00003D040000}"/>
    <cellStyle name="Migliaia_Foglio1 (2)" xfId="1094" xr:uid="{00000000-0005-0000-0000-00003E040000}"/>
    <cellStyle name="Millares [0]_results" xfId="1095" xr:uid="{00000000-0005-0000-0000-00003F040000}"/>
    <cellStyle name="Millares_results" xfId="1096" xr:uid="{00000000-0005-0000-0000-000040040000}"/>
    <cellStyle name="Milliers [0]_!!!GO" xfId="1097" xr:uid="{00000000-0005-0000-0000-000041040000}"/>
    <cellStyle name="Milliers_!!!GO" xfId="1098" xr:uid="{00000000-0005-0000-0000-000042040000}"/>
    <cellStyle name="Moeda [0]_Arrendamiraflores" xfId="1099" xr:uid="{00000000-0005-0000-0000-000043040000}"/>
    <cellStyle name="Moeda_Arrendamiraflores" xfId="1100" xr:uid="{00000000-0005-0000-0000-000044040000}"/>
    <cellStyle name="Moneda [0]_results" xfId="1101" xr:uid="{00000000-0005-0000-0000-000045040000}"/>
    <cellStyle name="Moneda_results" xfId="1102" xr:uid="{00000000-0005-0000-0000-000046040000}"/>
    <cellStyle name="Monétaire [0]_!!!GO" xfId="1103" xr:uid="{00000000-0005-0000-0000-000047040000}"/>
    <cellStyle name="Monétaire_!!!GO" xfId="1104" xr:uid="{00000000-0005-0000-0000-000048040000}"/>
    <cellStyle name="MSectionHeadings" xfId="1105" xr:uid="{00000000-0005-0000-0000-000049040000}"/>
    <cellStyle name="Multiple" xfId="1106" xr:uid="{00000000-0005-0000-0000-00004A040000}"/>
    <cellStyle name="Multiple (no x)" xfId="1107" xr:uid="{00000000-0005-0000-0000-00004B040000}"/>
    <cellStyle name="Multiple (with x)" xfId="1108" xr:uid="{00000000-0005-0000-0000-00004C040000}"/>
    <cellStyle name="Multiple_09.01.01_Property_Tax_Basis1" xfId="1109" xr:uid="{00000000-0005-0000-0000-00004D040000}"/>
    <cellStyle name="no dec" xfId="1110" xr:uid="{00000000-0005-0000-0000-00004E040000}"/>
    <cellStyle name="nodle1" xfId="1111" xr:uid="{00000000-0005-0000-0000-00004F040000}"/>
    <cellStyle name="Normal" xfId="0" builtinId="0"/>
    <cellStyle name="Normal - Style1" xfId="1112" xr:uid="{00000000-0005-0000-0000-000051040000}"/>
    <cellStyle name="Normal 10" xfId="1347" xr:uid="{00000000-0005-0000-0000-000052040000}"/>
    <cellStyle name="Normal 11" xfId="1348" xr:uid="{00000000-0005-0000-0000-000053040000}"/>
    <cellStyle name="Normal 12" xfId="1352" xr:uid="{00000000-0005-0000-0000-000054040000}"/>
    <cellStyle name="Normal 13" xfId="1349" xr:uid="{00000000-0005-0000-0000-000055040000}"/>
    <cellStyle name="Normal 2" xfId="2" xr:uid="{00000000-0005-0000-0000-000056040000}"/>
    <cellStyle name="Normal 2 2" xfId="5" xr:uid="{00000000-0005-0000-0000-000057040000}"/>
    <cellStyle name="Normal 2 3" xfId="9" xr:uid="{00000000-0005-0000-0000-000058040000}"/>
    <cellStyle name="Normal 2 4" xfId="1356" xr:uid="{00000000-0005-0000-0000-000059040000}"/>
    <cellStyle name="Normal 3" xfId="6" xr:uid="{00000000-0005-0000-0000-00005A040000}"/>
    <cellStyle name="Normal 3 3" xfId="21" xr:uid="{00000000-0005-0000-0000-00005B040000}"/>
    <cellStyle name="Normal 4" xfId="15" xr:uid="{00000000-0005-0000-0000-00005C040000}"/>
    <cellStyle name="Normal 4 2" xfId="23" xr:uid="{00000000-0005-0000-0000-00005D040000}"/>
    <cellStyle name="Normal 5" xfId="19" xr:uid="{00000000-0005-0000-0000-00005E040000}"/>
    <cellStyle name="Normal 6" xfId="127" xr:uid="{00000000-0005-0000-0000-00005F040000}"/>
    <cellStyle name="Normal 6 2" xfId="1334" xr:uid="{00000000-0005-0000-0000-000060040000}"/>
    <cellStyle name="Normal 6 3" xfId="1353" xr:uid="{00000000-0005-0000-0000-000061040000}"/>
    <cellStyle name="Normal 7" xfId="129" xr:uid="{00000000-0005-0000-0000-000062040000}"/>
    <cellStyle name="Normal 7 2" xfId="1332" xr:uid="{00000000-0005-0000-0000-000063040000}"/>
    <cellStyle name="Normal 7 3" xfId="1339" xr:uid="{00000000-0005-0000-0000-000064040000}"/>
    <cellStyle name="Normal 8" xfId="1113" xr:uid="{00000000-0005-0000-0000-000065040000}"/>
    <cellStyle name="Normal 9" xfId="1331" xr:uid="{00000000-0005-0000-0000-000066040000}"/>
    <cellStyle name="Normal_Simple pro-forma" xfId="14" xr:uid="{00000000-0005-0000-0000-000068040000}"/>
    <cellStyle name="NormalBack" xfId="1114" xr:uid="{00000000-0005-0000-0000-00006A040000}"/>
    <cellStyle name="NormalBorder" xfId="1115" xr:uid="{00000000-0005-0000-0000-00006B040000}"/>
    <cellStyle name="Normale_INVENTARIO AL 31.12.99 Con composizioni2BUSSI" xfId="1116" xr:uid="{00000000-0005-0000-0000-00006C040000}"/>
    <cellStyle name="NormalGB" xfId="1117" xr:uid="{00000000-0005-0000-0000-00006D040000}"/>
    <cellStyle name="NormalLeft" xfId="1118" xr:uid="{00000000-0005-0000-0000-00006E040000}"/>
    <cellStyle name="NormalNumber%" xfId="1119" xr:uid="{00000000-0005-0000-0000-00006F040000}"/>
    <cellStyle name="NormalRightNum" xfId="1120" xr:uid="{00000000-0005-0000-0000-000070040000}"/>
    <cellStyle name="NormalRightPercent" xfId="1121" xr:uid="{00000000-0005-0000-0000-000071040000}"/>
    <cellStyle name="nPlode" xfId="1122" xr:uid="{00000000-0005-0000-0000-000072040000}"/>
    <cellStyle name="nPlode1" xfId="1123" xr:uid="{00000000-0005-0000-0000-000073040000}"/>
    <cellStyle name="nPlode2" xfId="1124" xr:uid="{00000000-0005-0000-0000-000074040000}"/>
    <cellStyle name="nPlode3" xfId="1125" xr:uid="{00000000-0005-0000-0000-000075040000}"/>
    <cellStyle name="nPlosion" xfId="1126" xr:uid="{00000000-0005-0000-0000-000076040000}"/>
    <cellStyle name="NPRO" xfId="1127" xr:uid="{00000000-0005-0000-0000-000077040000}"/>
    <cellStyle name="Num0Un" xfId="1128" xr:uid="{00000000-0005-0000-0000-000078040000}"/>
    <cellStyle name="Num1" xfId="1129" xr:uid="{00000000-0005-0000-0000-000079040000}"/>
    <cellStyle name="Num1Blue" xfId="1130" xr:uid="{00000000-0005-0000-0000-00007A040000}"/>
    <cellStyle name="Num2" xfId="1131" xr:uid="{00000000-0005-0000-0000-00007B040000}"/>
    <cellStyle name="Num2Un" xfId="1132" xr:uid="{00000000-0005-0000-0000-00007C040000}"/>
    <cellStyle name="Number" xfId="1133" xr:uid="{00000000-0005-0000-0000-00007D040000}"/>
    <cellStyle name="OddBodyShade" xfId="1134" xr:uid="{00000000-0005-0000-0000-00007E040000}"/>
    <cellStyle name="OddBodyShade 2" xfId="1135" xr:uid="{00000000-0005-0000-0000-00007F040000}"/>
    <cellStyle name="OddBodyShade 3" xfId="1136" xr:uid="{00000000-0005-0000-0000-000080040000}"/>
    <cellStyle name="OddBodyShade 4" xfId="1137" xr:uid="{00000000-0005-0000-0000-000081040000}"/>
    <cellStyle name="OddBodyShade 5" xfId="1138" xr:uid="{00000000-0005-0000-0000-000082040000}"/>
    <cellStyle name="OddBodyShade 9" xfId="1139" xr:uid="{00000000-0005-0000-0000-000083040000}"/>
    <cellStyle name="Œ…‹æØ‚è [0.00]_!!!GO" xfId="1140" xr:uid="{00000000-0005-0000-0000-000084040000}"/>
    <cellStyle name="Œ…‹æØ‚è_!!!GO" xfId="1141" xr:uid="{00000000-0005-0000-0000-000085040000}"/>
    <cellStyle name="One Pager Input" xfId="1142" xr:uid="{00000000-0005-0000-0000-000086040000}"/>
    <cellStyle name="OutlineSpec" xfId="1143" xr:uid="{00000000-0005-0000-0000-000087040000}"/>
    <cellStyle name="Output Amounts" xfId="1144" xr:uid="{00000000-0005-0000-0000-000088040000}"/>
    <cellStyle name="Output Column Headings" xfId="1145" xr:uid="{00000000-0005-0000-0000-000089040000}"/>
    <cellStyle name="Output Line Items" xfId="1146" xr:uid="{00000000-0005-0000-0000-00008A040000}"/>
    <cellStyle name="Output Report Heading" xfId="1147" xr:uid="{00000000-0005-0000-0000-00008B040000}"/>
    <cellStyle name="Output Report Title" xfId="1148" xr:uid="{00000000-0005-0000-0000-00008C040000}"/>
    <cellStyle name="Overscore" xfId="1149" xr:uid="{00000000-0005-0000-0000-00008D040000}"/>
    <cellStyle name="Overscore 2" xfId="1150" xr:uid="{00000000-0005-0000-0000-00008E040000}"/>
    <cellStyle name="Overscore 3" xfId="1151" xr:uid="{00000000-0005-0000-0000-00008F040000}"/>
    <cellStyle name="Overscore 4" xfId="1152" xr:uid="{00000000-0005-0000-0000-000090040000}"/>
    <cellStyle name="Overscore 5" xfId="1153" xr:uid="{00000000-0005-0000-0000-000091040000}"/>
    <cellStyle name="Overscore 9" xfId="1154" xr:uid="{00000000-0005-0000-0000-000092040000}"/>
    <cellStyle name="Overunder" xfId="1155" xr:uid="{00000000-0005-0000-0000-000093040000}"/>
    <cellStyle name="P" xfId="1156" xr:uid="{00000000-0005-0000-0000-000094040000}"/>
    <cellStyle name="Page Heading" xfId="1157" xr:uid="{00000000-0005-0000-0000-000095040000}"/>
    <cellStyle name="Page Heading Large" xfId="1158" xr:uid="{00000000-0005-0000-0000-000096040000}"/>
    <cellStyle name="Page Heading Small" xfId="1159" xr:uid="{00000000-0005-0000-0000-000097040000}"/>
    <cellStyle name="Page Number" xfId="1160" xr:uid="{00000000-0005-0000-0000-000098040000}"/>
    <cellStyle name="Page Title (Blue/Gray)" xfId="1161" xr:uid="{00000000-0005-0000-0000-000099040000}"/>
    <cellStyle name="patterns" xfId="1162" xr:uid="{00000000-0005-0000-0000-00009A040000}"/>
    <cellStyle name="PB Table Heading" xfId="1163" xr:uid="{00000000-0005-0000-0000-00009B040000}"/>
    <cellStyle name="PB Table Highlight1" xfId="1164" xr:uid="{00000000-0005-0000-0000-00009C040000}"/>
    <cellStyle name="PB Table Highlight2" xfId="1165" xr:uid="{00000000-0005-0000-0000-00009D040000}"/>
    <cellStyle name="PB Table Highlight3" xfId="1166" xr:uid="{00000000-0005-0000-0000-00009E040000}"/>
    <cellStyle name="PB Table Standard Row" xfId="1167" xr:uid="{00000000-0005-0000-0000-00009F040000}"/>
    <cellStyle name="PB Table Subtotal Row" xfId="1168" xr:uid="{00000000-0005-0000-0000-0000A0040000}"/>
    <cellStyle name="PB Table Total Row" xfId="1169" xr:uid="{00000000-0005-0000-0000-0000A1040000}"/>
    <cellStyle name="pb_page_heading_LS" xfId="1170" xr:uid="{00000000-0005-0000-0000-0000A2040000}"/>
    <cellStyle name="per.style" xfId="1171" xr:uid="{00000000-0005-0000-0000-0000A3040000}"/>
    <cellStyle name="Perc1" xfId="1172" xr:uid="{00000000-0005-0000-0000-0000A4040000}"/>
    <cellStyle name="Percen - Style1" xfId="1173" xr:uid="{00000000-0005-0000-0000-0000A5040000}"/>
    <cellStyle name="Percen - Style2" xfId="1174" xr:uid="{00000000-0005-0000-0000-0000A6040000}"/>
    <cellStyle name="Percen - Style3" xfId="1175" xr:uid="{00000000-0005-0000-0000-0000A7040000}"/>
    <cellStyle name="Percent" xfId="1" builtinId="5"/>
    <cellStyle name="Percent [0%]" xfId="1176" xr:uid="{00000000-0005-0000-0000-0000AB040000}"/>
    <cellStyle name="Percent [0.00%]" xfId="1177" xr:uid="{00000000-0005-0000-0000-0000A9040000}"/>
    <cellStyle name="Percent [0]" xfId="1178" xr:uid="{00000000-0005-0000-0000-0000AA040000}"/>
    <cellStyle name="Percent [00]" xfId="1179" xr:uid="{00000000-0005-0000-0000-0000AC040000}"/>
    <cellStyle name="Percent [2]" xfId="1180" xr:uid="{00000000-0005-0000-0000-0000AD040000}"/>
    <cellStyle name="percent 1 decimal" xfId="1181" xr:uid="{00000000-0005-0000-0000-0000AE040000}"/>
    <cellStyle name="Percent 2" xfId="7" xr:uid="{00000000-0005-0000-0000-0000AF040000}"/>
    <cellStyle name="Percent 2 2" xfId="8" xr:uid="{00000000-0005-0000-0000-0000B0040000}"/>
    <cellStyle name="Percent 2 2 2" xfId="24" xr:uid="{00000000-0005-0000-0000-0000B1040000}"/>
    <cellStyle name="Percent 2 3" xfId="10" xr:uid="{00000000-0005-0000-0000-0000B2040000}"/>
    <cellStyle name="percent 2 decimal" xfId="1182" xr:uid="{00000000-0005-0000-0000-0000B3040000}"/>
    <cellStyle name="Percent 3" xfId="13" xr:uid="{00000000-0005-0000-0000-0000B4040000}"/>
    <cellStyle name="Percent 4" xfId="16" xr:uid="{00000000-0005-0000-0000-0000B5040000}"/>
    <cellStyle name="Percent 5" xfId="128" xr:uid="{00000000-0005-0000-0000-0000B6040000}"/>
    <cellStyle name="Percent 5 2" xfId="1335" xr:uid="{00000000-0005-0000-0000-0000B7040000}"/>
    <cellStyle name="Percent 5 3" xfId="1354" xr:uid="{00000000-0005-0000-0000-0000B8040000}"/>
    <cellStyle name="Percent 6" xfId="130" xr:uid="{00000000-0005-0000-0000-0000B9040000}"/>
    <cellStyle name="Percent 6 2" xfId="1333" xr:uid="{00000000-0005-0000-0000-0000BA040000}"/>
    <cellStyle name="Percent 6 3" xfId="1340" xr:uid="{00000000-0005-0000-0000-0000BB040000}"/>
    <cellStyle name="Percent Hard" xfId="1183" xr:uid="{00000000-0005-0000-0000-0000BC040000}"/>
    <cellStyle name="percent no decimal" xfId="1184" xr:uid="{00000000-0005-0000-0000-0000BD040000}"/>
    <cellStyle name="Percent(4places)TotTop" xfId="1185" xr:uid="{00000000-0005-0000-0000-0000BE040000}"/>
    <cellStyle name="Percent1" xfId="1186" xr:uid="{00000000-0005-0000-0000-0000BF040000}"/>
    <cellStyle name="Percent1Blue" xfId="1187" xr:uid="{00000000-0005-0000-0000-0000C0040000}"/>
    <cellStyle name="Percent2" xfId="1188" xr:uid="{00000000-0005-0000-0000-0000C1040000}"/>
    <cellStyle name="Percent2Blue" xfId="1189" xr:uid="{00000000-0005-0000-0000-0000C2040000}"/>
    <cellStyle name="PercentTotal" xfId="1190" xr:uid="{00000000-0005-0000-0000-0000C3040000}"/>
    <cellStyle name="Pounds" xfId="1191" xr:uid="{00000000-0005-0000-0000-0000C4040000}"/>
    <cellStyle name="Pourcentage_agree" xfId="1192" xr:uid="{00000000-0005-0000-0000-0000C5040000}"/>
    <cellStyle name="PrePop Currency (0)" xfId="1193" xr:uid="{00000000-0005-0000-0000-0000C6040000}"/>
    <cellStyle name="PrePop Currency (2)" xfId="1194" xr:uid="{00000000-0005-0000-0000-0000C7040000}"/>
    <cellStyle name="PrePop Units (0)" xfId="1195" xr:uid="{00000000-0005-0000-0000-0000C8040000}"/>
    <cellStyle name="PrePop Units (1)" xfId="1196" xr:uid="{00000000-0005-0000-0000-0000C9040000}"/>
    <cellStyle name="PrePop Units (2)" xfId="1197" xr:uid="{00000000-0005-0000-0000-0000CA040000}"/>
    <cellStyle name="Price" xfId="1198" xr:uid="{00000000-0005-0000-0000-0000CB040000}"/>
    <cellStyle name="PriceUn" xfId="1199" xr:uid="{00000000-0005-0000-0000-0000CC040000}"/>
    <cellStyle name="pricing" xfId="1200" xr:uid="{00000000-0005-0000-0000-0000CD040000}"/>
    <cellStyle name="PSChar" xfId="1201" xr:uid="{00000000-0005-0000-0000-0000CE040000}"/>
    <cellStyle name="PSDate" xfId="1202" xr:uid="{00000000-0005-0000-0000-0000CF040000}"/>
    <cellStyle name="PSDec" xfId="1203" xr:uid="{00000000-0005-0000-0000-0000D0040000}"/>
    <cellStyle name="PSHeading" xfId="1204" xr:uid="{00000000-0005-0000-0000-0000D1040000}"/>
    <cellStyle name="PSInt" xfId="1205" xr:uid="{00000000-0005-0000-0000-0000D2040000}"/>
    <cellStyle name="PSSpacer" xfId="1206" xr:uid="{00000000-0005-0000-0000-0000D3040000}"/>
    <cellStyle name="Reg1" xfId="1207" xr:uid="{00000000-0005-0000-0000-0000D4040000}"/>
    <cellStyle name="Reg2" xfId="1208" xr:uid="{00000000-0005-0000-0000-0000D5040000}"/>
    <cellStyle name="Reg3" xfId="1209" xr:uid="{00000000-0005-0000-0000-0000D6040000}"/>
    <cellStyle name="Reg4" xfId="1210" xr:uid="{00000000-0005-0000-0000-0000D7040000}"/>
    <cellStyle name="Reg5" xfId="1211" xr:uid="{00000000-0005-0000-0000-0000D8040000}"/>
    <cellStyle name="Reg6" xfId="1212" xr:uid="{00000000-0005-0000-0000-0000D9040000}"/>
    <cellStyle name="Reg7" xfId="1213" xr:uid="{00000000-0005-0000-0000-0000DA040000}"/>
    <cellStyle name="Reg8" xfId="1214" xr:uid="{00000000-0005-0000-0000-0000DB040000}"/>
    <cellStyle name="Reg9" xfId="1215" xr:uid="{00000000-0005-0000-0000-0000DC040000}"/>
    <cellStyle name="regstoresfromspecstores" xfId="1216" xr:uid="{00000000-0005-0000-0000-0000DD040000}"/>
    <cellStyle name="RevList" xfId="1217" xr:uid="{00000000-0005-0000-0000-0000DE040000}"/>
    <cellStyle name="Right" xfId="1218" xr:uid="{00000000-0005-0000-0000-0000DF040000}"/>
    <cellStyle name="s" xfId="1219" xr:uid="{00000000-0005-0000-0000-0000E0040000}"/>
    <cellStyle name="Salomon Logo" xfId="1220" xr:uid="{00000000-0005-0000-0000-0000E1040000}"/>
    <cellStyle name="ScotchRule" xfId="1221" xr:uid="{00000000-0005-0000-0000-0000E2040000}"/>
    <cellStyle name="Second Heading_dynex lihtcperm" xfId="1222" xr:uid="{00000000-0005-0000-0000-0000E3040000}"/>
    <cellStyle name="Separador de milhares [0]_Arrendamiraflores" xfId="1223" xr:uid="{00000000-0005-0000-0000-0000E4040000}"/>
    <cellStyle name="Shaded" xfId="1224" xr:uid="{00000000-0005-0000-0000-0000E5040000}"/>
    <cellStyle name="SHADEDSTORES" xfId="1225" xr:uid="{00000000-0005-0000-0000-0000E6040000}"/>
    <cellStyle name="Single Accounting" xfId="1226" xr:uid="{00000000-0005-0000-0000-0000E7040000}"/>
    <cellStyle name="Small Page Heading" xfId="1227" xr:uid="{00000000-0005-0000-0000-0000E8040000}"/>
    <cellStyle name="Sous-Total" xfId="1228" xr:uid="{00000000-0005-0000-0000-0000E9040000}"/>
    <cellStyle name="SpecialHeader" xfId="1229" xr:uid="{00000000-0005-0000-0000-0000EA040000}"/>
    <cellStyle name="specstores" xfId="1230" xr:uid="{00000000-0005-0000-0000-0000EB040000}"/>
    <cellStyle name="Standaard_Almere" xfId="1231" xr:uid="{00000000-0005-0000-0000-0000EC040000}"/>
    <cellStyle name="Standard_1CC-N-12" xfId="1232" xr:uid="{00000000-0005-0000-0000-0000ED040000}"/>
    <cellStyle name="Style 1" xfId="1233" xr:uid="{00000000-0005-0000-0000-0000EE040000}"/>
    <cellStyle name="Style１" xfId="1234" xr:uid="{00000000-0005-0000-0000-0000EF040000}"/>
    <cellStyle name="subhead" xfId="1235" xr:uid="{00000000-0005-0000-0000-0000F0040000}"/>
    <cellStyle name="SubHeader" xfId="1236" xr:uid="{00000000-0005-0000-0000-0000F1040000}"/>
    <cellStyle name="Subscribers" xfId="1237" xr:uid="{00000000-0005-0000-0000-0000F2040000}"/>
    <cellStyle name="Subtitle" xfId="1238" xr:uid="{00000000-0005-0000-0000-0000F3040000}"/>
    <cellStyle name="SubTotal" xfId="1239" xr:uid="{00000000-0005-0000-0000-0000F4040000}"/>
    <cellStyle name="T" xfId="1240" xr:uid="{00000000-0005-0000-0000-0000F5040000}"/>
    <cellStyle name="Table Col Head" xfId="1241" xr:uid="{00000000-0005-0000-0000-0000F6040000}"/>
    <cellStyle name="Table Head" xfId="1242" xr:uid="{00000000-0005-0000-0000-0000F7040000}"/>
    <cellStyle name="Table Head Aligned" xfId="1243" xr:uid="{00000000-0005-0000-0000-0000F8040000}"/>
    <cellStyle name="Table Head Blue" xfId="1244" xr:uid="{00000000-0005-0000-0000-0000F9040000}"/>
    <cellStyle name="Table Head Green" xfId="1245" xr:uid="{00000000-0005-0000-0000-0000FA040000}"/>
    <cellStyle name="Table Head_Alamosa Bids II" xfId="1246" xr:uid="{00000000-0005-0000-0000-0000FB040000}"/>
    <cellStyle name="Table Heading" xfId="1247" xr:uid="{00000000-0005-0000-0000-0000FC040000}"/>
    <cellStyle name="Table Sub Head" xfId="1248" xr:uid="{00000000-0005-0000-0000-0000FD040000}"/>
    <cellStyle name="Table Text" xfId="1249" xr:uid="{00000000-0005-0000-0000-0000FE040000}"/>
    <cellStyle name="Table Title" xfId="1250" xr:uid="{00000000-0005-0000-0000-0000FF040000}"/>
    <cellStyle name="Table Units" xfId="1251" xr:uid="{00000000-0005-0000-0000-000000050000}"/>
    <cellStyle name="Table_Header" xfId="1252" xr:uid="{00000000-0005-0000-0000-000001050000}"/>
    <cellStyle name="TableBody_sbcpac" xfId="1253" xr:uid="{00000000-0005-0000-0000-000002050000}"/>
    <cellStyle name="Text 1" xfId="1254" xr:uid="{00000000-0005-0000-0000-000003050000}"/>
    <cellStyle name="Text 8" xfId="1255" xr:uid="{00000000-0005-0000-0000-000004050000}"/>
    <cellStyle name="Text Head 1" xfId="1256" xr:uid="{00000000-0005-0000-0000-000005050000}"/>
    <cellStyle name="Text Indent A" xfId="1257" xr:uid="{00000000-0005-0000-0000-000006050000}"/>
    <cellStyle name="Text Indent B" xfId="1258" xr:uid="{00000000-0005-0000-0000-000007050000}"/>
    <cellStyle name="Text Indent C" xfId="1259" xr:uid="{00000000-0005-0000-0000-000008050000}"/>
    <cellStyle name="TIME" xfId="1260" xr:uid="{00000000-0005-0000-0000-000009050000}"/>
    <cellStyle name="Times 10" xfId="1261" xr:uid="{00000000-0005-0000-0000-00000A050000}"/>
    <cellStyle name="Times 12" xfId="1262" xr:uid="{00000000-0005-0000-0000-00000B050000}"/>
    <cellStyle name="Times New Roman" xfId="1263" xr:uid="{00000000-0005-0000-0000-00000C050000}"/>
    <cellStyle name="times roman" xfId="1264" xr:uid="{00000000-0005-0000-0000-00000D050000}"/>
    <cellStyle name="Title1" xfId="1265" xr:uid="{00000000-0005-0000-0000-00000E050000}"/>
    <cellStyle name="Title10" xfId="1266" xr:uid="{00000000-0005-0000-0000-00000F050000}"/>
    <cellStyle name="Title2" xfId="1267" xr:uid="{00000000-0005-0000-0000-000010050000}"/>
    <cellStyle name="Title8" xfId="1268" xr:uid="{00000000-0005-0000-0000-000011050000}"/>
    <cellStyle name="Title8Left" xfId="1269" xr:uid="{00000000-0005-0000-0000-000012050000}"/>
    <cellStyle name="TitleCenter" xfId="1270" xr:uid="{00000000-0005-0000-0000-000013050000}"/>
    <cellStyle name="TitleLeft" xfId="1271" xr:uid="{00000000-0005-0000-0000-000014050000}"/>
    <cellStyle name="TitleOther" xfId="1272" xr:uid="{00000000-0005-0000-0000-000015050000}"/>
    <cellStyle name="Titolo1" xfId="1273" xr:uid="{00000000-0005-0000-0000-000016050000}"/>
    <cellStyle name="Titolo2" xfId="1274" xr:uid="{00000000-0005-0000-0000-000017050000}"/>
    <cellStyle name="Titolo3" xfId="1275" xr:uid="{00000000-0005-0000-0000-000018050000}"/>
    <cellStyle name="topline" xfId="1276" xr:uid="{00000000-0005-0000-0000-000019050000}"/>
    <cellStyle name="TopThick" xfId="1277" xr:uid="{00000000-0005-0000-0000-00001A050000}"/>
    <cellStyle name="Total1" xfId="1278" xr:uid="{00000000-0005-0000-0000-00001B050000}"/>
    <cellStyle name="Total2" xfId="1279" xr:uid="{00000000-0005-0000-0000-00001C050000}"/>
    <cellStyle name="Total3" xfId="1280" xr:uid="{00000000-0005-0000-0000-00001D050000}"/>
    <cellStyle name="Total4" xfId="1281" xr:uid="{00000000-0005-0000-0000-00001E050000}"/>
    <cellStyle name="Total5" xfId="1282" xr:uid="{00000000-0005-0000-0000-00001F050000}"/>
    <cellStyle name="Total6" xfId="1283" xr:uid="{00000000-0005-0000-0000-000020050000}"/>
    <cellStyle name="Total7" xfId="1284" xr:uid="{00000000-0005-0000-0000-000021050000}"/>
    <cellStyle name="Total8" xfId="1285" xr:uid="{00000000-0005-0000-0000-000022050000}"/>
    <cellStyle name="Total9" xfId="1286" xr:uid="{00000000-0005-0000-0000-000023050000}"/>
    <cellStyle name="Totals" xfId="1287" xr:uid="{00000000-0005-0000-0000-000024050000}"/>
    <cellStyle name="TotalsComma" xfId="1288" xr:uid="{00000000-0005-0000-0000-000025050000}"/>
    <cellStyle name="TotShade" xfId="1289" xr:uid="{00000000-0005-0000-0000-000026050000}"/>
    <cellStyle name="TotShade 2" xfId="1290" xr:uid="{00000000-0005-0000-0000-000027050000}"/>
    <cellStyle name="TotShade 3" xfId="1291" xr:uid="{00000000-0005-0000-0000-000028050000}"/>
    <cellStyle name="TotShade 4" xfId="1292" xr:uid="{00000000-0005-0000-0000-000029050000}"/>
    <cellStyle name="TotShade 5" xfId="1293" xr:uid="{00000000-0005-0000-0000-00002A050000}"/>
    <cellStyle name="TotShade 9" xfId="1294" xr:uid="{00000000-0005-0000-0000-00002B050000}"/>
    <cellStyle name="TransVal" xfId="1295" xr:uid="{00000000-0005-0000-0000-00002C050000}"/>
    <cellStyle name="ubordinated Debt" xfId="1296" xr:uid="{00000000-0005-0000-0000-00002D050000}"/>
    <cellStyle name="underline 1 decimal" xfId="1297" xr:uid="{00000000-0005-0000-0000-00002E050000}"/>
    <cellStyle name="underline 2 decimals" xfId="1298" xr:uid="{00000000-0005-0000-0000-00002F050000}"/>
    <cellStyle name="underline flush left" xfId="1299" xr:uid="{00000000-0005-0000-0000-000030050000}"/>
    <cellStyle name="underline no decimals" xfId="1300" xr:uid="{00000000-0005-0000-0000-000031050000}"/>
    <cellStyle name="Underline_Single" xfId="1301" xr:uid="{00000000-0005-0000-0000-000032050000}"/>
    <cellStyle name="Underscore" xfId="1302" xr:uid="{00000000-0005-0000-0000-000033050000}"/>
    <cellStyle name="Underscore 2" xfId="1303" xr:uid="{00000000-0005-0000-0000-000034050000}"/>
    <cellStyle name="Underscore 3" xfId="1304" xr:uid="{00000000-0005-0000-0000-000035050000}"/>
    <cellStyle name="Underscore 4" xfId="1305" xr:uid="{00000000-0005-0000-0000-000036050000}"/>
    <cellStyle name="Underscore 5" xfId="1306" xr:uid="{00000000-0005-0000-0000-000037050000}"/>
    <cellStyle name="Underscore 9" xfId="1307" xr:uid="{00000000-0005-0000-0000-000038050000}"/>
    <cellStyle name="Unprot" xfId="1308" xr:uid="{00000000-0005-0000-0000-000039050000}"/>
    <cellStyle name="Unprot$" xfId="1309" xr:uid="{00000000-0005-0000-0000-00003A050000}"/>
    <cellStyle name="Unprotect" xfId="1310" xr:uid="{00000000-0005-0000-0000-00003B050000}"/>
    <cellStyle name="User_Defined_A" xfId="1311" xr:uid="{00000000-0005-0000-0000-00003C050000}"/>
    <cellStyle name="Valuta (0)_Foglio1 (2)" xfId="1312" xr:uid="{00000000-0005-0000-0000-00003D050000}"/>
    <cellStyle name="Valuta_Foglio1 (2)" xfId="1313" xr:uid="{00000000-0005-0000-0000-00003E050000}"/>
    <cellStyle name="Vírgula_Arrendamiraflores" xfId="1314" xr:uid="{00000000-0005-0000-0000-00003F050000}"/>
    <cellStyle name="White" xfId="1315" xr:uid="{00000000-0005-0000-0000-000040050000}"/>
    <cellStyle name="y" xfId="1316" xr:uid="{00000000-0005-0000-0000-000041050000}"/>
    <cellStyle name="y_Citrix_2pgr2" xfId="1317" xr:uid="{00000000-0005-0000-0000-000042050000}"/>
    <cellStyle name="y_Iron-Steel" xfId="1318" xr:uid="{00000000-0005-0000-0000-000043050000}"/>
    <cellStyle name="y_MERQ_6-14_V8" xfId="1319" xr:uid="{00000000-0005-0000-0000-000044050000}"/>
    <cellStyle name="y_RATL_SRNA synergies" xfId="1320" xr:uid="{00000000-0005-0000-0000-000045050000}"/>
    <cellStyle name="y_Valuation_Jan2" xfId="1321" xr:uid="{00000000-0005-0000-0000-000046050000}"/>
    <cellStyle name="year" xfId="1322" xr:uid="{00000000-0005-0000-0000-000047050000}"/>
    <cellStyle name="Yen" xfId="1323" xr:uid="{00000000-0005-0000-0000-000048050000}"/>
    <cellStyle name="YES NO" xfId="1324" xr:uid="{00000000-0005-0000-0000-000049050000}"/>
    <cellStyle name="型番" xfId="1325" xr:uid="{00000000-0005-0000-0000-00004A050000}"/>
    <cellStyle name="桁区切り [0.00]_Book2" xfId="1326" xr:uid="{00000000-0005-0000-0000-00004B050000}"/>
    <cellStyle name="桁区切り_AssetBalance Template" xfId="1327" xr:uid="{00000000-0005-0000-0000-00004C050000}"/>
    <cellStyle name="標準_1Q01SS-backup_Megalon 3Q2" xfId="1328" xr:uid="{00000000-0005-0000-0000-00004D050000}"/>
    <cellStyle name="通貨 [0.00]_Book2" xfId="1329" xr:uid="{00000000-0005-0000-0000-00004E050000}"/>
    <cellStyle name="通貨_Book2" xfId="1330" xr:uid="{00000000-0005-0000-0000-00004F050000}"/>
  </cellStyles>
  <dxfs count="377"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b/>
        <i val="0"/>
        <strike val="0"/>
        <color rgb="FFFF0000"/>
      </font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ill>
        <patternFill>
          <bgColor rgb="FFFFFF00"/>
        </patternFill>
      </fill>
    </dxf>
  </dxfs>
  <tableStyles count="0" defaultTableStyle="TableStyleMedium9" defaultPivotStyle="PivotStyleLight16"/>
  <colors>
    <mruColors>
      <color rgb="FF0432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2.xml"/><Relationship Id="rId39" Type="http://schemas.openxmlformats.org/officeDocument/2006/relationships/externalLink" Target="externalLinks/externalLink15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10.xml"/><Relationship Id="rId42" Type="http://schemas.openxmlformats.org/officeDocument/2006/relationships/externalLink" Target="externalLinks/externalLink18.xml"/><Relationship Id="rId47" Type="http://schemas.openxmlformats.org/officeDocument/2006/relationships/externalLink" Target="externalLinks/externalLink23.xml"/><Relationship Id="rId50" Type="http://schemas.openxmlformats.org/officeDocument/2006/relationships/styles" Target="styles.xml"/><Relationship Id="rId55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externalLink" Target="externalLinks/externalLink5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externalLink" Target="externalLinks/externalLink8.xml"/><Relationship Id="rId37" Type="http://schemas.openxmlformats.org/officeDocument/2006/relationships/externalLink" Target="externalLinks/externalLink13.xml"/><Relationship Id="rId40" Type="http://schemas.openxmlformats.org/officeDocument/2006/relationships/externalLink" Target="externalLinks/externalLink16.xml"/><Relationship Id="rId45" Type="http://schemas.openxmlformats.org/officeDocument/2006/relationships/externalLink" Target="externalLinks/externalLink21.xml"/><Relationship Id="rId53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externalLink" Target="externalLinks/externalLink7.xml"/><Relationship Id="rId44" Type="http://schemas.openxmlformats.org/officeDocument/2006/relationships/externalLink" Target="externalLinks/externalLink20.xml"/><Relationship Id="rId52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externalLink" Target="externalLinks/externalLink3.xml"/><Relationship Id="rId30" Type="http://schemas.openxmlformats.org/officeDocument/2006/relationships/externalLink" Target="externalLinks/externalLink6.xml"/><Relationship Id="rId35" Type="http://schemas.openxmlformats.org/officeDocument/2006/relationships/externalLink" Target="externalLinks/externalLink11.xml"/><Relationship Id="rId43" Type="http://schemas.openxmlformats.org/officeDocument/2006/relationships/externalLink" Target="externalLinks/externalLink19.xml"/><Relationship Id="rId48" Type="http://schemas.openxmlformats.org/officeDocument/2006/relationships/externalLink" Target="externalLinks/externalLink24.xml"/><Relationship Id="rId8" Type="http://schemas.openxmlformats.org/officeDocument/2006/relationships/worksheet" Target="worksheets/sheet8.xml"/><Relationship Id="rId51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1.xml"/><Relationship Id="rId33" Type="http://schemas.openxmlformats.org/officeDocument/2006/relationships/externalLink" Target="externalLinks/externalLink9.xml"/><Relationship Id="rId38" Type="http://schemas.openxmlformats.org/officeDocument/2006/relationships/externalLink" Target="externalLinks/externalLink14.xml"/><Relationship Id="rId46" Type="http://schemas.openxmlformats.org/officeDocument/2006/relationships/externalLink" Target="externalLinks/externalLink22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17.xml"/><Relationship Id="rId54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externalLink" Target="externalLinks/externalLink4.xml"/><Relationship Id="rId36" Type="http://schemas.openxmlformats.org/officeDocument/2006/relationships/externalLink" Target="externalLinks/externalLink12.xml"/><Relationship Id="rId4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hyperlink" Target="#'Table of Contents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86</xdr:row>
      <xdr:rowOff>6350</xdr:rowOff>
    </xdr:from>
    <xdr:to>
      <xdr:col>6</xdr:col>
      <xdr:colOff>574062</xdr:colOff>
      <xdr:row>121</xdr:row>
      <xdr:rowOff>178140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820C725-9FF4-4C3C-AB3E-9DE22C09A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0" y="15843250"/>
          <a:ext cx="11321725" cy="6617040"/>
        </a:xfrm>
        <a:prstGeom prst="rect">
          <a:avLst/>
        </a:prstGeom>
      </xdr:spPr>
    </xdr:pic>
    <xdr:clientData/>
  </xdr:twoCellAnchor>
  <xdr:twoCellAnchor editAs="oneCell">
    <xdr:from>
      <xdr:col>1</xdr:col>
      <xdr:colOff>115458</xdr:colOff>
      <xdr:row>8</xdr:row>
      <xdr:rowOff>115787</xdr:rowOff>
    </xdr:from>
    <xdr:to>
      <xdr:col>2</xdr:col>
      <xdr:colOff>888674</xdr:colOff>
      <xdr:row>16</xdr:row>
      <xdr:rowOff>106028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52E5A59-AE5B-40C0-98A2-109E7D7C5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7367" y="1593605"/>
          <a:ext cx="2227943" cy="1468059"/>
        </a:xfrm>
        <a:prstGeom prst="rect">
          <a:avLst/>
        </a:prstGeom>
      </xdr:spPr>
    </xdr:pic>
    <xdr:clientData/>
  </xdr:twoCellAnchor>
  <xdr:twoCellAnchor editAs="oneCell">
    <xdr:from>
      <xdr:col>2</xdr:col>
      <xdr:colOff>1315442</xdr:colOff>
      <xdr:row>8</xdr:row>
      <xdr:rowOff>126261</xdr:rowOff>
    </xdr:from>
    <xdr:to>
      <xdr:col>3</xdr:col>
      <xdr:colOff>1681433</xdr:colOff>
      <xdr:row>16</xdr:row>
      <xdr:rowOff>126283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A5C6A54D-E0E7-44EA-AD9B-8A0083980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82078" y="1604079"/>
          <a:ext cx="2247900" cy="1477840"/>
        </a:xfrm>
        <a:prstGeom prst="rect">
          <a:avLst/>
        </a:prstGeom>
      </xdr:spPr>
    </xdr:pic>
    <xdr:clientData/>
  </xdr:twoCellAnchor>
  <xdr:twoCellAnchor editAs="oneCell">
    <xdr:from>
      <xdr:col>4</xdr:col>
      <xdr:colOff>504587</xdr:colOff>
      <xdr:row>8</xdr:row>
      <xdr:rowOff>17500</xdr:rowOff>
    </xdr:from>
    <xdr:to>
      <xdr:col>4</xdr:col>
      <xdr:colOff>1755655</xdr:colOff>
      <xdr:row>16</xdr:row>
      <xdr:rowOff>173576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3FF6085-0C27-42BF-9B4C-7B729AE85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69678" y="1495318"/>
          <a:ext cx="1251068" cy="1633894"/>
        </a:xfrm>
        <a:prstGeom prst="rect">
          <a:avLst/>
        </a:prstGeom>
      </xdr:spPr>
    </xdr:pic>
    <xdr:clientData/>
  </xdr:twoCellAnchor>
  <xdr:twoCellAnchor editAs="oneCell">
    <xdr:from>
      <xdr:col>4</xdr:col>
      <xdr:colOff>2463225</xdr:colOff>
      <xdr:row>6</xdr:row>
      <xdr:rowOff>173183</xdr:rowOff>
    </xdr:from>
    <xdr:to>
      <xdr:col>5</xdr:col>
      <xdr:colOff>968894</xdr:colOff>
      <xdr:row>17</xdr:row>
      <xdr:rowOff>28040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50D9D64-1A7C-4340-BAB7-969125A0C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328316" y="1281547"/>
          <a:ext cx="1265033" cy="1886857"/>
        </a:xfrm>
        <a:prstGeom prst="rect">
          <a:avLst/>
        </a:prstGeom>
      </xdr:spPr>
    </xdr:pic>
    <xdr:clientData/>
  </xdr:twoCellAnchor>
  <xdr:twoCellAnchor editAs="oneCell">
    <xdr:from>
      <xdr:col>6</xdr:col>
      <xdr:colOff>1584118</xdr:colOff>
      <xdr:row>8</xdr:row>
      <xdr:rowOff>84946</xdr:rowOff>
    </xdr:from>
    <xdr:to>
      <xdr:col>8</xdr:col>
      <xdr:colOff>182218</xdr:colOff>
      <xdr:row>16</xdr:row>
      <xdr:rowOff>131128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E7E0F2F7-2588-4894-BD5B-321629ADA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848027" y="1562764"/>
          <a:ext cx="2304191" cy="1524000"/>
        </a:xfrm>
        <a:prstGeom prst="rect">
          <a:avLst/>
        </a:prstGeom>
      </xdr:spPr>
    </xdr:pic>
    <xdr:clientData/>
  </xdr:twoCellAnchor>
  <xdr:twoCellAnchor editAs="oneCell">
    <xdr:from>
      <xdr:col>7</xdr:col>
      <xdr:colOff>1881003</xdr:colOff>
      <xdr:row>8</xdr:row>
      <xdr:rowOff>112159</xdr:rowOff>
    </xdr:from>
    <xdr:to>
      <xdr:col>8</xdr:col>
      <xdr:colOff>2255736</xdr:colOff>
      <xdr:row>16</xdr:row>
      <xdr:rowOff>117520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6919745-800D-437D-A993-887617EF0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807458" y="1589977"/>
          <a:ext cx="2249715" cy="1483179"/>
        </a:xfrm>
        <a:prstGeom prst="rect">
          <a:avLst/>
        </a:prstGeom>
      </xdr:spPr>
    </xdr:pic>
    <xdr:clientData/>
  </xdr:twoCellAnchor>
  <xdr:twoCellAnchor editAs="oneCell">
    <xdr:from>
      <xdr:col>5</xdr:col>
      <xdr:colOff>1255076</xdr:colOff>
      <xdr:row>7</xdr:row>
      <xdr:rowOff>124529</xdr:rowOff>
    </xdr:from>
    <xdr:to>
      <xdr:col>6</xdr:col>
      <xdr:colOff>1503417</xdr:colOff>
      <xdr:row>16</xdr:row>
      <xdr:rowOff>158341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9CC5E55-D1A1-4659-ADA4-FF366D24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625531" y="1417620"/>
          <a:ext cx="2291886" cy="1696357"/>
        </a:xfrm>
        <a:prstGeom prst="rect">
          <a:avLst/>
        </a:prstGeom>
      </xdr:spPr>
    </xdr:pic>
    <xdr:clientData/>
  </xdr:twoCellAnchor>
  <xdr:twoCellAnchor editAs="oneCell">
    <xdr:from>
      <xdr:col>8</xdr:col>
      <xdr:colOff>1711946</xdr:colOff>
      <xdr:row>9</xdr:row>
      <xdr:rowOff>18145</xdr:rowOff>
    </xdr:from>
    <xdr:to>
      <xdr:col>9</xdr:col>
      <xdr:colOff>1663538</xdr:colOff>
      <xdr:row>16</xdr:row>
      <xdr:rowOff>103911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624F42A-F69F-459E-A863-CAF97C503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120673" y="1680690"/>
          <a:ext cx="2526228" cy="137885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86</xdr:row>
      <xdr:rowOff>6350</xdr:rowOff>
    </xdr:from>
    <xdr:to>
      <xdr:col>6</xdr:col>
      <xdr:colOff>574062</xdr:colOff>
      <xdr:row>121</xdr:row>
      <xdr:rowOff>178140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470F5BC-BBDE-44DB-80D5-56899822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0" y="15843250"/>
          <a:ext cx="11305562" cy="6617040"/>
        </a:xfrm>
        <a:prstGeom prst="rect">
          <a:avLst/>
        </a:prstGeom>
      </xdr:spPr>
    </xdr:pic>
    <xdr:clientData/>
  </xdr:twoCellAnchor>
  <xdr:twoCellAnchor editAs="oneCell">
    <xdr:from>
      <xdr:col>1</xdr:col>
      <xdr:colOff>115458</xdr:colOff>
      <xdr:row>8</xdr:row>
      <xdr:rowOff>115787</xdr:rowOff>
    </xdr:from>
    <xdr:to>
      <xdr:col>2</xdr:col>
      <xdr:colOff>888674</xdr:colOff>
      <xdr:row>16</xdr:row>
      <xdr:rowOff>106028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5493BA9-F6AD-48BE-B76F-E2EECC73A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5058" y="1588987"/>
          <a:ext cx="2227366" cy="1463441"/>
        </a:xfrm>
        <a:prstGeom prst="rect">
          <a:avLst/>
        </a:prstGeom>
      </xdr:spPr>
    </xdr:pic>
    <xdr:clientData/>
  </xdr:twoCellAnchor>
  <xdr:twoCellAnchor editAs="oneCell">
    <xdr:from>
      <xdr:col>2</xdr:col>
      <xdr:colOff>1315442</xdr:colOff>
      <xdr:row>8</xdr:row>
      <xdr:rowOff>126261</xdr:rowOff>
    </xdr:from>
    <xdr:to>
      <xdr:col>3</xdr:col>
      <xdr:colOff>1681433</xdr:colOff>
      <xdr:row>16</xdr:row>
      <xdr:rowOff>126283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63049D3-8C43-4CED-A0FC-8ED5014B3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79192" y="1599461"/>
          <a:ext cx="2245591" cy="1473222"/>
        </a:xfrm>
        <a:prstGeom prst="rect">
          <a:avLst/>
        </a:prstGeom>
      </xdr:spPr>
    </xdr:pic>
    <xdr:clientData/>
  </xdr:twoCellAnchor>
  <xdr:twoCellAnchor editAs="oneCell">
    <xdr:from>
      <xdr:col>4</xdr:col>
      <xdr:colOff>504587</xdr:colOff>
      <xdr:row>8</xdr:row>
      <xdr:rowOff>17500</xdr:rowOff>
    </xdr:from>
    <xdr:to>
      <xdr:col>4</xdr:col>
      <xdr:colOff>1755655</xdr:colOff>
      <xdr:row>16</xdr:row>
      <xdr:rowOff>173576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4161311-C820-4D77-AB6A-42F34AEEF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76837" y="1490700"/>
          <a:ext cx="1251068" cy="1629276"/>
        </a:xfrm>
        <a:prstGeom prst="rect">
          <a:avLst/>
        </a:prstGeom>
      </xdr:spPr>
    </xdr:pic>
    <xdr:clientData/>
  </xdr:twoCellAnchor>
  <xdr:twoCellAnchor editAs="oneCell">
    <xdr:from>
      <xdr:col>4</xdr:col>
      <xdr:colOff>2463225</xdr:colOff>
      <xdr:row>6</xdr:row>
      <xdr:rowOff>173183</xdr:rowOff>
    </xdr:from>
    <xdr:to>
      <xdr:col>5</xdr:col>
      <xdr:colOff>968894</xdr:colOff>
      <xdr:row>17</xdr:row>
      <xdr:rowOff>28040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DC212BA-7D67-4A48-91E1-F513D9661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35475" y="1278083"/>
          <a:ext cx="1261569" cy="1880507"/>
        </a:xfrm>
        <a:prstGeom prst="rect">
          <a:avLst/>
        </a:prstGeom>
      </xdr:spPr>
    </xdr:pic>
    <xdr:clientData/>
  </xdr:twoCellAnchor>
  <xdr:twoCellAnchor editAs="oneCell">
    <xdr:from>
      <xdr:col>6</xdr:col>
      <xdr:colOff>1584118</xdr:colOff>
      <xdr:row>8</xdr:row>
      <xdr:rowOff>84946</xdr:rowOff>
    </xdr:from>
    <xdr:to>
      <xdr:col>8</xdr:col>
      <xdr:colOff>182218</xdr:colOff>
      <xdr:row>16</xdr:row>
      <xdr:rowOff>131128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1BEFF5D-C6F4-4018-BA79-4988F3848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950618" y="1558146"/>
          <a:ext cx="2306500" cy="1519382"/>
        </a:xfrm>
        <a:prstGeom prst="rect">
          <a:avLst/>
        </a:prstGeom>
      </xdr:spPr>
    </xdr:pic>
    <xdr:clientData/>
  </xdr:twoCellAnchor>
  <xdr:twoCellAnchor editAs="oneCell">
    <xdr:from>
      <xdr:col>7</xdr:col>
      <xdr:colOff>1881003</xdr:colOff>
      <xdr:row>8</xdr:row>
      <xdr:rowOff>112159</xdr:rowOff>
    </xdr:from>
    <xdr:to>
      <xdr:col>8</xdr:col>
      <xdr:colOff>2255736</xdr:colOff>
      <xdr:row>16</xdr:row>
      <xdr:rowOff>117520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8337EF9-CC86-425F-ACF5-F62A749AC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76303" y="1585359"/>
          <a:ext cx="2254333" cy="1478561"/>
        </a:xfrm>
        <a:prstGeom prst="rect">
          <a:avLst/>
        </a:prstGeom>
      </xdr:spPr>
    </xdr:pic>
    <xdr:clientData/>
  </xdr:twoCellAnchor>
  <xdr:twoCellAnchor editAs="oneCell">
    <xdr:from>
      <xdr:col>5</xdr:col>
      <xdr:colOff>1255076</xdr:colOff>
      <xdr:row>7</xdr:row>
      <xdr:rowOff>124529</xdr:rowOff>
    </xdr:from>
    <xdr:to>
      <xdr:col>6</xdr:col>
      <xdr:colOff>1503417</xdr:colOff>
      <xdr:row>16</xdr:row>
      <xdr:rowOff>158341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BF57CF0-CAB1-4C66-8204-A82069D1B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583226" y="1413579"/>
          <a:ext cx="2286691" cy="1691162"/>
        </a:xfrm>
        <a:prstGeom prst="rect">
          <a:avLst/>
        </a:prstGeom>
      </xdr:spPr>
    </xdr:pic>
    <xdr:clientData/>
  </xdr:twoCellAnchor>
  <xdr:twoCellAnchor editAs="oneCell">
    <xdr:from>
      <xdr:col>8</xdr:col>
      <xdr:colOff>1711946</xdr:colOff>
      <xdr:row>9</xdr:row>
      <xdr:rowOff>18145</xdr:rowOff>
    </xdr:from>
    <xdr:to>
      <xdr:col>9</xdr:col>
      <xdr:colOff>1663538</xdr:colOff>
      <xdr:row>16</xdr:row>
      <xdr:rowOff>103911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0E8FCC9-4267-4131-8022-ED236A579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786846" y="1675495"/>
          <a:ext cx="2523342" cy="137481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20C3724-18D8-4F17-8474-D61528420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09833" y="292100"/>
          <a:ext cx="19647520" cy="328977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BF39156-D68F-4691-9D31-B611FEEAC0C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50802695" y="292100"/>
          <a:ext cx="7338273" cy="292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BA33F0BF-9BA7-4BE1-B0C4-869DB2E8910A}"/>
            </a:ext>
          </a:extLst>
        </xdr:cNvPr>
        <xdr:cNvSpPr txBox="1">
          <a:spLocks noChangeArrowheads="1"/>
        </xdr:cNvSpPr>
      </xdr:nvSpPr>
      <xdr:spPr bwMode="auto">
        <a:xfrm>
          <a:off x="50756279" y="19812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DC0F93E-4D04-4E02-98BD-94B652DD3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D09AAB7-70F1-497F-A5B7-8192D49C057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163FBF57-10BE-45CF-8739-B87E3D46B882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FD24941-8233-4136-B16D-B1FEEDA5A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94F293A-5322-4179-A4A4-1753F7E615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F47A0BA5-1BA6-4790-BD4D-78C1FA2EACF5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25EA8BF-F684-4EF5-BF9E-18E794411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3FEB84-2BBC-4849-9A94-6B7E497333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23299BED-FC5F-4B63-930E-637F9BBB1C55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5B9A429-363E-44D1-9C47-BACE7A688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C0E9B40-7CF7-4366-B600-D5AF257CDC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909866B2-DD7C-4B4F-BF55-103FB4F02804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A0878C1-6F33-4576-9B00-7D47466DB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00828C5-2886-4B08-87CD-C99B5CD219C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7B21A56F-DE9F-4D37-969E-4B2B8C8FAE01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060E9DA-4991-47DE-BCC0-7A6CAB268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A76D7B3-8DA1-4357-BFA5-D3F4C9E61F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6CEE4107-FE06-4904-B27F-E6C595B8B69E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A12A372-06F0-467A-B1D2-7A4957EFA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FCDE9E3-0A42-4A16-AAA7-F58BA98C5B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C0C7FC41-BB3C-48A0-ABD5-CFBA5A5C7B8B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74983</xdr:colOff>
      <xdr:row>1</xdr:row>
      <xdr:rowOff>0</xdr:rowOff>
    </xdr:from>
    <xdr:to>
      <xdr:col>68</xdr:col>
      <xdr:colOff>12103</xdr:colOff>
      <xdr:row>1</xdr:row>
      <xdr:rowOff>327162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BF72680-B83D-4BCD-9EC1-FCB9B9DA2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2033" y="292100"/>
          <a:ext cx="19647520" cy="327162"/>
        </a:xfrm>
        <a:prstGeom prst="rect">
          <a:avLst/>
        </a:prstGeom>
        <a:effectLst>
          <a:reflection blurRad="6350" stA="52000" endA="300" endPos="32000" dist="12700" dir="5400000" sy="-100000" algn="bl" rotWithShape="0"/>
        </a:effectLst>
      </xdr:spPr>
    </xdr:pic>
    <xdr:clientData/>
  </xdr:twoCellAnchor>
  <xdr:twoCellAnchor>
    <xdr:from>
      <xdr:col>78</xdr:col>
      <xdr:colOff>97945</xdr:colOff>
      <xdr:row>1</xdr:row>
      <xdr:rowOff>0</xdr:rowOff>
    </xdr:from>
    <xdr:to>
      <xdr:col>90</xdr:col>
      <xdr:colOff>44818</xdr:colOff>
      <xdr:row>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1EF76C7-85C1-4360-82BE-79987CE996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t="15556" r="4002" b="14074"/>
        <a:stretch/>
      </xdr:blipFill>
      <xdr:spPr bwMode="auto">
        <a:xfrm>
          <a:off x="82374895" y="292100"/>
          <a:ext cx="7338273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xmlns:mc="http://schemas.openxmlformats.org/markup-compatibility/2006" val="000000" mc:Ignorable="a14" a14:legacySpreadsheetColorIndex="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78</xdr:col>
      <xdr:colOff>51529</xdr:colOff>
      <xdr:row>52</xdr:row>
      <xdr:rowOff>0</xdr:rowOff>
    </xdr:from>
    <xdr:to>
      <xdr:col>90</xdr:col>
      <xdr:colOff>95096</xdr:colOff>
      <xdr:row>52</xdr:row>
      <xdr:rowOff>85668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A4BBBA4F-C2EC-4865-B56B-9E0497707C1D}"/>
            </a:ext>
          </a:extLst>
        </xdr:cNvPr>
        <xdr:cNvSpPr txBox="1">
          <a:spLocks noChangeArrowheads="1"/>
        </xdr:cNvSpPr>
      </xdr:nvSpPr>
      <xdr:spPr bwMode="auto">
        <a:xfrm>
          <a:off x="82328479" y="10579100"/>
          <a:ext cx="7434967" cy="856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  <xdr:txBody>
        <a:bodyPr vertOverflow="clip" wrap="square" lIns="36576" tIns="36576" rIns="36576" bIns="36576" anchor="t" upright="1"/>
        <a:lstStyle/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kumimoji="0" lang="en-US" sz="800" b="1" i="0" u="none" strike="noStrike" kern="0" cap="none" spc="0" normalizeH="0" baseline="0" noProof="0">
              <a:ln>
                <a:noFill/>
              </a:ln>
              <a:solidFill>
                <a:srgbClr val="FFFFFF"/>
              </a:solidFill>
              <a:effectLst/>
              <a:uLnTx/>
              <a:uFillTx/>
              <a:latin typeface="Calibri"/>
              <a:cs typeface="Calibri"/>
            </a:rPr>
            <a:t>D  e  v  e  l  o  p  m  e  n  t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endParaRPr kumimoji="0" lang="en-US" sz="1600" b="1" i="0" u="none" strike="noStrike" kern="0" cap="none" spc="0" normalizeH="0" baseline="0" noProof="0">
            <a:ln>
              <a:noFill/>
            </a:ln>
            <a:solidFill>
              <a:srgbClr val="FFFFFF"/>
            </a:solidFill>
            <a:effectLst/>
            <a:uLnTx/>
            <a:uFillTx/>
            <a:latin typeface="Calibri"/>
            <a:cs typeface="Calibri"/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My%20Documents/Closed%20Deals/Mack-Cali%20Portfolio/Investment%20Committee%20Book/$600k%20price%20adjustment%20VI/Section%203%20-%20Mack-Cali%20Portfolio%20FINAL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My%20Documents/Closed%20Deals/Mack-Cali%20Portfolio/Investment%20Committee%20Book/$600k%20price%20adjustment%20VI/Section%203%20-%20Mack-Cali%20Portfolio%20FINAL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Users/matthewticknor/Dropbox/Development-L-T/Oakland/585%2022nd%20St/Asset%20Management/G:/Real%20Estate/_New%20Deals/NYC%20-%2085%20West%20Broadway/Model/hotel%20model/kimpton%20hotel%20development%20model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tthewticknor/Dropbox/Development-L-T/Oakland/585%2022nd%20St/Asset%20Management/G:/Real%20Estate/_New%20Deals/NYC%20-%2085%20West%20Broadway/Model/hotel%20model/kimpton%20hotel%20development%20mode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Users/matthewticknor/Dropbox/Development-L-T/Oakland/585%2022nd%20St/Asset%20Management/G:/My%20Documents/Starwood/Models/FiMo%20Clean%203-1-04%20-%20May%20actfore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tthewticknor/Dropbox/Development-L-T/Oakland/585%2022nd%20St/Asset%20Management/G:/My%20Documents/Starwood/Models/FiMo%20Clean%203-1-04%20-%20May%20actfore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BCI-FS1/Users/FHC/ESTIMATE/Large%20Projects%20Estimates%202005/Carmichael%20Library%2025006/Bid%20Card%20Carmichael%20Library%201_27_05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/BCI-FS1/Users/FHC/ESTIMATE/Large%20Projects%20Estimates%202005/Carmichael%20Library%2025006/Bid%20Card%20Carmichael%20Library%201_27_05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tpender.CHS/Local%20Settings/Temporary%20Internet%20Files/OLK12F/457609343762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Documents%20and%20Settings/tpender.CHS/Local%20Settings/Temporary%20Internet%20Files/OLK12F/457609343762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tt/Dropbox/Greystar/Deals/Menlo%20Park/Equity%20Book/Menlo%20Park%20-%2065%25%20LTC%20-%2011-17-2013%20-%20broken%20links.xlsm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Users/Matt/Dropbox/Greystar/Deals/Menlo%20Park/Equity%20Book/Menlo%20Park%20-%2065%25%20LTC%20-%2011-17-2013%20-%20broken%20links.xlsm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SAMR/Invoices/Greystar%20Investments/GCP%20Invoice-JMIGRP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users/SAMR/Invoices/Greystar%20Investments/GCP%20Invoice-JMIGRP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/beaconlakes/Shared%20Documents/Beacon%20Lakes/100%20Land%20and%20Feasibility/Project%20Budget/MULE%20and%20Partners%20model%20greystar%20Beacon%20Lakes%203-5-07%20v5/beacon%20MULE2007_Beta2.3/MULE2007_Beta2.3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beaconlakes/Shared%20Documents/Beacon%20Lakes/100%20Land%20and%20Feasibility/Project%20Budget/MULE%20and%20Partners%20model%20greystar%20Beacon%20Lakes%203-5-07%20v5/beacon%20MULE2007_Beta2.3/MULE2007_Beta2.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Documents%20and%20Settings/drbrown.AUSTIN/Local%20Settings/Temporary%20Internet%20Files/OLK1/498641627242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drbrown.AUSTIN/Local%20Settings/Temporary%20Internet%20Files/OLK1/498641627242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Users/Charles%20A%20Long/Dropbox/Development-L-T/West%20Oakland/1600%207th%20St/Equity%20Book%20and%20Financials/efscluster1/eusersdefpaths/greystar/live/419009144761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Charles%20A%20Long/Dropbox/Development-L-T/West%20Oakland/1600%207th%20St/Equity%20Book%20and%20Financials/efscluster1/eusersdefpaths/greystar/live/419009144761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ahiggins/Local%20Settings/Temporary%20Internet%20Files/OLK16E/North%20Houston%20Medical%20Base%20Case%208-17-04%20(2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Documents%20and%20Settings/ahiggins/Local%20Settings/Temporary%20Internet%20Files/OLK16E/North%20Houston%20Medical%20Base%20Case%208-17-04%20(2)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/LAXUsers/koura/Analyst%20Bullpen/2%20-%20Seattle%20Deals/Seattle/South%20Lake%20Union/1%208%2012%20-%20Seattle%20282%20-%20AW_KAO_1.10.13.xlsm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uli.sharepoint.com/LAXUsers/koura/Analyst%20Bullpen/2%20-%20Seattle%20Deals/Seattle/South%20Lake%20Union/1%208%2012%20-%20Seattle%20282%20-%20AW_KAO_1.10.13.xlsm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****"/>
      <sheetName val="Dealsumm"/>
      <sheetName val="Assm"/>
      <sheetName val="#"/>
      <sheetName val="#debt"/>
      <sheetName val="A"/>
      <sheetName val="B"/>
      <sheetName val="C"/>
      <sheetName val="Profit"/>
      <sheetName val="FeeAnalysis"/>
      <sheetName val="Land Assm"/>
      <sheetName val="Land #"/>
      <sheetName val="Land #debt"/>
      <sheetName val="Mont Assm"/>
      <sheetName val="Mont #"/>
      <sheetName val="Mont #debt"/>
      <sheetName val="Metr Assm"/>
      <sheetName val="Metr #"/>
      <sheetName val="Metr #debt"/>
      <sheetName val="Rep Assm"/>
      <sheetName val="Rep #"/>
      <sheetName val="Rep #deb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****"/>
      <sheetName val="Dealsumm"/>
      <sheetName val="Assm"/>
      <sheetName val="#"/>
      <sheetName val="#debt"/>
      <sheetName val="A"/>
      <sheetName val="B"/>
      <sheetName val="C"/>
      <sheetName val="Profit"/>
      <sheetName val="FeeAnalysis"/>
      <sheetName val="Land Assm"/>
      <sheetName val="Land #"/>
      <sheetName val="Land #debt"/>
      <sheetName val="Mont Assm"/>
      <sheetName val="Mont #"/>
      <sheetName val="Mont #debt"/>
      <sheetName val="Metr Assm"/>
      <sheetName val="Metr #"/>
      <sheetName val="Metr #debt"/>
      <sheetName val="Rep Assm"/>
      <sheetName val="Rep #"/>
      <sheetName val="Rep #deb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-INPUT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-INPUT"/>
    </sheet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eneral"/>
    </sheetNames>
    <sheetDataSet>
      <sheetData sheetId="0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eneral"/>
    </sheetNames>
    <sheetDataSet>
      <sheetData sheetId="0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perty taxes-NOI-Prop 13 2538"/>
      <sheetName val="585 22nd NOI reduction-Prop 13"/>
      <sheetName val="471 Fees and allowances"/>
      <sheetName val="Unit mix revised 2538 08-04-16"/>
      <sheetName val="Unit mix revised 585 01-24-17"/>
      <sheetName val="570 Fees and Allowances"/>
      <sheetName val="Operating Expense &amp; Income 2538"/>
      <sheetName val="Rental pro-forma-97 UNITS-2538"/>
      <sheetName val="OVERALL DRAW 2538"/>
      <sheetName val="Equity Investor Sheet 2538"/>
      <sheetName val="26th - PM Budget"/>
      <sheetName val="2538 ALL EXPENSES"/>
      <sheetName val="2538 CONTRACTS"/>
      <sheetName val="Monthly Draw 585&amp;2538"/>
      <sheetName val="Operating Expense &amp; Income-585"/>
      <sheetName val="Rental pro-forma 585"/>
      <sheetName val="OVERALL DRAW 585"/>
      <sheetName val="Equity Investor Sheet 585"/>
      <sheetName val="21st - PM Budget"/>
      <sheetName val="585 ALL EXPENSES"/>
      <sheetName val="585 CONTRACTS"/>
      <sheetName val="UBS Waterfall"/>
      <sheetName val="Return Summary"/>
      <sheetName val="Trended CF-Simple 2538"/>
      <sheetName val="Trended CF-Simple585"/>
      <sheetName val="2538 BID LOG 5-16-17"/>
      <sheetName val="2538 BID LOG 6-6-17"/>
      <sheetName val="COSTS BOTH"/>
      <sheetName val="CONSOLIDATED"/>
      <sheetName val="DESIGN DRAW 585"/>
      <sheetName val="DESIGN DRAW 2538"/>
      <sheetName val="10y Libor"/>
      <sheetName val="60 units-OLD"/>
      <sheetName val="Frontsheet"/>
      <sheetName val="Bid Form"/>
      <sheetName val="1"/>
      <sheetName val="2"/>
      <sheetName val="3"/>
      <sheetName val="4"/>
      <sheetName val="5"/>
      <sheetName val="6"/>
      <sheetName val="8"/>
      <sheetName val="7"/>
      <sheetName val="9"/>
      <sheetName val="10"/>
      <sheetName val="11"/>
      <sheetName val="12"/>
      <sheetName val="13"/>
      <sheetName val="14"/>
      <sheetName val="15"/>
      <sheetName val="16"/>
      <sheetName val="17"/>
      <sheetName val="18"/>
      <sheetName val="19"/>
      <sheetName val="20"/>
      <sheetName val="21"/>
      <sheetName val="22"/>
      <sheetName val="23"/>
      <sheetName val="24"/>
      <sheetName val="25"/>
      <sheetName val="26"/>
      <sheetName val="27"/>
      <sheetName val="28"/>
      <sheetName val="29"/>
      <sheetName val="30"/>
      <sheetName val="31"/>
      <sheetName val="32"/>
      <sheetName val="33"/>
      <sheetName val="34"/>
      <sheetName val="35"/>
      <sheetName val="36"/>
      <sheetName val="37"/>
      <sheetName val="38"/>
      <sheetName val="39"/>
      <sheetName val="40"/>
      <sheetName val="41"/>
      <sheetName val="42"/>
      <sheetName val="43"/>
      <sheetName val="44"/>
      <sheetName val="45"/>
      <sheetName val="46"/>
      <sheetName val="47"/>
      <sheetName val="48"/>
      <sheetName val="49"/>
      <sheetName val="50"/>
      <sheetName val="51"/>
      <sheetName val="52"/>
      <sheetName val="53"/>
      <sheetName val="54"/>
      <sheetName val="55"/>
      <sheetName val="56"/>
      <sheetName val="57"/>
      <sheetName val="58"/>
      <sheetName val="59"/>
      <sheetName val="60"/>
      <sheetName val="61"/>
      <sheetName val="62"/>
      <sheetName val="63"/>
      <sheetName val="64"/>
      <sheetName val="65"/>
      <sheetName val="66"/>
      <sheetName val="67"/>
      <sheetName val="68"/>
      <sheetName val="69"/>
      <sheetName val="70"/>
      <sheetName val="71"/>
      <sheetName val="72"/>
      <sheetName val="73"/>
      <sheetName val="74"/>
      <sheetName val="75"/>
      <sheetName val="76"/>
      <sheetName val="77"/>
      <sheetName val="78"/>
      <sheetName val="79"/>
      <sheetName val="80"/>
      <sheetName val="81"/>
      <sheetName val="82"/>
      <sheetName val="83"/>
      <sheetName val="84"/>
      <sheetName val="85"/>
      <sheetName val="86"/>
      <sheetName val="87"/>
      <sheetName val="88"/>
      <sheetName val="89"/>
      <sheetName val="90"/>
      <sheetName val="91"/>
      <sheetName val="92"/>
      <sheetName val="93"/>
      <sheetName val="94"/>
      <sheetName val="95"/>
      <sheetName val="96"/>
      <sheetName val="97"/>
      <sheetName val="98"/>
      <sheetName val="99"/>
      <sheetName val="Trade Breakdown"/>
      <sheetName val="Notes"/>
      <sheetName val="Macro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perty taxes-NOI-Prop 13 2538"/>
      <sheetName val="585 22nd NOI reduction-Prop 13"/>
      <sheetName val="471 Fees and allowances"/>
      <sheetName val="Unit mix revised 2538 08-04-16"/>
      <sheetName val="Unit mix revised 585 01-24-17"/>
      <sheetName val="570 Fees and Allowances"/>
      <sheetName val="Operating Expense &amp; Income 2538"/>
      <sheetName val="Rental pro-forma-97 UNITS-2538"/>
      <sheetName val="OVERALL DRAW 2538"/>
      <sheetName val="Equity Investor Sheet 2538"/>
      <sheetName val="26th - PM Budget"/>
      <sheetName val="2538 ALL EXPENSES"/>
      <sheetName val="2538 CONTRACTS"/>
      <sheetName val="Monthly Draw 585&amp;2538"/>
      <sheetName val="Operating Expense &amp; Income-585"/>
      <sheetName val="Rental pro-forma 585"/>
      <sheetName val="OVERALL DRAW 585"/>
      <sheetName val="Equity Investor Sheet 585"/>
      <sheetName val="21st - PM Budget"/>
      <sheetName val="585 ALL EXPENSES"/>
      <sheetName val="585 CONTRACTS"/>
      <sheetName val="UBS Waterfall"/>
      <sheetName val="Return Summary"/>
      <sheetName val="Trended CF-Simple 2538"/>
      <sheetName val="Trended CF-Simple585"/>
      <sheetName val="2538 BID LOG 5-16-17"/>
      <sheetName val="2538 BID LOG 6-6-17"/>
      <sheetName val="COSTS BOTH"/>
      <sheetName val="CONSOLIDATED"/>
      <sheetName val="DESIGN DRAW 585"/>
      <sheetName val="DESIGN DRAW 2538"/>
      <sheetName val="10y Libor"/>
      <sheetName val="60 units-OLD"/>
      <sheetName val="Frontsheet"/>
      <sheetName val="Bid Form"/>
      <sheetName val="1"/>
      <sheetName val="2"/>
      <sheetName val="3"/>
      <sheetName val="4"/>
      <sheetName val="5"/>
      <sheetName val="6"/>
      <sheetName val="8"/>
      <sheetName val="7"/>
      <sheetName val="9"/>
      <sheetName val="10"/>
      <sheetName val="11"/>
      <sheetName val="12"/>
      <sheetName val="13"/>
      <sheetName val="14"/>
      <sheetName val="15"/>
      <sheetName val="16"/>
      <sheetName val="17"/>
      <sheetName val="18"/>
      <sheetName val="19"/>
      <sheetName val="20"/>
      <sheetName val="21"/>
      <sheetName val="22"/>
      <sheetName val="23"/>
      <sheetName val="24"/>
      <sheetName val="25"/>
      <sheetName val="26"/>
      <sheetName val="27"/>
      <sheetName val="28"/>
      <sheetName val="29"/>
      <sheetName val="30"/>
      <sheetName val="31"/>
      <sheetName val="32"/>
      <sheetName val="33"/>
      <sheetName val="34"/>
      <sheetName val="35"/>
      <sheetName val="36"/>
      <sheetName val="37"/>
      <sheetName val="38"/>
      <sheetName val="39"/>
      <sheetName val="40"/>
      <sheetName val="41"/>
      <sheetName val="42"/>
      <sheetName val="43"/>
      <sheetName val="44"/>
      <sheetName val="45"/>
      <sheetName val="46"/>
      <sheetName val="47"/>
      <sheetName val="48"/>
      <sheetName val="49"/>
      <sheetName val="50"/>
      <sheetName val="51"/>
      <sheetName val="52"/>
      <sheetName val="53"/>
      <sheetName val="54"/>
      <sheetName val="55"/>
      <sheetName val="56"/>
      <sheetName val="57"/>
      <sheetName val="58"/>
      <sheetName val="59"/>
      <sheetName val="60"/>
      <sheetName val="61"/>
      <sheetName val="62"/>
      <sheetName val="63"/>
      <sheetName val="64"/>
      <sheetName val="65"/>
      <sheetName val="66"/>
      <sheetName val="67"/>
      <sheetName val="68"/>
      <sheetName val="69"/>
      <sheetName val="70"/>
      <sheetName val="71"/>
      <sheetName val="72"/>
      <sheetName val="73"/>
      <sheetName val="74"/>
      <sheetName val="75"/>
      <sheetName val="76"/>
      <sheetName val="77"/>
      <sheetName val="78"/>
      <sheetName val="79"/>
      <sheetName val="80"/>
      <sheetName val="81"/>
      <sheetName val="82"/>
      <sheetName val="83"/>
      <sheetName val="84"/>
      <sheetName val="85"/>
      <sheetName val="86"/>
      <sheetName val="87"/>
      <sheetName val="88"/>
      <sheetName val="89"/>
      <sheetName val="90"/>
      <sheetName val="91"/>
      <sheetName val="92"/>
      <sheetName val="93"/>
      <sheetName val="94"/>
      <sheetName val="95"/>
      <sheetName val="96"/>
      <sheetName val="97"/>
      <sheetName val="98"/>
      <sheetName val="99"/>
      <sheetName val="Trade Breakdown"/>
      <sheetName val="Notes"/>
      <sheetName val="Macro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emplate"/>
      <sheetName val="Report"/>
      <sheetName val="Message"/>
      <sheetName val="Operating Expense &amp; Income"/>
      <sheetName val="Property taxes-NOI- Prop 13"/>
      <sheetName val="Rental pro-forma-97 UNITS"/>
      <sheetName val="OVERALL DRAW 2538"/>
      <sheetName val="Schedule-Budgets-2538"/>
      <sheetName val="Equity Investor Sheet 2538"/>
      <sheetName val="Monthly Draw 2538"/>
      <sheetName val="Trended CF-Simple"/>
      <sheetName val="Rent Roll table for Equity Book"/>
      <sheetName val="Cost Allocation to commercial"/>
      <sheetName val="DESIGN DRAW 2538"/>
      <sheetName val="2538 CONTRACTS"/>
      <sheetName val="60 units-OL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emplate"/>
      <sheetName val="Report"/>
      <sheetName val="Message"/>
      <sheetName val="Operating Expense &amp; Income"/>
      <sheetName val="Property taxes-NOI- Prop 13"/>
      <sheetName val="Rental pro-forma-97 UNITS"/>
      <sheetName val="OVERALL DRAW 2538"/>
      <sheetName val="Schedule-Budgets-2538"/>
      <sheetName val="Equity Investor Sheet 2538"/>
      <sheetName val="Monthly Draw 2538"/>
      <sheetName val="Trended CF-Simple"/>
      <sheetName val="Rent Roll table for Equity Book"/>
      <sheetName val="Cost Allocation to commercial"/>
      <sheetName val="DESIGN DRAW 2538"/>
      <sheetName val="2538 CONTRACTS"/>
      <sheetName val="60 units-OLD"/>
    </sheetNames>
    <sheetDataSet>
      <sheetData sheetId="0">
        <row r="7">
          <cell r="A7" t="str">
            <v>2/2</v>
          </cell>
        </row>
      </sheetData>
      <sheetData sheetId="1">
        <row r="7">
          <cell r="B7" t="str">
            <v>Sample Property Name</v>
          </cell>
        </row>
      </sheetData>
      <sheetData sheetId="2"/>
      <sheetData sheetId="3"/>
      <sheetData sheetId="4"/>
      <sheetData sheetId="5"/>
      <sheetData sheetId="6"/>
      <sheetData sheetId="7"/>
      <sheetData sheetId="8">
        <row r="7">
          <cell r="A7" t="str">
            <v>2/2</v>
          </cell>
          <cell r="B7">
            <v>27</v>
          </cell>
          <cell r="C7">
            <v>999.88461538461536</v>
          </cell>
          <cell r="D7">
            <v>3.9</v>
          </cell>
          <cell r="E7">
            <v>3899.5499999999997</v>
          </cell>
          <cell r="F7">
            <v>1949.7749999999999</v>
          </cell>
          <cell r="G7">
            <v>105287.84999999999</v>
          </cell>
          <cell r="H7">
            <v>1263454.2</v>
          </cell>
          <cell r="I7">
            <v>54</v>
          </cell>
          <cell r="J7">
            <v>0.27835051546391754</v>
          </cell>
        </row>
        <row r="8">
          <cell r="A8" t="str">
            <v>2/2 loft</v>
          </cell>
          <cell r="B8">
            <v>7</v>
          </cell>
          <cell r="C8">
            <v>1127.2857142857142</v>
          </cell>
          <cell r="D8">
            <v>3.75</v>
          </cell>
          <cell r="E8">
            <v>4227.3214285714284</v>
          </cell>
          <cell r="F8">
            <v>2113.6607142857142</v>
          </cell>
          <cell r="G8">
            <v>29591.25</v>
          </cell>
          <cell r="H8">
            <v>355095</v>
          </cell>
          <cell r="I8">
            <v>14</v>
          </cell>
          <cell r="J8">
            <v>7.2164948453608241E-2</v>
          </cell>
        </row>
        <row r="9">
          <cell r="A9" t="str">
            <v>3/2.5</v>
          </cell>
          <cell r="B9">
            <v>8</v>
          </cell>
          <cell r="C9">
            <v>1224</v>
          </cell>
          <cell r="D9">
            <v>3.7</v>
          </cell>
          <cell r="E9">
            <v>4528.8</v>
          </cell>
          <cell r="F9">
            <v>1509.6000000000001</v>
          </cell>
          <cell r="G9">
            <v>36230.400000000001</v>
          </cell>
          <cell r="H9">
            <v>434764.80000000005</v>
          </cell>
          <cell r="I9">
            <v>24</v>
          </cell>
          <cell r="J9">
            <v>8.247422680412371E-2</v>
          </cell>
        </row>
        <row r="10">
          <cell r="A10" t="str">
            <v>3/3</v>
          </cell>
          <cell r="B10">
            <v>14</v>
          </cell>
          <cell r="C10">
            <v>1279.5384615384614</v>
          </cell>
          <cell r="D10">
            <v>3.6145184561741006</v>
          </cell>
          <cell r="E10">
            <v>4624.9153846153831</v>
          </cell>
          <cell r="F10">
            <v>1541.6384615384611</v>
          </cell>
          <cell r="G10">
            <v>64748.815384615365</v>
          </cell>
          <cell r="H10">
            <v>776985.78461538441</v>
          </cell>
          <cell r="I10">
            <v>42</v>
          </cell>
          <cell r="J10">
            <v>0.14432989690721648</v>
          </cell>
        </row>
        <row r="11">
          <cell r="A11" t="str">
            <v>3/2.5 Lofts</v>
          </cell>
          <cell r="B11">
            <v>2</v>
          </cell>
          <cell r="C11">
            <v>1348.5</v>
          </cell>
          <cell r="D11">
            <v>3.55</v>
          </cell>
          <cell r="E11">
            <v>4787.1750000000002</v>
          </cell>
          <cell r="F11">
            <v>1595.7250000000001</v>
          </cell>
          <cell r="G11">
            <v>9574.35</v>
          </cell>
          <cell r="H11">
            <v>114892.20000000001</v>
          </cell>
          <cell r="I11">
            <v>6</v>
          </cell>
          <cell r="J11">
            <v>0</v>
          </cell>
        </row>
        <row r="12">
          <cell r="A12" t="str">
            <v>3/3 lofts</v>
          </cell>
          <cell r="B12">
            <v>2</v>
          </cell>
          <cell r="C12">
            <v>1441.5</v>
          </cell>
          <cell r="D12">
            <v>3.45</v>
          </cell>
          <cell r="E12">
            <v>4973.1750000000002</v>
          </cell>
          <cell r="F12">
            <v>1657.7250000000001</v>
          </cell>
          <cell r="G12">
            <v>9946.35</v>
          </cell>
          <cell r="H12">
            <v>119356.20000000001</v>
          </cell>
          <cell r="I12">
            <v>6</v>
          </cell>
        </row>
        <row r="13">
          <cell r="A13" t="str">
            <v>Totals:</v>
          </cell>
          <cell r="B13">
            <v>97</v>
          </cell>
          <cell r="C13">
            <v>91041.645299145312</v>
          </cell>
          <cell r="D13">
            <v>0</v>
          </cell>
          <cell r="E13">
            <v>0</v>
          </cell>
          <cell r="F13">
            <v>0</v>
          </cell>
          <cell r="G13">
            <v>367532.25982905983</v>
          </cell>
          <cell r="H13">
            <v>4410387.1179487184</v>
          </cell>
          <cell r="I13">
            <v>183</v>
          </cell>
        </row>
        <row r="14">
          <cell r="A14" t="str">
            <v>Averages:</v>
          </cell>
          <cell r="B14">
            <v>0</v>
          </cell>
          <cell r="C14">
            <v>938.57366287778677</v>
          </cell>
          <cell r="D14">
            <v>4.0369685611614283</v>
          </cell>
          <cell r="E14">
            <v>3788.9923693717506</v>
          </cell>
          <cell r="F14">
            <v>2008.3730045303816</v>
          </cell>
          <cell r="G14">
            <v>0</v>
          </cell>
          <cell r="H14">
            <v>0</v>
          </cell>
        </row>
        <row r="15">
          <cell r="A15" t="str">
            <v>COMMERCIAL SPACE</v>
          </cell>
          <cell r="B15" t="str">
            <v>Square Feet</v>
          </cell>
          <cell r="C15" t="str">
            <v>NNN Rent</v>
          </cell>
          <cell r="D15" t="str">
            <v>Total Annual</v>
          </cell>
          <cell r="E15">
            <v>0</v>
          </cell>
          <cell r="F15">
            <v>0</v>
          </cell>
          <cell r="G15" t="str">
            <v>LOT SIZE=</v>
          </cell>
          <cell r="H15">
            <v>27291</v>
          </cell>
        </row>
        <row r="16">
          <cell r="A16" t="str">
            <v>Retail #1</v>
          </cell>
          <cell r="B16">
            <v>3750</v>
          </cell>
          <cell r="C16">
            <v>36</v>
          </cell>
          <cell r="D16">
            <v>135000</v>
          </cell>
          <cell r="G16">
            <v>0</v>
          </cell>
          <cell r="H16">
            <v>0</v>
          </cell>
          <cell r="I16">
            <v>0</v>
          </cell>
          <cell r="J16">
            <v>0</v>
          </cell>
        </row>
        <row r="17">
          <cell r="A17" t="str">
            <v>Retail #2</v>
          </cell>
          <cell r="B17">
            <v>3750</v>
          </cell>
          <cell r="C17">
            <v>36</v>
          </cell>
          <cell r="D17">
            <v>135000</v>
          </cell>
        </row>
        <row r="18">
          <cell r="A18" t="str">
            <v>Total Retail</v>
          </cell>
          <cell r="B18">
            <v>7500</v>
          </cell>
          <cell r="C18">
            <v>36</v>
          </cell>
          <cell r="D18">
            <v>270000</v>
          </cell>
        </row>
      </sheetData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dates"/>
      <sheetName val="Lanes Analysis"/>
      <sheetName val="Pursuit Schedule"/>
      <sheetName val="Investment Committee Cover"/>
      <sheetName val="Executive Summary"/>
      <sheetName val="Development Images"/>
      <sheetName val="Lanes Summary"/>
      <sheetName val="1 - Location"/>
      <sheetName val="2 - Supply &amp; Demand"/>
      <sheetName val="3 - Basis"/>
      <sheetName val="4 - Rents"/>
      <sheetName val="5 - Rent Growth"/>
      <sheetName val="6 - Development"/>
      <sheetName val="7 - Construction"/>
      <sheetName val="8 - Transaction Timing"/>
      <sheetName val="10 - Returns"/>
      <sheetName val="9 - Assumptions Tracker"/>
      <sheetName val="Sales Comps"/>
      <sheetName val="Rent Comps"/>
      <sheetName val="Equity Page"/>
      <sheetName val="Mgmt Sign Off"/>
      <sheetName val="Input"/>
      <sheetName val="Trended Cash Flow"/>
      <sheetName val="Coinvest Analysis"/>
      <sheetName val="Sale Value Analysis"/>
      <sheetName val="Pursuit Cost IRR"/>
      <sheetName val="Sheet1"/>
      <sheetName val="Detailed Budget"/>
      <sheetName val="Development Budget"/>
      <sheetName val="Muni Fees"/>
      <sheetName val="Elan San Fran"/>
      <sheetName val="Yardi"/>
      <sheetName val="REIS"/>
      <sheetName val="Project Budget"/>
      <sheetName val="Sensitivity Analysis"/>
      <sheetName val="IRR Bridge"/>
      <sheetName val="Calc Table"/>
      <sheetName val="Unit Matrix"/>
      <sheetName val="Concord Mix"/>
      <sheetName val="Pursuit_Expenses by cost code"/>
      <sheetName val="Tracker"/>
      <sheetName val="Construction"/>
      <sheetName val="Budget"/>
      <sheetName val="Unit Mix"/>
      <sheetName val="Inclusionary Housing"/>
      <sheetName val="Untrended Cash Flow"/>
      <sheetName val="Project Cost Summary"/>
      <sheetName val="Capitalization"/>
      <sheetName val="Lease Up"/>
      <sheetName val="Lists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/>
      <sheetData sheetId="40" refreshError="1"/>
      <sheetData sheetId="41" refreshError="1"/>
      <sheetData sheetId="42" refreshError="1"/>
      <sheetData sheetId="43" refreshError="1"/>
      <sheetData sheetId="44" refreshError="1"/>
      <sheetData sheetId="45"/>
      <sheetData sheetId="46" refreshError="1"/>
      <sheetData sheetId="47" refreshError="1"/>
      <sheetData sheetId="48" refreshError="1"/>
      <sheetData sheetId="49"/>
      <sheetData sheetId="50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dates"/>
      <sheetName val="Lanes Analysis"/>
      <sheetName val="Pursuit Schedule"/>
      <sheetName val="Investment Committee Cover"/>
      <sheetName val="Executive Summary"/>
      <sheetName val="Development Images"/>
      <sheetName val="Lanes Summary"/>
      <sheetName val="1 - Location"/>
      <sheetName val="2 - Supply &amp; Demand"/>
      <sheetName val="3 - Basis"/>
      <sheetName val="4 - Rents"/>
      <sheetName val="5 - Rent Growth"/>
      <sheetName val="6 - Development"/>
      <sheetName val="7 - Construction"/>
      <sheetName val="8 - Transaction Timing"/>
      <sheetName val="10 - Returns"/>
      <sheetName val="9 - Assumptions Tracker"/>
      <sheetName val="Sales Comps"/>
      <sheetName val="Rent Comps"/>
      <sheetName val="Equity Page"/>
      <sheetName val="Mgmt Sign Off"/>
      <sheetName val="Input"/>
      <sheetName val="Trended Cash Flow"/>
      <sheetName val="Coinvest Analysis"/>
      <sheetName val="Sale Value Analysis"/>
      <sheetName val="Pursuit Cost IRR"/>
      <sheetName val="Sheet1"/>
      <sheetName val="Detailed Budget"/>
      <sheetName val="Development Budget"/>
      <sheetName val="Muni Fees"/>
      <sheetName val="Elan San Fran"/>
      <sheetName val="Yardi"/>
      <sheetName val="REIS"/>
      <sheetName val="Project Budget"/>
      <sheetName val="Sensitivity Analysis"/>
      <sheetName val="IRR Bridge"/>
      <sheetName val="Calc Table"/>
      <sheetName val="Unit Matrix"/>
      <sheetName val="Concord Mix"/>
      <sheetName val="Pursuit_Expenses by cost code"/>
      <sheetName val="Tracker"/>
      <sheetName val="Construction"/>
      <sheetName val="Budget"/>
      <sheetName val="Unit Mix"/>
      <sheetName val="Inclusionary Housing"/>
      <sheetName val="Untrended Cash Flow"/>
      <sheetName val="Project Cost Summary"/>
      <sheetName val="Capitalization"/>
      <sheetName val="Lease Up"/>
      <sheetName val="Lists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>
        <row r="47">
          <cell r="K47">
            <v>30514000.000000004</v>
          </cell>
        </row>
        <row r="330">
          <cell r="E330">
            <v>0.2</v>
          </cell>
        </row>
      </sheetData>
      <sheetData sheetId="22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>
        <row r="5">
          <cell r="F5">
            <v>0</v>
          </cell>
        </row>
        <row r="6">
          <cell r="A6">
            <v>50005</v>
          </cell>
          <cell r="B6" t="str">
            <v xml:space="preserve">Land </v>
          </cell>
          <cell r="C6">
            <v>0</v>
          </cell>
          <cell r="D6">
            <v>0</v>
          </cell>
          <cell r="F6">
            <v>0</v>
          </cell>
        </row>
        <row r="7">
          <cell r="A7">
            <v>50010</v>
          </cell>
          <cell r="B7" t="str">
            <v>Extension Fees</v>
          </cell>
          <cell r="C7">
            <v>0</v>
          </cell>
          <cell r="D7">
            <v>0</v>
          </cell>
          <cell r="F7">
            <v>0</v>
          </cell>
        </row>
        <row r="8">
          <cell r="A8">
            <v>50015</v>
          </cell>
          <cell r="B8" t="str">
            <v>Escrow Deposits</v>
          </cell>
          <cell r="C8">
            <v>0</v>
          </cell>
          <cell r="D8">
            <v>0</v>
          </cell>
          <cell r="F8">
            <v>0</v>
          </cell>
        </row>
        <row r="9">
          <cell r="A9">
            <v>50040</v>
          </cell>
          <cell r="B9" t="str">
            <v>Land - Other Related Costs</v>
          </cell>
          <cell r="C9">
            <v>0</v>
          </cell>
          <cell r="D9">
            <v>0</v>
          </cell>
          <cell r="E9">
            <v>100</v>
          </cell>
          <cell r="F9">
            <v>-100</v>
          </cell>
        </row>
        <row r="10">
          <cell r="A10">
            <v>50045</v>
          </cell>
          <cell r="B10" t="str">
            <v>Non-Refundable Escrow Deposits</v>
          </cell>
          <cell r="C10">
            <v>0</v>
          </cell>
          <cell r="D10">
            <v>0</v>
          </cell>
          <cell r="F10">
            <v>0</v>
          </cell>
        </row>
        <row r="11">
          <cell r="A11">
            <v>51280</v>
          </cell>
          <cell r="B11" t="str">
            <v>Environmental Engineer</v>
          </cell>
          <cell r="C11">
            <v>0</v>
          </cell>
          <cell r="D11">
            <v>0</v>
          </cell>
          <cell r="F11">
            <v>0</v>
          </cell>
        </row>
        <row r="12">
          <cell r="A12">
            <v>51410</v>
          </cell>
          <cell r="B12" t="str">
            <v>Hotel/Meals</v>
          </cell>
          <cell r="C12">
            <v>0</v>
          </cell>
          <cell r="D12">
            <v>0</v>
          </cell>
          <cell r="F12">
            <v>0</v>
          </cell>
        </row>
        <row r="13">
          <cell r="A13">
            <v>76005</v>
          </cell>
          <cell r="B13" t="str">
            <v>Property Taxes (realty)</v>
          </cell>
          <cell r="C13">
            <v>0</v>
          </cell>
          <cell r="D13">
            <v>0</v>
          </cell>
          <cell r="F13">
            <v>0</v>
          </cell>
        </row>
        <row r="14">
          <cell r="A14">
            <v>77005</v>
          </cell>
          <cell r="B14" t="str">
            <v>Legal</v>
          </cell>
          <cell r="C14">
            <v>33500</v>
          </cell>
          <cell r="D14">
            <v>16607.849999999999</v>
          </cell>
          <cell r="E14">
            <v>29424.5</v>
          </cell>
          <cell r="F14">
            <v>-12816.650000000001</v>
          </cell>
        </row>
        <row r="15">
          <cell r="A15">
            <v>77020</v>
          </cell>
          <cell r="B15" t="str">
            <v>Equity Partner Legal</v>
          </cell>
          <cell r="C15">
            <v>0</v>
          </cell>
          <cell r="D15">
            <v>0</v>
          </cell>
          <cell r="F15">
            <v>0</v>
          </cell>
        </row>
        <row r="16">
          <cell r="A16">
            <v>77030</v>
          </cell>
          <cell r="B16" t="str">
            <v>Legal - Other</v>
          </cell>
          <cell r="C16">
            <v>0</v>
          </cell>
          <cell r="D16">
            <v>0</v>
          </cell>
          <cell r="F16">
            <v>0</v>
          </cell>
        </row>
        <row r="17">
          <cell r="A17">
            <v>77050</v>
          </cell>
          <cell r="B17" t="str">
            <v xml:space="preserve">Underwriter </v>
          </cell>
          <cell r="C17">
            <v>0</v>
          </cell>
          <cell r="D17">
            <v>0</v>
          </cell>
          <cell r="F17">
            <v>0</v>
          </cell>
        </row>
        <row r="18">
          <cell r="A18">
            <v>77070</v>
          </cell>
          <cell r="B18" t="str">
            <v>Reproductions</v>
          </cell>
          <cell r="C18">
            <v>0</v>
          </cell>
          <cell r="D18">
            <v>0</v>
          </cell>
          <cell r="F18">
            <v>0</v>
          </cell>
        </row>
        <row r="19">
          <cell r="A19">
            <v>77075</v>
          </cell>
          <cell r="B19" t="str">
            <v>Delivery</v>
          </cell>
          <cell r="C19">
            <v>0</v>
          </cell>
          <cell r="D19">
            <v>0</v>
          </cell>
          <cell r="F19">
            <v>0</v>
          </cell>
        </row>
        <row r="20">
          <cell r="A20">
            <v>77080</v>
          </cell>
          <cell r="B20" t="str">
            <v>Organization Costs</v>
          </cell>
          <cell r="C20">
            <v>0</v>
          </cell>
          <cell r="D20">
            <v>0</v>
          </cell>
          <cell r="F20">
            <v>0</v>
          </cell>
        </row>
        <row r="21">
          <cell r="A21">
            <v>77085</v>
          </cell>
          <cell r="B21" t="str">
            <v>Market Research</v>
          </cell>
          <cell r="C21">
            <v>0</v>
          </cell>
          <cell r="D21">
            <v>0</v>
          </cell>
          <cell r="E21">
            <v>5000</v>
          </cell>
          <cell r="F21">
            <v>-5000</v>
          </cell>
        </row>
        <row r="22">
          <cell r="A22">
            <v>77025</v>
          </cell>
          <cell r="B22" t="str">
            <v>Environmental - Legal</v>
          </cell>
          <cell r="C22">
            <v>0</v>
          </cell>
          <cell r="D22">
            <v>0</v>
          </cell>
          <cell r="F22">
            <v>0</v>
          </cell>
        </row>
        <row r="23">
          <cell r="A23">
            <v>77065</v>
          </cell>
          <cell r="B23" t="str">
            <v>Due Diligence</v>
          </cell>
          <cell r="C23">
            <v>0</v>
          </cell>
          <cell r="D23">
            <v>0</v>
          </cell>
          <cell r="F23">
            <v>0</v>
          </cell>
        </row>
        <row r="24">
          <cell r="A24">
            <v>77080</v>
          </cell>
          <cell r="B24" t="str">
            <v>Organization Costs</v>
          </cell>
          <cell r="C24">
            <v>0</v>
          </cell>
          <cell r="D24">
            <v>0</v>
          </cell>
          <cell r="E24">
            <v>0</v>
          </cell>
          <cell r="F24">
            <v>0</v>
          </cell>
        </row>
        <row r="25">
          <cell r="A25">
            <v>77090</v>
          </cell>
          <cell r="B25" t="str">
            <v>Zoning</v>
          </cell>
          <cell r="C25">
            <v>0</v>
          </cell>
          <cell r="D25">
            <v>0</v>
          </cell>
          <cell r="F25">
            <v>0</v>
          </cell>
        </row>
        <row r="26">
          <cell r="A26">
            <v>77095</v>
          </cell>
          <cell r="B26" t="str">
            <v>Long Distance</v>
          </cell>
          <cell r="C26">
            <v>0</v>
          </cell>
          <cell r="D26">
            <v>0</v>
          </cell>
          <cell r="F26">
            <v>0</v>
          </cell>
        </row>
        <row r="27">
          <cell r="A27">
            <v>77105</v>
          </cell>
          <cell r="B27" t="str">
            <v>Accounting Fees</v>
          </cell>
          <cell r="C27">
            <v>0</v>
          </cell>
          <cell r="D27">
            <v>0</v>
          </cell>
          <cell r="F27">
            <v>0</v>
          </cell>
        </row>
        <row r="28">
          <cell r="A28">
            <v>78020</v>
          </cell>
          <cell r="B28" t="str">
            <v>Inspection Fee</v>
          </cell>
          <cell r="C28">
            <v>0</v>
          </cell>
          <cell r="D28">
            <v>0</v>
          </cell>
          <cell r="F28">
            <v>0</v>
          </cell>
        </row>
        <row r="29">
          <cell r="A29">
            <v>78030</v>
          </cell>
          <cell r="B29" t="str">
            <v>Builder's Risk Insurance</v>
          </cell>
          <cell r="C29">
            <v>0</v>
          </cell>
          <cell r="D29">
            <v>0</v>
          </cell>
          <cell r="F29">
            <v>0</v>
          </cell>
        </row>
        <row r="30">
          <cell r="A30">
            <v>78035</v>
          </cell>
          <cell r="B30" t="str">
            <v>Closing Costs Other</v>
          </cell>
          <cell r="C30">
            <v>0</v>
          </cell>
          <cell r="D30">
            <v>0</v>
          </cell>
          <cell r="F30">
            <v>0</v>
          </cell>
        </row>
        <row r="31">
          <cell r="A31">
            <v>78040</v>
          </cell>
          <cell r="B31" t="str">
            <v>Interest In Escrow</v>
          </cell>
          <cell r="C31">
            <v>0</v>
          </cell>
          <cell r="D31">
            <v>0</v>
          </cell>
          <cell r="F31">
            <v>0</v>
          </cell>
        </row>
        <row r="32">
          <cell r="A32">
            <v>78045</v>
          </cell>
          <cell r="B32" t="str">
            <v>Application Fees</v>
          </cell>
          <cell r="C32">
            <v>0</v>
          </cell>
          <cell r="D32">
            <v>0</v>
          </cell>
          <cell r="F32">
            <v>0</v>
          </cell>
        </row>
        <row r="33">
          <cell r="A33">
            <v>78050</v>
          </cell>
          <cell r="B33" t="str">
            <v>Commitment Fee</v>
          </cell>
          <cell r="C33">
            <v>0</v>
          </cell>
          <cell r="D33">
            <v>0</v>
          </cell>
          <cell r="F33">
            <v>0</v>
          </cell>
        </row>
        <row r="34">
          <cell r="A34">
            <v>79015</v>
          </cell>
          <cell r="B34" t="str">
            <v>Construction Loan Fees</v>
          </cell>
          <cell r="C34">
            <v>0</v>
          </cell>
          <cell r="D34">
            <v>0</v>
          </cell>
          <cell r="F34">
            <v>0</v>
          </cell>
        </row>
        <row r="35">
          <cell r="A35">
            <v>79055</v>
          </cell>
          <cell r="B35" t="str">
            <v>Equity Placement</v>
          </cell>
          <cell r="C35">
            <v>0</v>
          </cell>
          <cell r="D35">
            <v>0</v>
          </cell>
          <cell r="F35">
            <v>0</v>
          </cell>
        </row>
        <row r="36">
          <cell r="A36">
            <v>79100</v>
          </cell>
          <cell r="B36" t="str">
            <v>Printing</v>
          </cell>
          <cell r="C36">
            <v>0</v>
          </cell>
          <cell r="D36">
            <v>0</v>
          </cell>
          <cell r="F36">
            <v>0</v>
          </cell>
        </row>
        <row r="37">
          <cell r="A37">
            <v>79110</v>
          </cell>
          <cell r="B37" t="str">
            <v>Financing Fee - Other</v>
          </cell>
          <cell r="C37">
            <v>0</v>
          </cell>
          <cell r="D37">
            <v>0</v>
          </cell>
          <cell r="F37">
            <v>0</v>
          </cell>
        </row>
        <row r="38">
          <cell r="A38">
            <v>79135</v>
          </cell>
          <cell r="B38" t="str">
            <v>Appraisal / Review Fee</v>
          </cell>
          <cell r="C38">
            <v>0</v>
          </cell>
          <cell r="D38">
            <v>0</v>
          </cell>
          <cell r="F38">
            <v>0</v>
          </cell>
        </row>
        <row r="39">
          <cell r="A39">
            <v>79160</v>
          </cell>
          <cell r="B39" t="str">
            <v>Pre-Application</v>
          </cell>
          <cell r="C39">
            <v>0</v>
          </cell>
          <cell r="D39">
            <v>0</v>
          </cell>
          <cell r="F39">
            <v>0</v>
          </cell>
        </row>
        <row r="40">
          <cell r="A40">
            <v>79170</v>
          </cell>
          <cell r="B40" t="str">
            <v>Reprographics</v>
          </cell>
          <cell r="C40">
            <v>0</v>
          </cell>
          <cell r="D40">
            <v>0</v>
          </cell>
          <cell r="F40">
            <v>0</v>
          </cell>
        </row>
        <row r="41">
          <cell r="A41">
            <v>79175</v>
          </cell>
          <cell r="B41" t="str">
            <v>Aerials/Photos</v>
          </cell>
          <cell r="C41">
            <v>0</v>
          </cell>
          <cell r="D41">
            <v>0</v>
          </cell>
          <cell r="F41">
            <v>0</v>
          </cell>
        </row>
        <row r="42">
          <cell r="A42">
            <v>79190</v>
          </cell>
          <cell r="B42" t="str">
            <v>Market Research</v>
          </cell>
          <cell r="C42">
            <v>0</v>
          </cell>
          <cell r="D42">
            <v>0</v>
          </cell>
          <cell r="F42">
            <v>0</v>
          </cell>
        </row>
        <row r="43">
          <cell r="A43">
            <v>79195</v>
          </cell>
          <cell r="B43" t="str">
            <v>Mezzanine Loan Fees</v>
          </cell>
          <cell r="C43">
            <v>0</v>
          </cell>
          <cell r="D43">
            <v>0</v>
          </cell>
          <cell r="F43">
            <v>0</v>
          </cell>
        </row>
        <row r="44">
          <cell r="A44">
            <v>79250</v>
          </cell>
          <cell r="B44" t="str">
            <v>Loan Application</v>
          </cell>
          <cell r="C44">
            <v>0</v>
          </cell>
          <cell r="D44">
            <v>0</v>
          </cell>
          <cell r="F44">
            <v>0</v>
          </cell>
        </row>
        <row r="45">
          <cell r="A45">
            <v>80005</v>
          </cell>
          <cell r="B45" t="str">
            <v>Performance Bonds</v>
          </cell>
          <cell r="C45">
            <v>0</v>
          </cell>
          <cell r="D45">
            <v>0</v>
          </cell>
          <cell r="F45">
            <v>0</v>
          </cell>
        </row>
        <row r="46">
          <cell r="A46">
            <v>80010</v>
          </cell>
          <cell r="B46" t="str">
            <v>Permiting Consultant</v>
          </cell>
          <cell r="C46">
            <v>0</v>
          </cell>
          <cell r="D46">
            <v>0</v>
          </cell>
          <cell r="F46">
            <v>0</v>
          </cell>
        </row>
        <row r="47">
          <cell r="A47">
            <v>80015</v>
          </cell>
          <cell r="B47" t="str">
            <v>Municipality Fees</v>
          </cell>
          <cell r="C47">
            <v>0</v>
          </cell>
          <cell r="D47">
            <v>0</v>
          </cell>
          <cell r="E47">
            <v>13913</v>
          </cell>
          <cell r="F47">
            <v>-13913</v>
          </cell>
        </row>
        <row r="48">
          <cell r="A48">
            <v>80010</v>
          </cell>
          <cell r="B48" t="str">
            <v>Permitting Consultant</v>
          </cell>
          <cell r="C48">
            <v>0</v>
          </cell>
          <cell r="D48">
            <v>0</v>
          </cell>
          <cell r="F48">
            <v>0</v>
          </cell>
        </row>
        <row r="49">
          <cell r="A49">
            <v>80020</v>
          </cell>
          <cell r="B49" t="str">
            <v>Planning Fees</v>
          </cell>
          <cell r="C49">
            <v>13913</v>
          </cell>
          <cell r="D49">
            <v>0</v>
          </cell>
          <cell r="F49">
            <v>0</v>
          </cell>
        </row>
        <row r="50">
          <cell r="A50">
            <v>80025</v>
          </cell>
          <cell r="B50" t="str">
            <v>Permit Fees</v>
          </cell>
          <cell r="C50">
            <v>0</v>
          </cell>
          <cell r="D50">
            <v>0</v>
          </cell>
          <cell r="F50">
            <v>0</v>
          </cell>
        </row>
        <row r="51">
          <cell r="A51">
            <v>80055</v>
          </cell>
          <cell r="B51" t="str">
            <v>Engineering Fees</v>
          </cell>
          <cell r="C51">
            <v>0</v>
          </cell>
          <cell r="D51">
            <v>0</v>
          </cell>
          <cell r="F51">
            <v>0</v>
          </cell>
        </row>
        <row r="52">
          <cell r="A52">
            <v>80060</v>
          </cell>
          <cell r="B52" t="str">
            <v>Utility Fees</v>
          </cell>
          <cell r="C52">
            <v>0</v>
          </cell>
          <cell r="D52">
            <v>0</v>
          </cell>
          <cell r="F52">
            <v>0</v>
          </cell>
        </row>
        <row r="53">
          <cell r="A53">
            <v>80080</v>
          </cell>
          <cell r="B53" t="str">
            <v>Other Municipality Fees</v>
          </cell>
          <cell r="C53">
            <v>0</v>
          </cell>
          <cell r="D53">
            <v>0</v>
          </cell>
          <cell r="F53">
            <v>0</v>
          </cell>
        </row>
        <row r="54">
          <cell r="A54">
            <v>80095</v>
          </cell>
          <cell r="B54" t="str">
            <v xml:space="preserve">Rezoning Fees </v>
          </cell>
          <cell r="C54">
            <v>0</v>
          </cell>
          <cell r="D54">
            <v>0</v>
          </cell>
          <cell r="F54">
            <v>0</v>
          </cell>
        </row>
        <row r="55">
          <cell r="A55">
            <v>80120</v>
          </cell>
          <cell r="B55" t="str">
            <v>Impact Fees</v>
          </cell>
          <cell r="C55">
            <v>0</v>
          </cell>
          <cell r="D55">
            <v>0</v>
          </cell>
          <cell r="F55">
            <v>0</v>
          </cell>
        </row>
        <row r="56">
          <cell r="A56">
            <v>80125</v>
          </cell>
          <cell r="B56" t="str">
            <v>Entitlement Consultant</v>
          </cell>
          <cell r="C56">
            <v>0</v>
          </cell>
          <cell r="D56">
            <v>0</v>
          </cell>
          <cell r="E56">
            <v>6000</v>
          </cell>
          <cell r="F56">
            <v>-6000</v>
          </cell>
        </row>
        <row r="57">
          <cell r="A57">
            <v>81005</v>
          </cell>
          <cell r="B57" t="str">
            <v>Architect</v>
          </cell>
          <cell r="C57">
            <v>53000</v>
          </cell>
          <cell r="D57">
            <v>24502.400000000001</v>
          </cell>
          <cell r="E57">
            <v>21600</v>
          </cell>
          <cell r="F57">
            <v>2902.4000000000015</v>
          </cell>
        </row>
        <row r="58">
          <cell r="A58">
            <v>81020</v>
          </cell>
          <cell r="B58" t="str">
            <v>A/E Reimbursables</v>
          </cell>
          <cell r="C58">
            <v>0</v>
          </cell>
          <cell r="D58">
            <v>0</v>
          </cell>
          <cell r="F58">
            <v>0</v>
          </cell>
        </row>
        <row r="59">
          <cell r="A59">
            <v>81025</v>
          </cell>
          <cell r="B59" t="str">
            <v>Preliminary Feasibility</v>
          </cell>
          <cell r="C59">
            <v>0</v>
          </cell>
          <cell r="D59">
            <v>6000</v>
          </cell>
          <cell r="F59">
            <v>6000</v>
          </cell>
        </row>
        <row r="60">
          <cell r="A60">
            <v>81030</v>
          </cell>
          <cell r="B60" t="str">
            <v>Delivery, Postage, Copies, etc</v>
          </cell>
          <cell r="C60">
            <v>0</v>
          </cell>
          <cell r="D60">
            <v>0</v>
          </cell>
          <cell r="F60">
            <v>0</v>
          </cell>
        </row>
        <row r="61">
          <cell r="A61">
            <v>81035</v>
          </cell>
          <cell r="B61" t="str">
            <v>Engineering Feasibility</v>
          </cell>
          <cell r="C61">
            <v>0</v>
          </cell>
          <cell r="D61">
            <v>0</v>
          </cell>
          <cell r="F61">
            <v>0</v>
          </cell>
        </row>
        <row r="62">
          <cell r="A62">
            <v>81040</v>
          </cell>
          <cell r="B62" t="str">
            <v>Geotech Soil Tests</v>
          </cell>
          <cell r="C62">
            <v>65200</v>
          </cell>
          <cell r="D62">
            <v>5631.5</v>
          </cell>
          <cell r="E62">
            <v>5631.5</v>
          </cell>
          <cell r="F62">
            <v>0</v>
          </cell>
        </row>
        <row r="63">
          <cell r="A63">
            <v>81045</v>
          </cell>
          <cell r="B63" t="str">
            <v>Civil Engineering</v>
          </cell>
          <cell r="C63">
            <v>0</v>
          </cell>
          <cell r="D63">
            <v>0</v>
          </cell>
          <cell r="F63">
            <v>0</v>
          </cell>
        </row>
        <row r="64">
          <cell r="A64">
            <v>81050</v>
          </cell>
          <cell r="B64" t="str">
            <v>Structural</v>
          </cell>
          <cell r="C64">
            <v>0</v>
          </cell>
          <cell r="D64">
            <v>0</v>
          </cell>
          <cell r="F64">
            <v>0</v>
          </cell>
        </row>
        <row r="65">
          <cell r="A65">
            <v>81055</v>
          </cell>
          <cell r="B65" t="str">
            <v>Waterproofing Consultant</v>
          </cell>
          <cell r="C65">
            <v>0</v>
          </cell>
          <cell r="D65">
            <v>0</v>
          </cell>
          <cell r="F65">
            <v>0</v>
          </cell>
        </row>
        <row r="66">
          <cell r="A66">
            <v>81060</v>
          </cell>
          <cell r="B66" t="str">
            <v>Landscape Architect</v>
          </cell>
          <cell r="C66">
            <v>0</v>
          </cell>
          <cell r="D66">
            <v>0</v>
          </cell>
          <cell r="F66">
            <v>0</v>
          </cell>
        </row>
        <row r="67">
          <cell r="A67">
            <v>81065</v>
          </cell>
          <cell r="B67" t="str">
            <v>MEP Engineer</v>
          </cell>
          <cell r="C67">
            <v>0</v>
          </cell>
          <cell r="D67">
            <v>0</v>
          </cell>
          <cell r="F67">
            <v>0</v>
          </cell>
        </row>
        <row r="68">
          <cell r="A68">
            <v>81066</v>
          </cell>
          <cell r="B68" t="str">
            <v>MEP Engineer - Title 24</v>
          </cell>
          <cell r="C68">
            <v>0</v>
          </cell>
          <cell r="D68">
            <v>0</v>
          </cell>
          <cell r="F68">
            <v>0</v>
          </cell>
        </row>
        <row r="69">
          <cell r="A69">
            <v>81105</v>
          </cell>
          <cell r="B69" t="str">
            <v>Inspecting Architect</v>
          </cell>
          <cell r="C69">
            <v>0</v>
          </cell>
          <cell r="D69">
            <v>0</v>
          </cell>
          <cell r="F69">
            <v>0</v>
          </cell>
        </row>
        <row r="70">
          <cell r="A70">
            <v>81075</v>
          </cell>
          <cell r="B70" t="str">
            <v>Sound Consultant</v>
          </cell>
          <cell r="C70">
            <v>0</v>
          </cell>
          <cell r="D70">
            <v>0</v>
          </cell>
          <cell r="F70">
            <v>0</v>
          </cell>
        </row>
        <row r="71">
          <cell r="A71">
            <v>81085</v>
          </cell>
          <cell r="B71" t="str">
            <v>Traffic Consultant</v>
          </cell>
          <cell r="C71">
            <v>0</v>
          </cell>
          <cell r="D71">
            <v>0</v>
          </cell>
          <cell r="F71">
            <v>0</v>
          </cell>
        </row>
        <row r="72">
          <cell r="A72">
            <v>81110</v>
          </cell>
          <cell r="B72" t="str">
            <v>Interior Design</v>
          </cell>
          <cell r="C72">
            <v>0</v>
          </cell>
          <cell r="D72">
            <v>0</v>
          </cell>
          <cell r="F72">
            <v>0</v>
          </cell>
        </row>
        <row r="73">
          <cell r="A73">
            <v>81070</v>
          </cell>
          <cell r="B73" t="str">
            <v>Environment Consultant</v>
          </cell>
          <cell r="C73">
            <v>0</v>
          </cell>
          <cell r="D73">
            <v>0</v>
          </cell>
          <cell r="F73">
            <v>0</v>
          </cell>
        </row>
        <row r="74">
          <cell r="A74">
            <v>81090</v>
          </cell>
          <cell r="B74" t="str">
            <v>Utility Consultant</v>
          </cell>
          <cell r="C74">
            <v>0</v>
          </cell>
          <cell r="D74">
            <v>0</v>
          </cell>
          <cell r="F74">
            <v>0</v>
          </cell>
        </row>
        <row r="75">
          <cell r="A75">
            <v>81120</v>
          </cell>
          <cell r="B75" t="str">
            <v>Other Consultant</v>
          </cell>
          <cell r="C75">
            <v>0</v>
          </cell>
          <cell r="D75">
            <v>0</v>
          </cell>
          <cell r="E75">
            <v>5399.6</v>
          </cell>
          <cell r="F75">
            <v>-5399.6</v>
          </cell>
        </row>
        <row r="76">
          <cell r="A76">
            <v>81135</v>
          </cell>
          <cell r="B76" t="str">
            <v>Offsite Improvements</v>
          </cell>
          <cell r="C76">
            <v>0</v>
          </cell>
          <cell r="D76">
            <v>0</v>
          </cell>
          <cell r="F76">
            <v>0</v>
          </cell>
        </row>
        <row r="77">
          <cell r="A77">
            <v>81145</v>
          </cell>
          <cell r="B77" t="str">
            <v>Misc. Reimbursables</v>
          </cell>
          <cell r="C77">
            <v>0</v>
          </cell>
          <cell r="D77">
            <v>0</v>
          </cell>
          <cell r="F77">
            <v>0</v>
          </cell>
        </row>
        <row r="78">
          <cell r="A78">
            <v>81150</v>
          </cell>
          <cell r="B78" t="str">
            <v>Blueprints</v>
          </cell>
          <cell r="C78">
            <v>0</v>
          </cell>
          <cell r="D78">
            <v>0</v>
          </cell>
          <cell r="F78">
            <v>0</v>
          </cell>
        </row>
        <row r="79">
          <cell r="A79">
            <v>81145</v>
          </cell>
          <cell r="B79" t="str">
            <v>Misc. Reimbursables</v>
          </cell>
          <cell r="C79">
            <v>0</v>
          </cell>
          <cell r="D79">
            <v>0</v>
          </cell>
          <cell r="F79">
            <v>0</v>
          </cell>
        </row>
        <row r="80">
          <cell r="A80">
            <v>81155</v>
          </cell>
          <cell r="B80" t="str">
            <v>Aerial Photography</v>
          </cell>
          <cell r="C80">
            <v>0</v>
          </cell>
          <cell r="D80">
            <v>0</v>
          </cell>
          <cell r="F80">
            <v>0</v>
          </cell>
        </row>
        <row r="81">
          <cell r="A81">
            <v>81190</v>
          </cell>
          <cell r="B81" t="str">
            <v>Investigation/Programming</v>
          </cell>
          <cell r="C81">
            <v>0</v>
          </cell>
          <cell r="D81">
            <v>0</v>
          </cell>
          <cell r="F81">
            <v>0</v>
          </cell>
        </row>
        <row r="82">
          <cell r="A82">
            <v>81195</v>
          </cell>
          <cell r="B82" t="str">
            <v>Schematic Design</v>
          </cell>
          <cell r="C82">
            <v>0</v>
          </cell>
          <cell r="D82">
            <v>0</v>
          </cell>
          <cell r="F82">
            <v>0</v>
          </cell>
        </row>
        <row r="83">
          <cell r="A83">
            <v>81196</v>
          </cell>
          <cell r="B83" t="str">
            <v>Landscape Arch Schematic Des</v>
          </cell>
          <cell r="C83">
            <v>0</v>
          </cell>
          <cell r="D83">
            <v>0</v>
          </cell>
          <cell r="F83">
            <v>0</v>
          </cell>
        </row>
        <row r="84">
          <cell r="A84">
            <v>81198</v>
          </cell>
          <cell r="B84" t="str">
            <v>Interior Design: Schematic Des</v>
          </cell>
          <cell r="C84">
            <v>0</v>
          </cell>
          <cell r="D84">
            <v>0</v>
          </cell>
          <cell r="F84">
            <v>0</v>
          </cell>
        </row>
        <row r="85">
          <cell r="A85">
            <v>81200</v>
          </cell>
          <cell r="B85" t="str">
            <v>Design Development</v>
          </cell>
          <cell r="C85">
            <v>0</v>
          </cell>
          <cell r="D85">
            <v>0</v>
          </cell>
          <cell r="F85">
            <v>0</v>
          </cell>
        </row>
        <row r="86">
          <cell r="A86">
            <v>81201</v>
          </cell>
          <cell r="B86" t="str">
            <v>Land Arch:Design Dev</v>
          </cell>
          <cell r="C86">
            <v>0</v>
          </cell>
          <cell r="D86">
            <v>0</v>
          </cell>
          <cell r="F86">
            <v>0</v>
          </cell>
        </row>
        <row r="87">
          <cell r="A87">
            <v>81202</v>
          </cell>
          <cell r="B87" t="str">
            <v>Structural Eng:Design Dev</v>
          </cell>
          <cell r="C87">
            <v>0</v>
          </cell>
          <cell r="D87">
            <v>0</v>
          </cell>
          <cell r="F87">
            <v>0</v>
          </cell>
        </row>
        <row r="88">
          <cell r="A88">
            <v>81203</v>
          </cell>
          <cell r="B88" t="str">
            <v>Interior Design: Design Develo</v>
          </cell>
          <cell r="C88">
            <v>0</v>
          </cell>
          <cell r="D88">
            <v>0</v>
          </cell>
          <cell r="F88">
            <v>0</v>
          </cell>
        </row>
        <row r="89">
          <cell r="A89">
            <v>81204</v>
          </cell>
          <cell r="B89" t="str">
            <v>MEP Engineering:Design Dev</v>
          </cell>
          <cell r="C89">
            <v>0</v>
          </cell>
          <cell r="D89">
            <v>0</v>
          </cell>
          <cell r="F89">
            <v>0</v>
          </cell>
        </row>
        <row r="90">
          <cell r="A90">
            <v>81205</v>
          </cell>
          <cell r="B90" t="str">
            <v>Construction Documents</v>
          </cell>
          <cell r="C90">
            <v>0</v>
          </cell>
          <cell r="D90">
            <v>0</v>
          </cell>
          <cell r="F90">
            <v>0</v>
          </cell>
        </row>
        <row r="91">
          <cell r="A91">
            <v>81220</v>
          </cell>
          <cell r="B91" t="str">
            <v>Telecommunications</v>
          </cell>
          <cell r="C91">
            <v>0</v>
          </cell>
          <cell r="D91">
            <v>0</v>
          </cell>
          <cell r="F91">
            <v>0</v>
          </cell>
        </row>
        <row r="92">
          <cell r="A92">
            <v>81225</v>
          </cell>
          <cell r="B92" t="str">
            <v>Building Code Review</v>
          </cell>
          <cell r="C92">
            <v>0</v>
          </cell>
          <cell r="D92">
            <v>0</v>
          </cell>
          <cell r="F92">
            <v>0</v>
          </cell>
        </row>
        <row r="93">
          <cell r="A93">
            <v>81235</v>
          </cell>
          <cell r="B93" t="str">
            <v>Hotel Rehab Package</v>
          </cell>
          <cell r="C93">
            <v>0</v>
          </cell>
          <cell r="D93">
            <v>0</v>
          </cell>
          <cell r="F93">
            <v>0</v>
          </cell>
        </row>
        <row r="94">
          <cell r="A94">
            <v>81240</v>
          </cell>
          <cell r="B94" t="str">
            <v>Pest Control and Inspection</v>
          </cell>
          <cell r="C94">
            <v>0</v>
          </cell>
          <cell r="D94">
            <v>0</v>
          </cell>
          <cell r="F94">
            <v>0</v>
          </cell>
        </row>
        <row r="95">
          <cell r="A95">
            <v>81245</v>
          </cell>
          <cell r="B95" t="str">
            <v>Property Condition Assessment</v>
          </cell>
          <cell r="C95">
            <v>0</v>
          </cell>
          <cell r="D95">
            <v>0</v>
          </cell>
          <cell r="F95">
            <v>0</v>
          </cell>
        </row>
        <row r="96">
          <cell r="A96">
            <v>81250</v>
          </cell>
          <cell r="B96" t="str">
            <v>Access/Building Code Review</v>
          </cell>
          <cell r="C96">
            <v>0</v>
          </cell>
          <cell r="D96">
            <v>0</v>
          </cell>
          <cell r="F96">
            <v>0</v>
          </cell>
        </row>
        <row r="97">
          <cell r="A97">
            <v>81165</v>
          </cell>
          <cell r="B97" t="str">
            <v>Land Use Consultant</v>
          </cell>
          <cell r="C97">
            <v>0</v>
          </cell>
          <cell r="D97">
            <v>0</v>
          </cell>
          <cell r="F97">
            <v>0</v>
          </cell>
        </row>
        <row r="98">
          <cell r="A98">
            <v>81206</v>
          </cell>
          <cell r="B98" t="str">
            <v>Landscape Arch: Const D</v>
          </cell>
          <cell r="C98">
            <v>0</v>
          </cell>
          <cell r="D98">
            <v>0</v>
          </cell>
          <cell r="F98">
            <v>0</v>
          </cell>
        </row>
        <row r="99">
          <cell r="A99">
            <v>81208</v>
          </cell>
          <cell r="B99" t="str">
            <v>Interior Design: Construction</v>
          </cell>
          <cell r="C99">
            <v>0</v>
          </cell>
          <cell r="D99">
            <v>0</v>
          </cell>
          <cell r="F99">
            <v>0</v>
          </cell>
        </row>
        <row r="100">
          <cell r="A100">
            <v>81209</v>
          </cell>
          <cell r="B100" t="str">
            <v>MEP Eng:Construction D</v>
          </cell>
          <cell r="C100">
            <v>0</v>
          </cell>
          <cell r="D100">
            <v>0</v>
          </cell>
          <cell r="F100">
            <v>0</v>
          </cell>
        </row>
        <row r="101">
          <cell r="A101">
            <v>82107</v>
          </cell>
          <cell r="B101" t="str">
            <v>Structural Eng:Const D</v>
          </cell>
          <cell r="C101">
            <v>0</v>
          </cell>
          <cell r="D101">
            <v>0</v>
          </cell>
          <cell r="F101">
            <v>0</v>
          </cell>
        </row>
        <row r="102">
          <cell r="A102">
            <v>81260</v>
          </cell>
          <cell r="B102" t="str">
            <v>Yield Study</v>
          </cell>
          <cell r="C102">
            <v>0</v>
          </cell>
          <cell r="D102">
            <v>0</v>
          </cell>
          <cell r="F102">
            <v>0</v>
          </cell>
        </row>
        <row r="103">
          <cell r="A103">
            <v>81265</v>
          </cell>
          <cell r="B103" t="str">
            <v>Fire Sprinkler Design</v>
          </cell>
          <cell r="C103">
            <v>0</v>
          </cell>
          <cell r="D103">
            <v>0</v>
          </cell>
          <cell r="F103">
            <v>0</v>
          </cell>
        </row>
        <row r="104">
          <cell r="A104">
            <v>82020</v>
          </cell>
          <cell r="B104" t="str">
            <v>Engineering Feasibility</v>
          </cell>
          <cell r="C104">
            <v>0</v>
          </cell>
          <cell r="D104">
            <v>0</v>
          </cell>
          <cell r="F104">
            <v>0</v>
          </cell>
        </row>
        <row r="105">
          <cell r="A105">
            <v>82025</v>
          </cell>
          <cell r="B105" t="str">
            <v>Geotechnical Soil Tests</v>
          </cell>
          <cell r="C105">
            <v>0</v>
          </cell>
          <cell r="D105">
            <v>0</v>
          </cell>
          <cell r="F105">
            <v>0</v>
          </cell>
        </row>
        <row r="106">
          <cell r="A106">
            <v>82030</v>
          </cell>
          <cell r="B106" t="str">
            <v>Civil Engineering</v>
          </cell>
          <cell r="C106">
            <v>0</v>
          </cell>
          <cell r="D106">
            <v>0</v>
          </cell>
          <cell r="F106">
            <v>0</v>
          </cell>
        </row>
        <row r="107">
          <cell r="A107">
            <v>82031</v>
          </cell>
          <cell r="B107" t="str">
            <v>Civil Engineer:Schematic D</v>
          </cell>
          <cell r="C107">
            <v>22200</v>
          </cell>
          <cell r="D107">
            <v>9892.5</v>
          </cell>
          <cell r="E107">
            <v>9892.5</v>
          </cell>
          <cell r="F107">
            <v>0</v>
          </cell>
        </row>
        <row r="108">
          <cell r="A108">
            <v>82033</v>
          </cell>
          <cell r="B108" t="str">
            <v>Civil Engineer:Const D</v>
          </cell>
          <cell r="C108">
            <v>0</v>
          </cell>
          <cell r="D108">
            <v>0</v>
          </cell>
          <cell r="F108">
            <v>0</v>
          </cell>
        </row>
        <row r="109">
          <cell r="A109">
            <v>82035</v>
          </cell>
          <cell r="B109" t="str">
            <v>Landscape Architect</v>
          </cell>
          <cell r="C109">
            <v>0</v>
          </cell>
          <cell r="D109">
            <v>0</v>
          </cell>
          <cell r="F109">
            <v>0</v>
          </cell>
        </row>
        <row r="110">
          <cell r="A110">
            <v>82040</v>
          </cell>
          <cell r="B110" t="str">
            <v>Environment Consultant</v>
          </cell>
          <cell r="C110">
            <v>11000</v>
          </cell>
          <cell r="D110">
            <v>11000</v>
          </cell>
          <cell r="F110">
            <v>11000</v>
          </cell>
        </row>
        <row r="111">
          <cell r="A111">
            <v>82045</v>
          </cell>
          <cell r="B111" t="str">
            <v>Noise Consultant</v>
          </cell>
          <cell r="C111">
            <v>0</v>
          </cell>
          <cell r="D111">
            <v>0</v>
          </cell>
          <cell r="F111">
            <v>0</v>
          </cell>
        </row>
        <row r="112">
          <cell r="A112">
            <v>82050</v>
          </cell>
          <cell r="B112" t="str">
            <v>Traffic Consultant</v>
          </cell>
          <cell r="C112">
            <v>0</v>
          </cell>
          <cell r="D112">
            <v>0</v>
          </cell>
          <cell r="F112">
            <v>0</v>
          </cell>
        </row>
        <row r="113">
          <cell r="A113">
            <v>82055</v>
          </cell>
          <cell r="B113" t="str">
            <v>3rd Party Market Survey</v>
          </cell>
          <cell r="C113">
            <v>5000</v>
          </cell>
          <cell r="D113">
            <v>5000</v>
          </cell>
          <cell r="F113">
            <v>5000</v>
          </cell>
        </row>
        <row r="114">
          <cell r="A114">
            <v>82060</v>
          </cell>
          <cell r="B114" t="str">
            <v>Other Consultant</v>
          </cell>
          <cell r="C114">
            <v>0</v>
          </cell>
          <cell r="D114">
            <v>0</v>
          </cell>
          <cell r="F114">
            <v>0</v>
          </cell>
        </row>
        <row r="115">
          <cell r="A115">
            <v>82061</v>
          </cell>
          <cell r="B115" t="str">
            <v>Dry Utility Consultant</v>
          </cell>
          <cell r="C115">
            <v>4000</v>
          </cell>
          <cell r="D115">
            <v>4000</v>
          </cell>
          <cell r="F115">
            <v>4000</v>
          </cell>
        </row>
        <row r="116">
          <cell r="A116">
            <v>82065</v>
          </cell>
          <cell r="B116" t="str">
            <v>Wetland Consultant</v>
          </cell>
          <cell r="C116">
            <v>0</v>
          </cell>
          <cell r="D116">
            <v>0</v>
          </cell>
          <cell r="F116">
            <v>0</v>
          </cell>
        </row>
        <row r="117">
          <cell r="A117">
            <v>82075</v>
          </cell>
          <cell r="B117" t="str">
            <v>Land Planner</v>
          </cell>
          <cell r="C117">
            <v>0</v>
          </cell>
          <cell r="D117">
            <v>0</v>
          </cell>
          <cell r="F117">
            <v>0</v>
          </cell>
        </row>
        <row r="118">
          <cell r="A118">
            <v>82080</v>
          </cell>
          <cell r="B118" t="str">
            <v>Blueprints</v>
          </cell>
          <cell r="C118">
            <v>0</v>
          </cell>
          <cell r="D118">
            <v>0</v>
          </cell>
          <cell r="F118">
            <v>0</v>
          </cell>
        </row>
        <row r="119">
          <cell r="A119">
            <v>82110</v>
          </cell>
          <cell r="B119" t="str">
            <v>Archoelogical Study</v>
          </cell>
          <cell r="C119">
            <v>0</v>
          </cell>
          <cell r="D119">
            <v>0</v>
          </cell>
          <cell r="F119">
            <v>0</v>
          </cell>
        </row>
        <row r="120">
          <cell r="A120">
            <v>82115</v>
          </cell>
          <cell r="B120" t="str">
            <v>Survey</v>
          </cell>
          <cell r="C120">
            <v>0</v>
          </cell>
          <cell r="D120">
            <v>0</v>
          </cell>
          <cell r="F120">
            <v>0</v>
          </cell>
        </row>
        <row r="121">
          <cell r="A121">
            <v>82120</v>
          </cell>
          <cell r="B121" t="str">
            <v>Boundary/ALTA Survey</v>
          </cell>
          <cell r="C121">
            <v>0</v>
          </cell>
          <cell r="D121">
            <v>0</v>
          </cell>
          <cell r="E121">
            <v>6200</v>
          </cell>
          <cell r="F121">
            <v>-6200</v>
          </cell>
        </row>
        <row r="122">
          <cell r="A122">
            <v>82135</v>
          </cell>
          <cell r="B122" t="str">
            <v>As Built Surey</v>
          </cell>
          <cell r="C122">
            <v>0</v>
          </cell>
          <cell r="D122">
            <v>0</v>
          </cell>
          <cell r="F122">
            <v>0</v>
          </cell>
        </row>
        <row r="123">
          <cell r="A123">
            <v>82165</v>
          </cell>
          <cell r="B123" t="str">
            <v>Zoning/Land Use Consultant</v>
          </cell>
          <cell r="C123">
            <v>0</v>
          </cell>
          <cell r="D123">
            <v>0</v>
          </cell>
          <cell r="F123">
            <v>0</v>
          </cell>
        </row>
        <row r="124">
          <cell r="A124">
            <v>82130</v>
          </cell>
          <cell r="B124" t="str">
            <v>Wetland Delienation</v>
          </cell>
          <cell r="C124">
            <v>0</v>
          </cell>
          <cell r="D124">
            <v>0</v>
          </cell>
          <cell r="F124">
            <v>0</v>
          </cell>
        </row>
        <row r="125">
          <cell r="A125">
            <v>82145</v>
          </cell>
          <cell r="B125" t="str">
            <v>Waterproofing Consultant</v>
          </cell>
          <cell r="C125">
            <v>0</v>
          </cell>
          <cell r="D125">
            <v>0</v>
          </cell>
          <cell r="F125">
            <v>0</v>
          </cell>
        </row>
        <row r="126">
          <cell r="A126">
            <v>82150</v>
          </cell>
          <cell r="B126" t="str">
            <v>Equity Partner Inspection</v>
          </cell>
          <cell r="C126">
            <v>0</v>
          </cell>
          <cell r="D126">
            <v>0</v>
          </cell>
          <cell r="F126">
            <v>0</v>
          </cell>
        </row>
        <row r="127">
          <cell r="A127">
            <v>82125</v>
          </cell>
          <cell r="B127" t="str">
            <v>Topographical Survey</v>
          </cell>
          <cell r="C127">
            <v>0</v>
          </cell>
          <cell r="D127">
            <v>0</v>
          </cell>
          <cell r="F127">
            <v>0</v>
          </cell>
        </row>
        <row r="128">
          <cell r="A128">
            <v>82140</v>
          </cell>
          <cell r="B128" t="str">
            <v>Tree Survey</v>
          </cell>
          <cell r="C128">
            <v>0</v>
          </cell>
          <cell r="D128">
            <v>0</v>
          </cell>
          <cell r="F128">
            <v>0</v>
          </cell>
        </row>
        <row r="129">
          <cell r="A129">
            <v>82170</v>
          </cell>
          <cell r="B129" t="str">
            <v>Phone/Cable/Peer Review</v>
          </cell>
          <cell r="C129">
            <v>0</v>
          </cell>
          <cell r="D129">
            <v>0</v>
          </cell>
          <cell r="F129">
            <v>0</v>
          </cell>
        </row>
        <row r="130">
          <cell r="A130">
            <v>82175</v>
          </cell>
          <cell r="B130" t="str">
            <v>Access/Building Code Review</v>
          </cell>
          <cell r="C130">
            <v>0</v>
          </cell>
          <cell r="D130">
            <v>0</v>
          </cell>
          <cell r="F130">
            <v>0</v>
          </cell>
        </row>
        <row r="131">
          <cell r="A131">
            <v>82185</v>
          </cell>
          <cell r="B131" t="str">
            <v>LEED Consultant/Inspections</v>
          </cell>
          <cell r="C131">
            <v>0</v>
          </cell>
          <cell r="D131">
            <v>0</v>
          </cell>
          <cell r="F131">
            <v>0</v>
          </cell>
        </row>
        <row r="132">
          <cell r="A132">
            <v>82200</v>
          </cell>
          <cell r="B132" t="str">
            <v>Shoring</v>
          </cell>
          <cell r="C132">
            <v>0</v>
          </cell>
          <cell r="D132">
            <v>0</v>
          </cell>
          <cell r="F132">
            <v>0</v>
          </cell>
        </row>
        <row r="133">
          <cell r="A133">
            <v>83020</v>
          </cell>
          <cell r="B133" t="str">
            <v>Office Supplies</v>
          </cell>
          <cell r="C133">
            <v>0</v>
          </cell>
          <cell r="D133">
            <v>0</v>
          </cell>
          <cell r="F133">
            <v>0</v>
          </cell>
        </row>
        <row r="134">
          <cell r="A134">
            <v>83025</v>
          </cell>
          <cell r="B134" t="str">
            <v>Advertising</v>
          </cell>
          <cell r="C134">
            <v>0</v>
          </cell>
          <cell r="D134">
            <v>0</v>
          </cell>
          <cell r="F134">
            <v>0</v>
          </cell>
        </row>
        <row r="135">
          <cell r="A135">
            <v>83030</v>
          </cell>
          <cell r="B135" t="str">
            <v xml:space="preserve">Marketing   </v>
          </cell>
          <cell r="C135">
            <v>0</v>
          </cell>
          <cell r="D135">
            <v>0</v>
          </cell>
          <cell r="F135">
            <v>0</v>
          </cell>
        </row>
        <row r="136">
          <cell r="A136">
            <v>83050</v>
          </cell>
          <cell r="B136" t="str">
            <v>Payroll</v>
          </cell>
          <cell r="C136">
            <v>0</v>
          </cell>
          <cell r="D136">
            <v>0</v>
          </cell>
          <cell r="F136">
            <v>0</v>
          </cell>
        </row>
        <row r="137">
          <cell r="A137">
            <v>83065</v>
          </cell>
          <cell r="B137" t="str">
            <v>Operating Defecit</v>
          </cell>
          <cell r="C137">
            <v>0</v>
          </cell>
          <cell r="D137">
            <v>0</v>
          </cell>
          <cell r="F137">
            <v>0</v>
          </cell>
        </row>
        <row r="138">
          <cell r="A138">
            <v>84015</v>
          </cell>
          <cell r="B138" t="str">
            <v>Marketing - Leasing</v>
          </cell>
          <cell r="C138">
            <v>0</v>
          </cell>
          <cell r="D138">
            <v>0</v>
          </cell>
          <cell r="F138">
            <v>0</v>
          </cell>
        </row>
        <row r="139">
          <cell r="A139">
            <v>84025</v>
          </cell>
          <cell r="B139" t="str">
            <v>Marketing - Misc</v>
          </cell>
          <cell r="C139">
            <v>0</v>
          </cell>
          <cell r="D139">
            <v>0</v>
          </cell>
          <cell r="F139">
            <v>0</v>
          </cell>
        </row>
        <row r="140">
          <cell r="A140">
            <v>84030</v>
          </cell>
          <cell r="B140" t="str">
            <v>Signage</v>
          </cell>
          <cell r="C140">
            <v>0</v>
          </cell>
          <cell r="D140">
            <v>0</v>
          </cell>
          <cell r="F140">
            <v>0</v>
          </cell>
        </row>
        <row r="141">
          <cell r="A141">
            <v>84035</v>
          </cell>
          <cell r="B141" t="str">
            <v>Interior Design</v>
          </cell>
          <cell r="C141">
            <v>0</v>
          </cell>
          <cell r="D141">
            <v>0</v>
          </cell>
          <cell r="F141">
            <v>0</v>
          </cell>
        </row>
        <row r="142">
          <cell r="A142">
            <v>84075</v>
          </cell>
          <cell r="B142" t="str">
            <v>Other Development Costs</v>
          </cell>
          <cell r="C142">
            <v>0</v>
          </cell>
          <cell r="D142">
            <v>0</v>
          </cell>
          <cell r="E142">
            <v>1775.88</v>
          </cell>
          <cell r="F142">
            <v>-1775.88</v>
          </cell>
        </row>
        <row r="143">
          <cell r="A143">
            <v>84080</v>
          </cell>
          <cell r="B143" t="str">
            <v>Brochures/Printing</v>
          </cell>
          <cell r="C143">
            <v>0</v>
          </cell>
          <cell r="D143">
            <v>0</v>
          </cell>
          <cell r="F143">
            <v>0</v>
          </cell>
        </row>
        <row r="144">
          <cell r="A144">
            <v>84105</v>
          </cell>
          <cell r="B144" t="str">
            <v>Logo/Graphics/Collateral Design</v>
          </cell>
          <cell r="C144">
            <v>0</v>
          </cell>
          <cell r="D144">
            <v>0</v>
          </cell>
          <cell r="F144">
            <v>0</v>
          </cell>
        </row>
        <row r="145">
          <cell r="A145">
            <v>86060</v>
          </cell>
          <cell r="B145" t="str">
            <v>Travel</v>
          </cell>
          <cell r="C145">
            <v>0</v>
          </cell>
          <cell r="D145">
            <v>0</v>
          </cell>
          <cell r="F145">
            <v>0</v>
          </cell>
        </row>
        <row r="146">
          <cell r="A146">
            <v>86065</v>
          </cell>
          <cell r="B146" t="str">
            <v>Pursuit Write Off/Reimb</v>
          </cell>
          <cell r="C146">
            <v>0</v>
          </cell>
          <cell r="D146">
            <v>0</v>
          </cell>
          <cell r="F146">
            <v>0</v>
          </cell>
        </row>
        <row r="147">
          <cell r="A147">
            <v>86075</v>
          </cell>
          <cell r="B147" t="str">
            <v>Reproductions</v>
          </cell>
          <cell r="C147">
            <v>0</v>
          </cell>
          <cell r="D147">
            <v>0</v>
          </cell>
          <cell r="F147">
            <v>0</v>
          </cell>
        </row>
        <row r="148">
          <cell r="A148">
            <v>86080</v>
          </cell>
          <cell r="B148" t="str">
            <v>Postage</v>
          </cell>
          <cell r="C148">
            <v>0</v>
          </cell>
          <cell r="D148">
            <v>0</v>
          </cell>
          <cell r="F148">
            <v>0</v>
          </cell>
        </row>
        <row r="149">
          <cell r="A149">
            <v>86085</v>
          </cell>
          <cell r="B149" t="str">
            <v>Marketing</v>
          </cell>
          <cell r="C149">
            <v>0</v>
          </cell>
          <cell r="D149">
            <v>0</v>
          </cell>
          <cell r="F149">
            <v>0</v>
          </cell>
        </row>
        <row r="150">
          <cell r="A150">
            <v>96650</v>
          </cell>
          <cell r="B150" t="str">
            <v>Drainage &amp; Erosion</v>
          </cell>
          <cell r="C150">
            <v>0</v>
          </cell>
          <cell r="D150">
            <v>0</v>
          </cell>
          <cell r="F150">
            <v>0</v>
          </cell>
        </row>
        <row r="151">
          <cell r="A151">
            <v>86088</v>
          </cell>
          <cell r="B151" t="str">
            <v>Engineering Consultant</v>
          </cell>
          <cell r="C151">
            <v>0</v>
          </cell>
          <cell r="D151">
            <v>0</v>
          </cell>
          <cell r="F151">
            <v>0</v>
          </cell>
        </row>
        <row r="152">
          <cell r="A152">
            <v>98009</v>
          </cell>
          <cell r="B152" t="str">
            <v>Pre Bid Expenses</v>
          </cell>
          <cell r="C152">
            <v>0</v>
          </cell>
          <cell r="D152">
            <v>0</v>
          </cell>
          <cell r="F152">
            <v>0</v>
          </cell>
        </row>
        <row r="153">
          <cell r="B153" t="str">
            <v>TOTAL</v>
          </cell>
          <cell r="C153">
            <v>207813</v>
          </cell>
          <cell r="D153">
            <v>82634.25</v>
          </cell>
          <cell r="E153">
            <v>104936.98000000001</v>
          </cell>
          <cell r="F153">
            <v>-22302.73</v>
          </cell>
        </row>
        <row r="154">
          <cell r="A154">
            <v>97350</v>
          </cell>
          <cell r="B154" t="str">
            <v>Soft Cost Contingency</v>
          </cell>
          <cell r="C154">
            <v>14016</v>
          </cell>
          <cell r="D154">
            <v>0</v>
          </cell>
          <cell r="F154">
            <v>0</v>
          </cell>
        </row>
        <row r="155">
          <cell r="B155" t="str">
            <v>TOTAL + Contingency</v>
          </cell>
          <cell r="C155">
            <v>221829</v>
          </cell>
          <cell r="D155">
            <v>82634.25</v>
          </cell>
          <cell r="E155">
            <v>104936.98000000001</v>
          </cell>
          <cell r="F155">
            <v>-22302.73</v>
          </cell>
        </row>
      </sheetData>
      <sheetData sheetId="40" refreshError="1"/>
      <sheetData sheetId="41" refreshError="1"/>
      <sheetData sheetId="42" refreshError="1"/>
      <sheetData sheetId="43" refreshError="1"/>
      <sheetData sheetId="44" refreshError="1"/>
      <sheetData sheetId="45">
        <row r="12">
          <cell r="E12">
            <v>41927</v>
          </cell>
          <cell r="F12">
            <v>41958</v>
          </cell>
          <cell r="G12">
            <v>41988</v>
          </cell>
          <cell r="H12">
            <v>42019</v>
          </cell>
          <cell r="I12">
            <v>42050</v>
          </cell>
          <cell r="J12">
            <v>42078</v>
          </cell>
          <cell r="K12">
            <v>42109</v>
          </cell>
          <cell r="L12">
            <v>42139</v>
          </cell>
          <cell r="M12">
            <v>42170</v>
          </cell>
          <cell r="N12">
            <v>42200</v>
          </cell>
          <cell r="O12">
            <v>42231</v>
          </cell>
          <cell r="P12">
            <v>42262</v>
          </cell>
          <cell r="Q12">
            <v>42292</v>
          </cell>
          <cell r="R12">
            <v>42323</v>
          </cell>
          <cell r="S12">
            <v>42353</v>
          </cell>
          <cell r="T12">
            <v>42384</v>
          </cell>
          <cell r="U12">
            <v>42415</v>
          </cell>
          <cell r="V12">
            <v>42444</v>
          </cell>
          <cell r="W12">
            <v>42475</v>
          </cell>
          <cell r="X12">
            <v>42505</v>
          </cell>
          <cell r="Y12">
            <v>42536</v>
          </cell>
          <cell r="Z12">
            <v>42566</v>
          </cell>
          <cell r="AA12">
            <v>42597</v>
          </cell>
          <cell r="AB12">
            <v>42628</v>
          </cell>
          <cell r="AC12">
            <v>42658</v>
          </cell>
          <cell r="AD12">
            <v>42689</v>
          </cell>
          <cell r="AE12">
            <v>42719</v>
          </cell>
          <cell r="AF12">
            <v>42750</v>
          </cell>
          <cell r="AG12">
            <v>42781</v>
          </cell>
          <cell r="AH12">
            <v>42809</v>
          </cell>
          <cell r="AI12">
            <v>42840</v>
          </cell>
          <cell r="AJ12">
            <v>42870</v>
          </cell>
          <cell r="AK12">
            <v>42901</v>
          </cell>
          <cell r="AL12">
            <v>42931</v>
          </cell>
          <cell r="AM12">
            <v>42962</v>
          </cell>
          <cell r="AN12">
            <v>42993</v>
          </cell>
          <cell r="AO12">
            <v>43023</v>
          </cell>
          <cell r="AP12">
            <v>43054</v>
          </cell>
          <cell r="AQ12">
            <v>43084</v>
          </cell>
          <cell r="AR12">
            <v>43115</v>
          </cell>
          <cell r="AS12">
            <v>43146</v>
          </cell>
          <cell r="AT12">
            <v>43174</v>
          </cell>
          <cell r="AU12">
            <v>43205</v>
          </cell>
          <cell r="AV12">
            <v>43235</v>
          </cell>
          <cell r="AW12">
            <v>43266</v>
          </cell>
          <cell r="AX12">
            <v>43296</v>
          </cell>
          <cell r="AY12">
            <v>43327</v>
          </cell>
          <cell r="AZ12">
            <v>43358</v>
          </cell>
          <cell r="BA12">
            <v>43388</v>
          </cell>
          <cell r="BB12">
            <v>43419</v>
          </cell>
          <cell r="BC12">
            <v>43449</v>
          </cell>
          <cell r="BD12">
            <v>43480</v>
          </cell>
          <cell r="BE12">
            <v>43511</v>
          </cell>
          <cell r="BF12">
            <v>43539</v>
          </cell>
          <cell r="BG12">
            <v>43570</v>
          </cell>
          <cell r="BH12">
            <v>43600</v>
          </cell>
          <cell r="BI12">
            <v>43631</v>
          </cell>
          <cell r="BJ12">
            <v>43661</v>
          </cell>
          <cell r="BK12">
            <v>43692</v>
          </cell>
          <cell r="BL12">
            <v>43723</v>
          </cell>
        </row>
        <row r="154">
          <cell r="E154">
            <v>-21428386.645448722</v>
          </cell>
          <cell r="F154" t="e">
            <v>#REF!</v>
          </cell>
          <cell r="G154" t="e">
            <v>#REF!</v>
          </cell>
          <cell r="H154" t="e">
            <v>#REF!</v>
          </cell>
          <cell r="I154" t="e">
            <v>#REF!</v>
          </cell>
          <cell r="J154" t="e">
            <v>#REF!</v>
          </cell>
          <cell r="K154" t="e">
            <v>#REF!</v>
          </cell>
          <cell r="L154" t="e">
            <v>#REF!</v>
          </cell>
          <cell r="M154" t="e">
            <v>#REF!</v>
          </cell>
          <cell r="N154" t="e">
            <v>#REF!</v>
          </cell>
          <cell r="O154" t="e">
            <v>#REF!</v>
          </cell>
          <cell r="P154" t="e">
            <v>#REF!</v>
          </cell>
          <cell r="Q154" t="e">
            <v>#REF!</v>
          </cell>
          <cell r="R154" t="e">
            <v>#REF!</v>
          </cell>
          <cell r="S154" t="e">
            <v>#REF!</v>
          </cell>
          <cell r="T154" t="e">
            <v>#REF!</v>
          </cell>
          <cell r="U154" t="e">
            <v>#REF!</v>
          </cell>
          <cell r="V154" t="e">
            <v>#REF!</v>
          </cell>
          <cell r="W154" t="e">
            <v>#REF!</v>
          </cell>
          <cell r="X154" t="e">
            <v>#REF!</v>
          </cell>
          <cell r="Y154" t="e">
            <v>#REF!</v>
          </cell>
          <cell r="Z154" t="e">
            <v>#REF!</v>
          </cell>
          <cell r="AA154" t="e">
            <v>#REF!</v>
          </cell>
          <cell r="AB154" t="e">
            <v>#REF!</v>
          </cell>
          <cell r="AC154" t="e">
            <v>#REF!</v>
          </cell>
          <cell r="AD154" t="e">
            <v>#REF!</v>
          </cell>
          <cell r="AE154" t="e">
            <v>#REF!</v>
          </cell>
          <cell r="AF154" t="e">
            <v>#REF!</v>
          </cell>
          <cell r="AG154" t="e">
            <v>#REF!</v>
          </cell>
          <cell r="AH154" t="e">
            <v>#REF!</v>
          </cell>
          <cell r="AI154" t="e">
            <v>#REF!</v>
          </cell>
          <cell r="AJ154" t="e">
            <v>#REF!</v>
          </cell>
          <cell r="AK154" t="e">
            <v>#REF!</v>
          </cell>
          <cell r="AL154" t="e">
            <v>#REF!</v>
          </cell>
          <cell r="AM154" t="e">
            <v>#REF!</v>
          </cell>
          <cell r="AN154" t="e">
            <v>#REF!</v>
          </cell>
          <cell r="AO154" t="e">
            <v>#REF!</v>
          </cell>
          <cell r="AP154" t="e">
            <v>#REF!</v>
          </cell>
          <cell r="AQ154" t="e">
            <v>#REF!</v>
          </cell>
          <cell r="AR154" t="e">
            <v>#REF!</v>
          </cell>
          <cell r="AS154" t="e">
            <v>#REF!</v>
          </cell>
          <cell r="AT154" t="e">
            <v>#REF!</v>
          </cell>
          <cell r="AU154" t="e">
            <v>#REF!</v>
          </cell>
          <cell r="AV154" t="e">
            <v>#REF!</v>
          </cell>
          <cell r="AW154" t="e">
            <v>#REF!</v>
          </cell>
          <cell r="AX154" t="e">
            <v>#REF!</v>
          </cell>
          <cell r="AY154" t="e">
            <v>#REF!</v>
          </cell>
          <cell r="AZ154" t="e">
            <v>#REF!</v>
          </cell>
          <cell r="BA154" t="e">
            <v>#REF!</v>
          </cell>
          <cell r="BB154" t="e">
            <v>#REF!</v>
          </cell>
          <cell r="BC154" t="e">
            <v>#REF!</v>
          </cell>
          <cell r="BD154" t="e">
            <v>#REF!</v>
          </cell>
          <cell r="BE154" t="e">
            <v>#REF!</v>
          </cell>
          <cell r="BF154" t="e">
            <v>#REF!</v>
          </cell>
          <cell r="BG154" t="e">
            <v>#REF!</v>
          </cell>
          <cell r="BH154" t="e">
            <v>#REF!</v>
          </cell>
          <cell r="BI154" t="e">
            <v>#REF!</v>
          </cell>
          <cell r="BJ154" t="e">
            <v>#REF!</v>
          </cell>
          <cell r="BK154" t="e">
            <v>#REF!</v>
          </cell>
          <cell r="BL154" t="e">
            <v>#REF!</v>
          </cell>
        </row>
      </sheetData>
      <sheetData sheetId="46" refreshError="1"/>
      <sheetData sheetId="47" refreshError="1"/>
      <sheetData sheetId="48" refreshError="1"/>
      <sheetData sheetId="49">
        <row r="4">
          <cell r="D4" t="str">
            <v>Initial</v>
          </cell>
          <cell r="F4" t="str">
            <v>Planned</v>
          </cell>
        </row>
        <row r="5">
          <cell r="D5" t="str">
            <v>Final</v>
          </cell>
          <cell r="F5" t="str">
            <v>On Hold</v>
          </cell>
        </row>
        <row r="6">
          <cell r="D6" t="str">
            <v>Update 1</v>
          </cell>
          <cell r="F6" t="str">
            <v>Const.</v>
          </cell>
        </row>
        <row r="7">
          <cell r="D7" t="str">
            <v>Update 2</v>
          </cell>
          <cell r="F7" t="str">
            <v>Leasing</v>
          </cell>
        </row>
        <row r="8">
          <cell r="D8" t="str">
            <v>Update 3</v>
          </cell>
        </row>
        <row r="9">
          <cell r="D9" t="str">
            <v>Update 4</v>
          </cell>
        </row>
        <row r="10">
          <cell r="D10" t="str">
            <v>Update 5</v>
          </cell>
        </row>
      </sheetData>
      <sheetData sheetId="50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ustomize Your Invoice"/>
      <sheetName val="AutoOpen Stub Data"/>
      <sheetName val="Invoice"/>
      <sheetName val="Macros"/>
      <sheetName val="ATW"/>
      <sheetName val="Lock"/>
      <sheetName val="Intl Data Table"/>
      <sheetName val="TemplateInformation"/>
      <sheetName val="GCP Invoice-JMIGR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ustomize Your Invoice"/>
      <sheetName val="AutoOpen Stub Data"/>
      <sheetName val="Invoice"/>
      <sheetName val="Macros"/>
      <sheetName val="ATW"/>
      <sheetName val="Lock"/>
      <sheetName val="Intl Data Table"/>
      <sheetName val="TemplateInformation"/>
      <sheetName val="GCP Invoice-JMIGRP"/>
    </sheetNames>
    <sheetDataSet>
      <sheetData sheetId="0" refreshError="1">
        <row r="15">
          <cell r="E15" t="str">
            <v>TX</v>
          </cell>
        </row>
        <row r="22">
          <cell r="E22" t="str">
            <v>State</v>
          </cell>
        </row>
        <row r="28">
          <cell r="D28" t="b">
            <v>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al Input"/>
      <sheetName val="Annual CF Input"/>
      <sheetName val="Monthly CF Input"/>
      <sheetName val="Pools"/>
      <sheetName val="RE Valuation"/>
      <sheetName val="JV Financials"/>
      <sheetName val="GE Economics"/>
      <sheetName val="Metrics"/>
      <sheetName val="Sensitivities"/>
      <sheetName val="Deal Assumptions"/>
      <sheetName val="Property Assumptions"/>
      <sheetName val="Debt Worksheet"/>
      <sheetName val="Equity Worksheet"/>
      <sheetName val="FAS 141"/>
      <sheetName val="Overhead"/>
      <sheetName val="Data Tape"/>
      <sheetName val="Criteria"/>
      <sheetName val="UW vs Actual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al Input"/>
      <sheetName val="Annual CF Input"/>
      <sheetName val="Monthly CF Input"/>
      <sheetName val="Pools"/>
      <sheetName val="RE Valuation"/>
      <sheetName val="JV Financials"/>
      <sheetName val="GE Economics"/>
      <sheetName val="Metrics"/>
      <sheetName val="Sensitivities"/>
      <sheetName val="Deal Assumptions"/>
      <sheetName val="Property Assumptions"/>
      <sheetName val="Debt Worksheet"/>
      <sheetName val="Equity Worksheet"/>
      <sheetName val="FAS 141"/>
      <sheetName val="Overhead"/>
      <sheetName val="Data Tape"/>
      <sheetName val="Criteria"/>
      <sheetName val="UW vs Actual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>
        <row r="345">
          <cell r="G345" t="str">
            <v>Multi-Family</v>
          </cell>
          <cell r="H345" t="str">
            <v>Industrial</v>
          </cell>
          <cell r="I345" t="str">
            <v>Flex</v>
          </cell>
          <cell r="J345" t="str">
            <v>Office - CBD</v>
          </cell>
          <cell r="K345" t="str">
            <v>Office - Suburban</v>
          </cell>
          <cell r="L345" t="str">
            <v>Retail - Community Center</v>
          </cell>
          <cell r="M345" t="str">
            <v>Retail - Power Center</v>
          </cell>
          <cell r="N345" t="str">
            <v>Retail - Regional Mall</v>
          </cell>
          <cell r="O345" t="str">
            <v>Hotel</v>
          </cell>
          <cell r="P345" t="str">
            <v>Ground Lease</v>
          </cell>
          <cell r="Q345" t="str">
            <v>Golf</v>
          </cell>
          <cell r="R345" t="str">
            <v>Marina</v>
          </cell>
          <cell r="S345" t="str">
            <v>Mobile Home Park</v>
          </cell>
          <cell r="T345" t="str">
            <v>Mixed Use</v>
          </cell>
          <cell r="U345" t="str">
            <v>Parking Facility</v>
          </cell>
          <cell r="V345" t="str">
            <v>Senior Living</v>
          </cell>
          <cell r="W345" t="str">
            <v>Self Storage</v>
          </cell>
          <cell r="X345" t="str">
            <v>Condo Conversions</v>
          </cell>
          <cell r="Y345" t="str">
            <v>Other</v>
          </cell>
          <cell r="Z345" t="str">
            <v>Land</v>
          </cell>
        </row>
      </sheetData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498641627242"/>
      <sheetName val="Template"/>
      <sheetName val="Sheet3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498641627242"/>
      <sheetName val="Template"/>
      <sheetName val="Sheet3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emplate"/>
    </sheetNames>
    <sheetDataSet>
      <sheetData sheetId="0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emplate"/>
    </sheetNames>
    <sheetDataSet>
      <sheetData sheetId="0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perty taxes-NOI-Prop 13 2538"/>
      <sheetName val="585 22nd NOI reduction-Prop 13"/>
      <sheetName val="471 Fees and allowances"/>
      <sheetName val="Unit mix revised 2538 08-04-16"/>
      <sheetName val="Unit mix revised 585 01-24-17"/>
      <sheetName val="570 Fees and Allowances"/>
      <sheetName val="Operating Expense &amp; Income 2538"/>
      <sheetName val="Rental pro-forma-97 UNITS-2538"/>
      <sheetName val="OVERALL DRAW 2538"/>
      <sheetName val="Equity Investor Sheet 2538"/>
      <sheetName val="26th - PM Budget"/>
      <sheetName val="2538 ALL EXPENSES"/>
      <sheetName val="2538 CONTRACTS"/>
      <sheetName val="Monthly Draw 585&amp;2538"/>
      <sheetName val="Operating Expense &amp; Income-585"/>
      <sheetName val="Rental pro-forma 585"/>
      <sheetName val="OVERALL DRAW 585"/>
      <sheetName val="Equity Investor Sheet 585"/>
      <sheetName val="21st - PM Budget"/>
      <sheetName val="585 ALL EXPENSES"/>
      <sheetName val="585 CONTRACTS"/>
      <sheetName val="UBS Waterfall"/>
      <sheetName val="Return Summary"/>
      <sheetName val="Trended CF-Simple 2538"/>
      <sheetName val="Trended CF-Simple585"/>
      <sheetName val="2538 BID LOG 5-16-17"/>
      <sheetName val="2538 BID LOG 6-6-17"/>
      <sheetName val="COSTS BOTH"/>
      <sheetName val="CONSOLIDATED"/>
      <sheetName val="DESIGN DRAW 585"/>
      <sheetName val="DESIGN DRAW 2538"/>
      <sheetName val="10y Libor"/>
      <sheetName val="60 units-OLD"/>
      <sheetName val="TIC Structure"/>
      <sheetName val="10 Yr. - Cash Flow"/>
      <sheetName val="One Pager - Assumptions"/>
      <sheetName val="NOI Down"/>
      <sheetName val="Rent Roll"/>
      <sheetName val="Rent"/>
      <sheetName val="TI"/>
      <sheetName val="Supporting Info."/>
      <sheetName val="Lease-Up"/>
      <sheetName val="Client Specifi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perty taxes-NOI-Prop 13 2538"/>
      <sheetName val="585 22nd NOI reduction-Prop 13"/>
      <sheetName val="471 Fees and allowances"/>
      <sheetName val="Unit mix revised 2538 08-04-16"/>
      <sheetName val="Unit mix revised 585 01-24-17"/>
      <sheetName val="570 Fees and Allowances"/>
      <sheetName val="Operating Expense &amp; Income 2538"/>
      <sheetName val="Rental pro-forma-97 UNITS-2538"/>
      <sheetName val="OVERALL DRAW 2538"/>
      <sheetName val="Equity Investor Sheet 2538"/>
      <sheetName val="26th - PM Budget"/>
      <sheetName val="2538 ALL EXPENSES"/>
      <sheetName val="2538 CONTRACTS"/>
      <sheetName val="Monthly Draw 585&amp;2538"/>
      <sheetName val="Operating Expense &amp; Income-585"/>
      <sheetName val="Rental pro-forma 585"/>
      <sheetName val="OVERALL DRAW 585"/>
      <sheetName val="Equity Investor Sheet 585"/>
      <sheetName val="21st - PM Budget"/>
      <sheetName val="585 ALL EXPENSES"/>
      <sheetName val="585 CONTRACTS"/>
      <sheetName val="UBS Waterfall"/>
      <sheetName val="Return Summary"/>
      <sheetName val="Trended CF-Simple 2538"/>
      <sheetName val="Trended CF-Simple585"/>
      <sheetName val="2538 BID LOG 5-16-17"/>
      <sheetName val="2538 BID LOG 6-6-17"/>
      <sheetName val="COSTS BOTH"/>
      <sheetName val="CONSOLIDATED"/>
      <sheetName val="DESIGN DRAW 585"/>
      <sheetName val="DESIGN DRAW 2538"/>
      <sheetName val="10y Libor"/>
      <sheetName val="60 units-OLD"/>
      <sheetName val="TIC Structure"/>
      <sheetName val="10 Yr. - Cash Flow"/>
      <sheetName val="One Pager - Assumptions"/>
      <sheetName val="NOI Down"/>
      <sheetName val="Rent Roll"/>
      <sheetName val="Rent"/>
      <sheetName val="TI"/>
      <sheetName val="Supporting Info."/>
      <sheetName val="Lease-Up"/>
      <sheetName val="Client Specific"/>
    </sheetNames>
    <sheetDataSet>
      <sheetData sheetId="0"/>
      <sheetData sheetId="1"/>
      <sheetData sheetId="2">
        <row r="31">
          <cell r="H31">
            <v>85471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>
        <row r="31">
          <cell r="H31">
            <v>85471</v>
          </cell>
        </row>
      </sheetData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perty taxes-NOI-Prop 13 2538"/>
      <sheetName val="585 22nd NOI reduction-Prop 13"/>
      <sheetName val="471 Fees and allowances"/>
      <sheetName val="Unit mix revised 2538 08-04-16"/>
      <sheetName val="Unit mix revised 585 01-24-17"/>
      <sheetName val="570 Fees and Allowances"/>
      <sheetName val="Operating Expense &amp; Income 2538"/>
      <sheetName val="Rental pro-forma-97 UNITS-2538"/>
      <sheetName val="OVERALL DRAW 2538"/>
      <sheetName val="Equity Investor Sheet 2538"/>
      <sheetName val="26th - PM Budget"/>
      <sheetName val="2538 ALL EXPENSES"/>
      <sheetName val="2538 CONTRACTS"/>
      <sheetName val="Monthly Draw 585&amp;2538"/>
      <sheetName val="Operating Expense &amp; Income-585"/>
      <sheetName val="Rental pro-forma 585"/>
      <sheetName val="OVERALL DRAW 585"/>
      <sheetName val="Equity Investor Sheet 585"/>
      <sheetName val="21st - PM Budget"/>
      <sheetName val="585 ALL EXPENSES"/>
      <sheetName val="585 CONTRACTS"/>
      <sheetName val="UBS Waterfall"/>
      <sheetName val="Return Summary"/>
      <sheetName val="Trended CF-Simple 2538"/>
      <sheetName val="Trended CF-Simple585"/>
      <sheetName val="2538 BID LOG 5-16-17"/>
      <sheetName val="2538 BID LOG 6-6-17"/>
      <sheetName val="COSTS BOTH"/>
      <sheetName val="CONSOLIDATED"/>
      <sheetName val="DESIGN DRAW 585"/>
      <sheetName val="DESIGN DRAW 2538"/>
      <sheetName val="10y Libor"/>
      <sheetName val="60 units-OLD"/>
      <sheetName val="Updates"/>
      <sheetName val="Negotiations Page"/>
      <sheetName val="Land Flip"/>
      <sheetName val="Parking"/>
      <sheetName val="base case"/>
      <sheetName val="Spent to Date"/>
      <sheetName val="Table of Contents"/>
      <sheetName val="Lanes Analysis"/>
      <sheetName val="Investment Committee Cover"/>
      <sheetName val="Executive Summary"/>
      <sheetName val="Assumptions Tracker"/>
      <sheetName val="Development Images"/>
      <sheetName val="Lanes Summary"/>
      <sheetName val="1 - Location"/>
      <sheetName val="2 - Supply &amp; Demand"/>
      <sheetName val="3 - Basis"/>
      <sheetName val="4 - Rents"/>
      <sheetName val="5 - Rent Growth"/>
      <sheetName val="6 - Development"/>
      <sheetName val="7 - Construction"/>
      <sheetName val="8 - Transaction Timing"/>
      <sheetName val="9 - Partnership Structure"/>
      <sheetName val="10 - Returns"/>
      <sheetName val="NOT IN USE - Detailed Budget"/>
      <sheetName val="Muni Fees"/>
      <sheetName val="New Detailed Budget MT"/>
      <sheetName val="Input"/>
      <sheetName val="Equity Package"/>
      <sheetName val="Coinvest Analysis"/>
      <sheetName val="Pursuit Schedule"/>
      <sheetName val="Comparison IC"/>
      <sheetName val="Sales Analysis"/>
      <sheetName val="REIS 2Q12"/>
      <sheetName val="Untrended Cash Flow"/>
      <sheetName val="Trended Cash Flow"/>
      <sheetName val="Comparison Table"/>
      <sheetName val="REIS YE2011"/>
      <sheetName val="Mgmt Sign Off"/>
      <sheetName val="Capitalization"/>
      <sheetName val="Comparison"/>
      <sheetName val="3Q11 REIS Report"/>
      <sheetName val="Exhibits"/>
      <sheetName val="Develop. Integrated Lifecycle"/>
      <sheetName val="Integrated Checklist"/>
      <sheetName val="Conceptual Design Review"/>
      <sheetName val="Detailed Costs"/>
      <sheetName val="Deposit Dollars"/>
      <sheetName val="Pursuit Costs"/>
      <sheetName val="Tools"/>
      <sheetName val="Generic Cover"/>
      <sheetName val="Notes"/>
      <sheetName val="Protocol &amp; Policy"/>
      <sheetName val="Suggestions"/>
      <sheetName val="Calc Table"/>
      <sheetName val="Project Cost Summary"/>
      <sheetName val="Lease Up"/>
      <sheetName val="Lists"/>
      <sheetName val="Origin"/>
      <sheetName val="Construction Costs"/>
      <sheetName val="Expense Detail"/>
      <sheetName val="Data"/>
      <sheetName val="Operating Expense &amp; Income"/>
      <sheetName val="Property taxes-NOI- Prop 13"/>
      <sheetName val="Rental pro-forma-97 UNITS"/>
      <sheetName val="Schedule-Budgets-2538"/>
      <sheetName val="Monthly Draw 2538"/>
      <sheetName val="Trended CF-Simple"/>
      <sheetName val="Rent Roll table for Equity Book"/>
      <sheetName val="Cost Allocation to commercia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perty taxes-NOI-Prop 13 2538"/>
      <sheetName val="585 22nd NOI reduction-Prop 13"/>
      <sheetName val="471 Fees and allowances"/>
      <sheetName val="Unit mix revised 2538 08-04-16"/>
      <sheetName val="Unit mix revised 585 01-24-17"/>
      <sheetName val="570 Fees and Allowances"/>
      <sheetName val="Operating Expense &amp; Income 2538"/>
      <sheetName val="Rental pro-forma-97 UNITS-2538"/>
      <sheetName val="OVERALL DRAW 2538"/>
      <sheetName val="Equity Investor Sheet 2538"/>
      <sheetName val="26th - PM Budget"/>
      <sheetName val="2538 ALL EXPENSES"/>
      <sheetName val="2538 CONTRACTS"/>
      <sheetName val="Monthly Draw 585&amp;2538"/>
      <sheetName val="Operating Expense &amp; Income-585"/>
      <sheetName val="Rental pro-forma 585"/>
      <sheetName val="OVERALL DRAW 585"/>
      <sheetName val="Equity Investor Sheet 585"/>
      <sheetName val="21st - PM Budget"/>
      <sheetName val="585 ALL EXPENSES"/>
      <sheetName val="585 CONTRACTS"/>
      <sheetName val="UBS Waterfall"/>
      <sheetName val="Return Summary"/>
      <sheetName val="Trended CF-Simple 2538"/>
      <sheetName val="Trended CF-Simple585"/>
      <sheetName val="2538 BID LOG 5-16-17"/>
      <sheetName val="2538 BID LOG 6-6-17"/>
      <sheetName val="COSTS BOTH"/>
      <sheetName val="CONSOLIDATED"/>
      <sheetName val="DESIGN DRAW 585"/>
      <sheetName val="DESIGN DRAW 2538"/>
      <sheetName val="10y Libor"/>
      <sheetName val="60 units-OLD"/>
      <sheetName val="Updates"/>
      <sheetName val="Negotiations Page"/>
      <sheetName val="Land Flip"/>
      <sheetName val="Parking"/>
      <sheetName val="base case"/>
      <sheetName val="Spent to Date"/>
      <sheetName val="Table of Contents"/>
      <sheetName val="Lanes Analysis"/>
      <sheetName val="Investment Committee Cover"/>
      <sheetName val="Executive Summary"/>
      <sheetName val="Assumptions Tracker"/>
      <sheetName val="Development Images"/>
      <sheetName val="Lanes Summary"/>
      <sheetName val="1 - Location"/>
      <sheetName val="2 - Supply &amp; Demand"/>
      <sheetName val="3 - Basis"/>
      <sheetName val="4 - Rents"/>
      <sheetName val="5 - Rent Growth"/>
      <sheetName val="6 - Development"/>
      <sheetName val="7 - Construction"/>
      <sheetName val="8 - Transaction Timing"/>
      <sheetName val="9 - Partnership Structure"/>
      <sheetName val="10 - Returns"/>
      <sheetName val="NOT IN USE - Detailed Budget"/>
      <sheetName val="Muni Fees"/>
      <sheetName val="New Detailed Budget MT"/>
      <sheetName val="Input"/>
      <sheetName val="Equity Package"/>
      <sheetName val="Coinvest Analysis"/>
      <sheetName val="Pursuit Schedule"/>
      <sheetName val="Comparison IC"/>
      <sheetName val="Sales Analysis"/>
      <sheetName val="REIS 2Q12"/>
      <sheetName val="Untrended Cash Flow"/>
      <sheetName val="Trended Cash Flow"/>
      <sheetName val="Comparison Table"/>
      <sheetName val="REIS YE2011"/>
      <sheetName val="Mgmt Sign Off"/>
      <sheetName val="Capitalization"/>
      <sheetName val="Comparison"/>
      <sheetName val="3Q11 REIS Report"/>
      <sheetName val="Exhibits"/>
      <sheetName val="Develop. Integrated Lifecycle"/>
      <sheetName val="Integrated Checklist"/>
      <sheetName val="Conceptual Design Review"/>
      <sheetName val="Detailed Costs"/>
      <sheetName val="Deposit Dollars"/>
      <sheetName val="Pursuit Costs"/>
      <sheetName val="Tools"/>
      <sheetName val="Generic Cover"/>
      <sheetName val="Notes"/>
      <sheetName val="Protocol &amp; Policy"/>
      <sheetName val="Suggestions"/>
      <sheetName val="Calc Table"/>
      <sheetName val="Project Cost Summary"/>
      <sheetName val="Lease Up"/>
      <sheetName val="Lists"/>
      <sheetName val="Origin"/>
      <sheetName val="Construction Costs"/>
      <sheetName val="Expense Detail"/>
      <sheetName val="Data"/>
      <sheetName val="Operating Expense &amp; Income"/>
      <sheetName val="Property taxes-NOI- Prop 13"/>
      <sheetName val="Rental pro-forma-97 UNITS"/>
      <sheetName val="Schedule-Budgets-2538"/>
      <sheetName val="Monthly Draw 2538"/>
      <sheetName val="Trended CF-Simple"/>
      <sheetName val="Rent Roll table for Equity Book"/>
      <sheetName val="Cost Allocation to commercia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>
        <row r="132">
          <cell r="G132">
            <v>0</v>
          </cell>
        </row>
      </sheetData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>
        <row r="132">
          <cell r="G132">
            <v>282</v>
          </cell>
        </row>
      </sheetData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>
        <row r="132">
          <cell r="G132">
            <v>282</v>
          </cell>
        </row>
      </sheetData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2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3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4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5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8.bin"/><Relationship Id="rId4" Type="http://schemas.openxmlformats.org/officeDocument/2006/relationships/comments" Target="../comments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0.bin"/><Relationship Id="rId4" Type="http://schemas.openxmlformats.org/officeDocument/2006/relationships/comments" Target="../comments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2.bin"/><Relationship Id="rId4" Type="http://schemas.openxmlformats.org/officeDocument/2006/relationships/comments" Target="../comments9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8F4953-0E60-4E42-AE95-652B3EF6AFC5}">
  <dimension ref="B18:L75"/>
  <sheetViews>
    <sheetView zoomScale="55" zoomScaleNormal="55" workbookViewId="0">
      <selection activeCell="G12" sqref="G12"/>
    </sheetView>
  </sheetViews>
  <sheetFormatPr defaultRowHeight="14.5"/>
  <cols>
    <col min="2" max="2" width="20.81640625" bestFit="1" customWidth="1"/>
    <col min="3" max="3" width="26.90625" bestFit="1" customWidth="1"/>
    <col min="4" max="4" width="37.6328125" bestFit="1" customWidth="1"/>
    <col min="5" max="5" width="39.453125" bestFit="1" customWidth="1"/>
    <col min="6" max="6" width="29.1796875" bestFit="1" customWidth="1"/>
    <col min="7" max="7" width="26.90625" bestFit="1" customWidth="1"/>
    <col min="8" max="8" width="26.1796875" bestFit="1" customWidth="1"/>
    <col min="9" max="9" width="36.81640625" bestFit="1" customWidth="1"/>
    <col min="10" max="10" width="26.1796875" bestFit="1" customWidth="1"/>
    <col min="11" max="11" width="36.08984375" bestFit="1" customWidth="1"/>
    <col min="12" max="12" width="7.81640625" bestFit="1" customWidth="1"/>
  </cols>
  <sheetData>
    <row r="18" spans="2:12">
      <c r="C18" s="198" t="s">
        <v>165</v>
      </c>
      <c r="D18" s="198" t="s">
        <v>166</v>
      </c>
      <c r="E18" s="198" t="s">
        <v>167</v>
      </c>
      <c r="F18" s="198" t="s">
        <v>168</v>
      </c>
      <c r="G18" s="198" t="s">
        <v>211</v>
      </c>
      <c r="H18" s="198" t="s">
        <v>169</v>
      </c>
      <c r="I18" s="198" t="s">
        <v>212</v>
      </c>
      <c r="J18" s="198" t="s">
        <v>213</v>
      </c>
      <c r="K18" s="198" t="s">
        <v>170</v>
      </c>
    </row>
    <row r="19" spans="2:12">
      <c r="B19" t="s">
        <v>171</v>
      </c>
      <c r="C19" s="198">
        <v>44114</v>
      </c>
      <c r="D19" s="198">
        <v>44113</v>
      </c>
      <c r="E19" s="198">
        <v>44114</v>
      </c>
      <c r="F19" s="198">
        <v>44114</v>
      </c>
      <c r="G19" s="198">
        <v>44115</v>
      </c>
      <c r="H19" s="198">
        <v>44106</v>
      </c>
      <c r="I19" s="198">
        <v>44106</v>
      </c>
      <c r="J19" s="198">
        <v>44106</v>
      </c>
      <c r="K19" s="198">
        <v>44106</v>
      </c>
    </row>
    <row r="20" spans="2:12">
      <c r="B20" t="s">
        <v>172</v>
      </c>
      <c r="C20" s="198" t="s">
        <v>173</v>
      </c>
      <c r="D20" s="198" t="s">
        <v>173</v>
      </c>
      <c r="E20" s="198" t="s">
        <v>173</v>
      </c>
      <c r="F20" s="198" t="s">
        <v>173</v>
      </c>
      <c r="G20" s="198" t="s">
        <v>173</v>
      </c>
      <c r="H20" s="198" t="s">
        <v>174</v>
      </c>
      <c r="I20" s="198" t="s">
        <v>174</v>
      </c>
      <c r="J20" s="198" t="s">
        <v>174</v>
      </c>
      <c r="K20" s="198" t="s">
        <v>174</v>
      </c>
    </row>
    <row r="21" spans="2:12">
      <c r="B21" t="s">
        <v>23</v>
      </c>
      <c r="C21" s="198" t="s">
        <v>175</v>
      </c>
      <c r="D21" s="198" t="s">
        <v>176</v>
      </c>
      <c r="E21" s="198" t="s">
        <v>175</v>
      </c>
      <c r="F21" s="198" t="s">
        <v>175</v>
      </c>
      <c r="G21" s="198" t="s">
        <v>175</v>
      </c>
      <c r="H21" s="198" t="s">
        <v>175</v>
      </c>
      <c r="I21" s="198" t="s">
        <v>175</v>
      </c>
      <c r="J21" s="198" t="s">
        <v>175</v>
      </c>
      <c r="K21" s="198" t="s">
        <v>175</v>
      </c>
    </row>
    <row r="22" spans="2:12">
      <c r="B22" t="s">
        <v>214</v>
      </c>
      <c r="C22" s="198" t="s">
        <v>215</v>
      </c>
      <c r="D22" s="198" t="s">
        <v>216</v>
      </c>
      <c r="E22" s="198" t="s">
        <v>215</v>
      </c>
      <c r="F22" s="198" t="s">
        <v>215</v>
      </c>
      <c r="G22" s="198" t="s">
        <v>215</v>
      </c>
      <c r="H22" s="198" t="s">
        <v>217</v>
      </c>
      <c r="I22" s="198" t="s">
        <v>215</v>
      </c>
      <c r="J22" s="198" t="s">
        <v>217</v>
      </c>
      <c r="K22" s="198" t="s">
        <v>217</v>
      </c>
    </row>
    <row r="23" spans="2:12">
      <c r="B23" t="s">
        <v>180</v>
      </c>
      <c r="C23" s="199">
        <v>1</v>
      </c>
      <c r="D23" s="199">
        <v>1</v>
      </c>
      <c r="E23" s="199">
        <v>1</v>
      </c>
      <c r="F23" s="199">
        <v>2</v>
      </c>
      <c r="G23" s="199">
        <v>1</v>
      </c>
      <c r="H23" s="199">
        <v>1</v>
      </c>
      <c r="I23" s="199">
        <v>1</v>
      </c>
      <c r="J23" s="199">
        <v>1</v>
      </c>
      <c r="K23" s="199">
        <v>3</v>
      </c>
      <c r="L23" s="185"/>
    </row>
    <row r="24" spans="2:12">
      <c r="B24" t="s">
        <v>177</v>
      </c>
      <c r="C24" s="199">
        <v>16</v>
      </c>
      <c r="D24" s="199">
        <v>22</v>
      </c>
      <c r="E24" s="199">
        <v>15</v>
      </c>
      <c r="F24" s="199">
        <v>23</v>
      </c>
      <c r="G24" s="199">
        <v>34</v>
      </c>
      <c r="H24" s="199">
        <v>6</v>
      </c>
      <c r="I24" s="199">
        <v>20</v>
      </c>
      <c r="J24" s="199">
        <v>7</v>
      </c>
      <c r="K24" s="199">
        <v>4</v>
      </c>
      <c r="L24" s="185"/>
    </row>
    <row r="25" spans="2:12">
      <c r="B25" t="s">
        <v>178</v>
      </c>
      <c r="C25" s="199">
        <v>627494</v>
      </c>
      <c r="D25" s="199">
        <v>413051</v>
      </c>
      <c r="E25" s="199">
        <v>322593</v>
      </c>
      <c r="F25" s="199">
        <v>1267139</v>
      </c>
      <c r="G25" s="199">
        <v>602000</v>
      </c>
      <c r="H25" s="199">
        <v>268782</v>
      </c>
      <c r="I25" s="199">
        <v>428000</v>
      </c>
      <c r="J25" s="199">
        <v>144000</v>
      </c>
      <c r="K25" s="199">
        <v>313944</v>
      </c>
      <c r="L25" s="185"/>
    </row>
    <row r="26" spans="2:12">
      <c r="B26" t="s">
        <v>179</v>
      </c>
      <c r="C26" s="199">
        <v>22938</v>
      </c>
      <c r="D26" s="199">
        <v>16667</v>
      </c>
      <c r="E26" s="199">
        <v>17750</v>
      </c>
      <c r="F26" s="199">
        <v>48482</v>
      </c>
      <c r="G26" s="199">
        <v>17706</v>
      </c>
      <c r="H26" s="199">
        <v>44797</v>
      </c>
      <c r="I26" s="199">
        <v>21400</v>
      </c>
      <c r="J26" s="199">
        <v>24000</v>
      </c>
      <c r="K26" s="199">
        <v>67674</v>
      </c>
      <c r="L26" s="185"/>
    </row>
    <row r="27" spans="2:12">
      <c r="B27" t="s">
        <v>218</v>
      </c>
      <c r="C27" s="200">
        <v>1.08</v>
      </c>
      <c r="D27" s="200">
        <v>0.52</v>
      </c>
      <c r="E27" s="200"/>
      <c r="F27" s="200">
        <v>3.5</v>
      </c>
      <c r="G27" s="200">
        <v>1</v>
      </c>
      <c r="H27" s="200">
        <v>1.8</v>
      </c>
      <c r="I27" s="200">
        <v>2.27</v>
      </c>
      <c r="J27" s="200">
        <v>2.21</v>
      </c>
      <c r="K27" s="200"/>
      <c r="L27" s="185"/>
    </row>
    <row r="28" spans="2:12">
      <c r="B28" t="s">
        <v>219</v>
      </c>
      <c r="C28" s="199">
        <v>47045</v>
      </c>
      <c r="D28" s="199">
        <v>22651</v>
      </c>
      <c r="E28" s="199"/>
      <c r="F28" s="199">
        <v>152460</v>
      </c>
      <c r="G28" s="199">
        <v>43560</v>
      </c>
      <c r="H28" s="199">
        <v>78408</v>
      </c>
      <c r="I28" s="199">
        <v>98881</v>
      </c>
      <c r="J28" s="199">
        <v>96268</v>
      </c>
      <c r="K28" s="199"/>
      <c r="L28" s="185"/>
    </row>
    <row r="29" spans="2:12">
      <c r="B29" t="s">
        <v>220</v>
      </c>
      <c r="C29" s="200">
        <v>13.34</v>
      </c>
      <c r="D29" s="200">
        <v>18.239999999999998</v>
      </c>
      <c r="E29" s="200"/>
      <c r="F29" s="200">
        <v>8.31</v>
      </c>
      <c r="G29" s="200">
        <v>13.82</v>
      </c>
      <c r="H29" s="200">
        <v>3.43</v>
      </c>
      <c r="I29" s="200">
        <v>4.33</v>
      </c>
      <c r="J29" s="200">
        <v>1.5</v>
      </c>
      <c r="K29" s="200"/>
      <c r="L29" s="185"/>
    </row>
    <row r="30" spans="2:12">
      <c r="B30" t="s">
        <v>221</v>
      </c>
      <c r="C30" s="198"/>
      <c r="D30" s="199" t="s">
        <v>222</v>
      </c>
      <c r="E30" s="199"/>
      <c r="F30" s="199"/>
      <c r="G30" s="199"/>
      <c r="H30" s="199" t="s">
        <v>80</v>
      </c>
      <c r="I30" s="199"/>
      <c r="J30" s="199"/>
      <c r="K30" s="199"/>
      <c r="L30" s="185"/>
    </row>
    <row r="31" spans="2:12">
      <c r="B31" t="s">
        <v>223</v>
      </c>
      <c r="C31" s="201">
        <v>45017</v>
      </c>
      <c r="D31" s="201">
        <v>42005</v>
      </c>
      <c r="E31" s="201">
        <v>42583</v>
      </c>
      <c r="F31" s="198"/>
      <c r="G31" s="201">
        <v>43191</v>
      </c>
      <c r="H31" s="201">
        <v>41791</v>
      </c>
      <c r="I31" s="201">
        <v>42522</v>
      </c>
      <c r="J31" s="201">
        <v>42736</v>
      </c>
      <c r="K31" s="201">
        <v>41518</v>
      </c>
      <c r="L31" s="202"/>
    </row>
    <row r="32" spans="2:12">
      <c r="B32" t="s">
        <v>224</v>
      </c>
      <c r="C32" s="201">
        <v>45505</v>
      </c>
      <c r="D32" s="201">
        <v>43070</v>
      </c>
      <c r="E32" s="198">
        <v>2017</v>
      </c>
      <c r="F32" s="198">
        <v>1975</v>
      </c>
      <c r="G32" s="201">
        <v>44013</v>
      </c>
      <c r="H32" s="198">
        <v>2015</v>
      </c>
      <c r="I32" s="198">
        <v>2018</v>
      </c>
      <c r="J32" s="199">
        <v>2018</v>
      </c>
      <c r="K32" s="199">
        <v>2014</v>
      </c>
      <c r="L32" s="185"/>
    </row>
    <row r="33" spans="2:12">
      <c r="B33" t="s">
        <v>225</v>
      </c>
      <c r="C33" s="203">
        <f>DATEDIF(C31,C32,"M")</f>
        <v>16</v>
      </c>
      <c r="D33" s="203">
        <f>DATEDIF(D31,D32,"M")</f>
        <v>35</v>
      </c>
      <c r="E33" s="203"/>
      <c r="F33" s="198"/>
      <c r="G33" s="203">
        <f>DATEDIF(G31,G32,"M")</f>
        <v>27</v>
      </c>
      <c r="H33" s="203"/>
      <c r="I33" s="198"/>
      <c r="J33" s="198"/>
      <c r="K33" s="198"/>
    </row>
    <row r="34" spans="2:12">
      <c r="B34" t="s">
        <v>184</v>
      </c>
      <c r="C34" s="198"/>
      <c r="D34" s="198"/>
      <c r="E34" s="198"/>
      <c r="F34" s="198">
        <v>1992</v>
      </c>
      <c r="G34" s="198"/>
      <c r="H34" s="198"/>
      <c r="I34" s="198"/>
      <c r="J34" s="198"/>
      <c r="K34" s="198"/>
    </row>
    <row r="35" spans="2:12">
      <c r="B35" t="s">
        <v>181</v>
      </c>
      <c r="C35" s="198" t="s">
        <v>182</v>
      </c>
      <c r="D35" s="198" t="s">
        <v>182</v>
      </c>
      <c r="E35" s="198" t="s">
        <v>182</v>
      </c>
      <c r="F35" s="198" t="s">
        <v>182</v>
      </c>
      <c r="G35" s="198" t="s">
        <v>182</v>
      </c>
      <c r="H35" s="198" t="s">
        <v>182</v>
      </c>
      <c r="I35" s="198" t="s">
        <v>182</v>
      </c>
      <c r="J35" s="198" t="s">
        <v>182</v>
      </c>
      <c r="K35" s="198" t="s">
        <v>183</v>
      </c>
    </row>
    <row r="36" spans="2:12">
      <c r="B36" t="s">
        <v>226</v>
      </c>
      <c r="C36" s="198"/>
      <c r="D36" s="198"/>
      <c r="E36" s="198"/>
      <c r="F36" s="198"/>
      <c r="G36" s="198"/>
      <c r="H36" s="198"/>
      <c r="I36" s="198"/>
      <c r="J36" s="198"/>
      <c r="K36" s="198">
        <v>23</v>
      </c>
    </row>
    <row r="37" spans="2:12">
      <c r="B37" t="s">
        <v>227</v>
      </c>
      <c r="C37" s="198"/>
      <c r="D37" s="198"/>
      <c r="E37" s="198"/>
      <c r="F37" s="198"/>
      <c r="G37" s="198"/>
      <c r="H37" s="198"/>
      <c r="I37" s="198"/>
      <c r="J37" s="198"/>
      <c r="K37" s="198" t="s">
        <v>228</v>
      </c>
    </row>
    <row r="38" spans="2:12">
      <c r="B38" t="s">
        <v>185</v>
      </c>
      <c r="C38" s="198" t="s">
        <v>186</v>
      </c>
      <c r="D38" s="198" t="s">
        <v>186</v>
      </c>
      <c r="E38" s="198" t="s">
        <v>186</v>
      </c>
      <c r="F38" s="198" t="s">
        <v>186</v>
      </c>
      <c r="G38" s="198" t="s">
        <v>186</v>
      </c>
      <c r="H38" s="198" t="s">
        <v>186</v>
      </c>
      <c r="I38" s="198" t="s">
        <v>186</v>
      </c>
      <c r="J38" s="198" t="s">
        <v>186</v>
      </c>
      <c r="K38" s="198" t="s">
        <v>186</v>
      </c>
    </row>
    <row r="39" spans="2:12">
      <c r="B39" t="s">
        <v>229</v>
      </c>
      <c r="C39" s="204">
        <v>0.65600000000000003</v>
      </c>
      <c r="D39" s="205">
        <v>0.11</v>
      </c>
      <c r="E39" s="205">
        <v>0.08</v>
      </c>
      <c r="F39" s="204">
        <v>0.17799999999999999</v>
      </c>
      <c r="G39" s="204">
        <v>0.20399999999999999</v>
      </c>
      <c r="H39" s="204">
        <v>0.20599999999999999</v>
      </c>
      <c r="I39" s="204">
        <v>6.8000000000000005E-2</v>
      </c>
      <c r="J39" s="204">
        <v>3.7999999999999999E-2</v>
      </c>
      <c r="K39" s="205">
        <v>7.0000000000000007E-2</v>
      </c>
    </row>
    <row r="40" spans="2:12">
      <c r="C40" s="198"/>
      <c r="D40" s="198"/>
      <c r="E40" s="198"/>
      <c r="F40" s="198"/>
      <c r="G40" s="198"/>
      <c r="H40" s="198"/>
      <c r="I40" s="198"/>
      <c r="J40" s="198"/>
      <c r="K40" s="198"/>
    </row>
    <row r="41" spans="2:12">
      <c r="B41" t="s">
        <v>230</v>
      </c>
      <c r="C41" s="206"/>
      <c r="D41" s="198"/>
      <c r="E41" s="198"/>
      <c r="F41" s="198"/>
      <c r="G41" s="198"/>
      <c r="H41" s="198"/>
      <c r="I41" s="198"/>
      <c r="J41" s="198"/>
      <c r="K41" s="198"/>
    </row>
    <row r="42" spans="2:12">
      <c r="B42" t="s">
        <v>3</v>
      </c>
      <c r="C42" s="199">
        <v>0</v>
      </c>
      <c r="D42" s="199">
        <v>0</v>
      </c>
      <c r="E42" s="199">
        <v>24</v>
      </c>
      <c r="F42" s="199">
        <v>34</v>
      </c>
      <c r="G42" s="199">
        <v>0</v>
      </c>
      <c r="H42" s="199">
        <v>70</v>
      </c>
      <c r="I42" s="199">
        <v>21</v>
      </c>
      <c r="J42" s="199">
        <v>41</v>
      </c>
      <c r="K42" s="199">
        <v>15</v>
      </c>
      <c r="L42" s="185"/>
    </row>
    <row r="43" spans="2:12">
      <c r="B43" t="s">
        <v>231</v>
      </c>
      <c r="C43" s="199">
        <v>328</v>
      </c>
      <c r="D43" s="199">
        <v>198</v>
      </c>
      <c r="E43" s="199">
        <v>119</v>
      </c>
      <c r="F43" s="199">
        <v>652</v>
      </c>
      <c r="G43" s="199">
        <v>222</v>
      </c>
      <c r="H43" s="199">
        <v>166</v>
      </c>
      <c r="I43" s="199">
        <v>141</v>
      </c>
      <c r="J43" s="199">
        <v>178</v>
      </c>
      <c r="K43" s="199">
        <v>124</v>
      </c>
      <c r="L43" s="185"/>
    </row>
    <row r="44" spans="2:12">
      <c r="B44" t="s">
        <v>232</v>
      </c>
      <c r="C44" s="199">
        <v>39</v>
      </c>
      <c r="D44" s="199">
        <v>83</v>
      </c>
      <c r="E44" s="199">
        <v>81</v>
      </c>
      <c r="F44" s="199">
        <v>257</v>
      </c>
      <c r="G44" s="199">
        <v>88</v>
      </c>
      <c r="H44" s="199">
        <v>11</v>
      </c>
      <c r="I44" s="199">
        <v>94</v>
      </c>
      <c r="J44" s="199">
        <v>53</v>
      </c>
      <c r="K44" s="199">
        <v>17</v>
      </c>
      <c r="L44" s="185"/>
    </row>
    <row r="45" spans="2:12">
      <c r="B45" t="s">
        <v>233</v>
      </c>
      <c r="C45" s="199">
        <v>0</v>
      </c>
      <c r="D45" s="199">
        <v>0</v>
      </c>
      <c r="E45" s="199">
        <v>0</v>
      </c>
      <c r="F45" s="199">
        <v>28</v>
      </c>
      <c r="G45" s="199">
        <v>8</v>
      </c>
      <c r="H45" s="199">
        <v>0</v>
      </c>
      <c r="I45" s="199">
        <v>19</v>
      </c>
      <c r="J45" s="199">
        <v>0</v>
      </c>
      <c r="K45" s="199">
        <v>1</v>
      </c>
      <c r="L45" s="185"/>
    </row>
    <row r="46" spans="2:12">
      <c r="B46" t="s">
        <v>234</v>
      </c>
      <c r="C46" s="199">
        <v>0</v>
      </c>
      <c r="D46" s="199">
        <v>0</v>
      </c>
      <c r="E46" s="199">
        <v>0</v>
      </c>
      <c r="F46" s="199">
        <v>0</v>
      </c>
      <c r="G46" s="199">
        <v>0</v>
      </c>
      <c r="H46" s="199">
        <v>0</v>
      </c>
      <c r="I46" s="199">
        <v>1</v>
      </c>
      <c r="J46" s="199">
        <v>0</v>
      </c>
      <c r="K46" s="199">
        <v>0</v>
      </c>
      <c r="L46" s="185"/>
    </row>
    <row r="47" spans="2:12">
      <c r="B47" t="s">
        <v>102</v>
      </c>
      <c r="C47" s="199">
        <f t="shared" ref="C47:K47" si="0">SUM(C42:C46)</f>
        <v>367</v>
      </c>
      <c r="D47" s="199">
        <f t="shared" si="0"/>
        <v>281</v>
      </c>
      <c r="E47" s="199">
        <f t="shared" si="0"/>
        <v>224</v>
      </c>
      <c r="F47" s="199">
        <f t="shared" si="0"/>
        <v>971</v>
      </c>
      <c r="G47" s="199">
        <f t="shared" si="0"/>
        <v>318</v>
      </c>
      <c r="H47" s="199">
        <f t="shared" si="0"/>
        <v>247</v>
      </c>
      <c r="I47" s="199">
        <f t="shared" si="0"/>
        <v>276</v>
      </c>
      <c r="J47" s="199">
        <f t="shared" si="0"/>
        <v>272</v>
      </c>
      <c r="K47" s="199">
        <f t="shared" si="0"/>
        <v>157</v>
      </c>
      <c r="L47" s="185"/>
    </row>
    <row r="48" spans="2:12">
      <c r="B48" t="s">
        <v>235</v>
      </c>
      <c r="C48" s="199"/>
      <c r="D48" s="199"/>
      <c r="E48" s="199"/>
      <c r="F48" s="199"/>
      <c r="G48" s="199"/>
      <c r="H48" s="199"/>
      <c r="I48" s="199"/>
      <c r="J48" s="199"/>
      <c r="K48" s="199"/>
      <c r="L48" s="185"/>
    </row>
    <row r="49" spans="2:12">
      <c r="B49" t="s">
        <v>3</v>
      </c>
      <c r="C49" s="207">
        <f>C42/C$47</f>
        <v>0</v>
      </c>
      <c r="D49" s="207">
        <f t="shared" ref="D49:K49" si="1">D42/D$47</f>
        <v>0</v>
      </c>
      <c r="E49" s="207">
        <f t="shared" si="1"/>
        <v>0.10714285714285714</v>
      </c>
      <c r="F49" s="207">
        <f t="shared" si="1"/>
        <v>3.5015447991761074E-2</v>
      </c>
      <c r="G49" s="207">
        <f t="shared" si="1"/>
        <v>0</v>
      </c>
      <c r="H49" s="207">
        <f t="shared" si="1"/>
        <v>0.2834008097165992</v>
      </c>
      <c r="I49" s="207">
        <f t="shared" si="1"/>
        <v>7.6086956521739135E-2</v>
      </c>
      <c r="J49" s="207">
        <f t="shared" si="1"/>
        <v>0.15073529411764705</v>
      </c>
      <c r="K49" s="207">
        <f t="shared" si="1"/>
        <v>9.5541401273885357E-2</v>
      </c>
      <c r="L49" s="185"/>
    </row>
    <row r="50" spans="2:12">
      <c r="B50" t="s">
        <v>231</v>
      </c>
      <c r="C50" s="207">
        <f t="shared" ref="C50:K53" si="2">C43/C$47</f>
        <v>0.89373297002724794</v>
      </c>
      <c r="D50" s="207">
        <f t="shared" si="2"/>
        <v>0.70462633451957291</v>
      </c>
      <c r="E50" s="207">
        <f t="shared" si="2"/>
        <v>0.53125</v>
      </c>
      <c r="F50" s="207">
        <f t="shared" si="2"/>
        <v>0.67147270854788876</v>
      </c>
      <c r="G50" s="207">
        <f t="shared" si="2"/>
        <v>0.69811320754716977</v>
      </c>
      <c r="H50" s="207">
        <f t="shared" si="2"/>
        <v>0.67206477732793524</v>
      </c>
      <c r="I50" s="207">
        <f t="shared" si="2"/>
        <v>0.51086956521739135</v>
      </c>
      <c r="J50" s="207">
        <f t="shared" si="2"/>
        <v>0.65441176470588236</v>
      </c>
      <c r="K50" s="207">
        <f t="shared" si="2"/>
        <v>0.78980891719745228</v>
      </c>
      <c r="L50" s="185"/>
    </row>
    <row r="51" spans="2:12">
      <c r="B51" t="s">
        <v>232</v>
      </c>
      <c r="C51" s="207">
        <f t="shared" si="2"/>
        <v>0.10626702997275204</v>
      </c>
      <c r="D51" s="207">
        <f t="shared" si="2"/>
        <v>0.29537366548042704</v>
      </c>
      <c r="E51" s="207">
        <f t="shared" si="2"/>
        <v>0.36160714285714285</v>
      </c>
      <c r="F51" s="207">
        <f t="shared" si="2"/>
        <v>0.2646755921730175</v>
      </c>
      <c r="G51" s="207">
        <f t="shared" si="2"/>
        <v>0.27672955974842767</v>
      </c>
      <c r="H51" s="207">
        <f t="shared" si="2"/>
        <v>4.4534412955465584E-2</v>
      </c>
      <c r="I51" s="207">
        <f t="shared" si="2"/>
        <v>0.34057971014492755</v>
      </c>
      <c r="J51" s="207">
        <f t="shared" si="2"/>
        <v>0.19485294117647059</v>
      </c>
      <c r="K51" s="207">
        <f t="shared" si="2"/>
        <v>0.10828025477707007</v>
      </c>
      <c r="L51" s="185"/>
    </row>
    <row r="52" spans="2:12">
      <c r="B52" t="s">
        <v>233</v>
      </c>
      <c r="C52" s="207">
        <f t="shared" si="2"/>
        <v>0</v>
      </c>
      <c r="D52" s="207">
        <f t="shared" si="2"/>
        <v>0</v>
      </c>
      <c r="E52" s="207">
        <f t="shared" si="2"/>
        <v>0</v>
      </c>
      <c r="F52" s="207">
        <f t="shared" si="2"/>
        <v>2.8836251287332648E-2</v>
      </c>
      <c r="G52" s="207">
        <f t="shared" si="2"/>
        <v>2.5157232704402517E-2</v>
      </c>
      <c r="H52" s="207">
        <f t="shared" si="2"/>
        <v>0</v>
      </c>
      <c r="I52" s="207">
        <f t="shared" si="2"/>
        <v>6.8840579710144928E-2</v>
      </c>
      <c r="J52" s="207">
        <f t="shared" si="2"/>
        <v>0</v>
      </c>
      <c r="K52" s="207">
        <f t="shared" si="2"/>
        <v>6.369426751592357E-3</v>
      </c>
      <c r="L52" s="185"/>
    </row>
    <row r="53" spans="2:12">
      <c r="B53" t="s">
        <v>234</v>
      </c>
      <c r="C53" s="207">
        <f t="shared" si="2"/>
        <v>0</v>
      </c>
      <c r="D53" s="207">
        <f t="shared" si="2"/>
        <v>0</v>
      </c>
      <c r="E53" s="207">
        <f t="shared" si="2"/>
        <v>0</v>
      </c>
      <c r="F53" s="207">
        <f t="shared" si="2"/>
        <v>0</v>
      </c>
      <c r="G53" s="207">
        <f t="shared" si="2"/>
        <v>0</v>
      </c>
      <c r="H53" s="207">
        <f t="shared" si="2"/>
        <v>0</v>
      </c>
      <c r="I53" s="207">
        <f t="shared" si="2"/>
        <v>3.6231884057971015E-3</v>
      </c>
      <c r="J53" s="207">
        <f t="shared" si="2"/>
        <v>0</v>
      </c>
      <c r="K53" s="207">
        <f t="shared" si="2"/>
        <v>0</v>
      </c>
      <c r="L53" s="185"/>
    </row>
    <row r="54" spans="2:12">
      <c r="B54" t="s">
        <v>102</v>
      </c>
      <c r="C54" s="199">
        <f>SUM(C49:C53)</f>
        <v>1</v>
      </c>
      <c r="D54" s="199">
        <f t="shared" ref="D54:K54" si="3">SUM(D49:D53)</f>
        <v>1</v>
      </c>
      <c r="E54" s="199">
        <f t="shared" si="3"/>
        <v>1</v>
      </c>
      <c r="F54" s="199">
        <f t="shared" si="3"/>
        <v>1</v>
      </c>
      <c r="G54" s="199">
        <f t="shared" si="3"/>
        <v>1</v>
      </c>
      <c r="H54" s="199">
        <f t="shared" si="3"/>
        <v>1</v>
      </c>
      <c r="I54" s="199">
        <f t="shared" si="3"/>
        <v>1</v>
      </c>
      <c r="J54" s="199">
        <f t="shared" si="3"/>
        <v>1</v>
      </c>
      <c r="K54" s="199">
        <f t="shared" si="3"/>
        <v>1</v>
      </c>
      <c r="L54" s="185"/>
    </row>
    <row r="55" spans="2:12">
      <c r="B55" t="s">
        <v>236</v>
      </c>
      <c r="C55" s="199"/>
      <c r="D55" s="199"/>
      <c r="E55" s="199"/>
      <c r="F55" s="199"/>
      <c r="G55" s="199"/>
      <c r="H55" s="199"/>
      <c r="I55" s="199"/>
      <c r="J55" s="199"/>
      <c r="K55" s="199"/>
      <c r="L55" s="185"/>
    </row>
    <row r="56" spans="2:12">
      <c r="B56" t="s">
        <v>3</v>
      </c>
      <c r="C56" s="199">
        <v>0</v>
      </c>
      <c r="D56" s="199">
        <v>0</v>
      </c>
      <c r="E56" s="199">
        <v>466</v>
      </c>
      <c r="F56" s="199">
        <v>561</v>
      </c>
      <c r="G56" s="199">
        <v>0</v>
      </c>
      <c r="H56" s="199">
        <v>519</v>
      </c>
      <c r="I56" s="199">
        <v>524</v>
      </c>
      <c r="J56" s="199">
        <v>468</v>
      </c>
      <c r="K56" s="199">
        <v>486</v>
      </c>
      <c r="L56" s="185">
        <f>AVERAGEIF(C56:K56,"&gt;0",C56:K56)</f>
        <v>504</v>
      </c>
    </row>
    <row r="57" spans="2:12">
      <c r="B57" t="s">
        <v>231</v>
      </c>
      <c r="C57" s="199">
        <v>681</v>
      </c>
      <c r="D57" s="199">
        <v>750</v>
      </c>
      <c r="E57" s="199">
        <v>774</v>
      </c>
      <c r="F57" s="199">
        <v>872</v>
      </c>
      <c r="G57" s="199">
        <v>749</v>
      </c>
      <c r="H57" s="199">
        <v>790</v>
      </c>
      <c r="I57" s="199">
        <v>859</v>
      </c>
      <c r="J57" s="199">
        <v>718</v>
      </c>
      <c r="K57" s="199">
        <v>726</v>
      </c>
      <c r="L57" s="185">
        <f t="shared" ref="L57:L61" si="4">AVERAGEIF(C57:K57,"&gt;0",C57:K57)</f>
        <v>768.77777777777783</v>
      </c>
    </row>
    <row r="58" spans="2:12">
      <c r="B58" t="s">
        <v>232</v>
      </c>
      <c r="C58" s="199">
        <v>1219</v>
      </c>
      <c r="D58" s="199">
        <v>1175</v>
      </c>
      <c r="E58" s="199">
        <v>1073</v>
      </c>
      <c r="F58" s="199">
        <v>1229</v>
      </c>
      <c r="G58" s="199">
        <v>1195</v>
      </c>
      <c r="H58" s="199">
        <v>1120</v>
      </c>
      <c r="I58" s="199">
        <v>1400</v>
      </c>
      <c r="J58" s="199">
        <v>1012</v>
      </c>
      <c r="K58" s="199">
        <v>1213</v>
      </c>
      <c r="L58" s="185">
        <f t="shared" si="4"/>
        <v>1181.7777777777778</v>
      </c>
    </row>
    <row r="59" spans="2:12">
      <c r="B59" t="s">
        <v>233</v>
      </c>
      <c r="C59" s="199">
        <v>0</v>
      </c>
      <c r="D59" s="199">
        <v>0</v>
      </c>
      <c r="E59" s="199">
        <v>0</v>
      </c>
      <c r="F59" s="199">
        <v>1630</v>
      </c>
      <c r="G59" s="199">
        <v>1764</v>
      </c>
      <c r="H59" s="199">
        <v>0</v>
      </c>
      <c r="I59" s="199">
        <v>1989</v>
      </c>
      <c r="J59" s="199">
        <v>0</v>
      </c>
      <c r="K59" s="199">
        <v>2841</v>
      </c>
      <c r="L59" s="185">
        <f t="shared" si="4"/>
        <v>2056</v>
      </c>
    </row>
    <row r="60" spans="2:12">
      <c r="B60" t="s">
        <v>234</v>
      </c>
      <c r="C60" s="199">
        <v>0</v>
      </c>
      <c r="D60" s="199">
        <v>0</v>
      </c>
      <c r="E60" s="199">
        <v>0</v>
      </c>
      <c r="F60" s="199">
        <v>0</v>
      </c>
      <c r="G60" s="199">
        <v>0</v>
      </c>
      <c r="H60" s="199">
        <v>0</v>
      </c>
      <c r="I60" s="199">
        <v>4805</v>
      </c>
      <c r="J60" s="199">
        <v>0</v>
      </c>
      <c r="K60" s="199">
        <v>0</v>
      </c>
      <c r="L60" s="185">
        <f t="shared" si="4"/>
        <v>4805</v>
      </c>
    </row>
    <row r="61" spans="2:12">
      <c r="B61" t="s">
        <v>237</v>
      </c>
      <c r="C61" s="199">
        <f t="shared" ref="C61:K61" si="5">SUMPRODUCT(C42:C46,C56:C60)/C47</f>
        <v>738.17166212534062</v>
      </c>
      <c r="D61" s="199">
        <f t="shared" si="5"/>
        <v>875.53380782918146</v>
      </c>
      <c r="E61" s="199">
        <f t="shared" si="5"/>
        <v>849.12053571428567</v>
      </c>
      <c r="F61" s="199">
        <f t="shared" si="5"/>
        <v>977.45726055612772</v>
      </c>
      <c r="G61" s="199">
        <f t="shared" si="5"/>
        <v>897.95597484276732</v>
      </c>
      <c r="H61" s="199">
        <f t="shared" si="5"/>
        <v>727.89473684210532</v>
      </c>
      <c r="I61" s="199">
        <f t="shared" si="5"/>
        <v>1109.8514492753623</v>
      </c>
      <c r="J61" s="199">
        <f t="shared" si="5"/>
        <v>737.60294117647061</v>
      </c>
      <c r="K61" s="199">
        <f t="shared" si="5"/>
        <v>769.27388535031844</v>
      </c>
      <c r="L61" s="185">
        <f t="shared" si="4"/>
        <v>853.65136152355103</v>
      </c>
    </row>
    <row r="62" spans="2:12">
      <c r="B62" t="s">
        <v>238</v>
      </c>
      <c r="C62" s="199"/>
      <c r="D62" s="199"/>
      <c r="E62" s="199"/>
      <c r="F62" s="199"/>
      <c r="G62" s="199"/>
      <c r="H62" s="199"/>
      <c r="I62" s="199"/>
      <c r="J62" s="199"/>
      <c r="K62" s="199"/>
      <c r="L62" s="185"/>
    </row>
    <row r="63" spans="2:12">
      <c r="B63" t="s">
        <v>3</v>
      </c>
      <c r="C63" s="206">
        <v>0</v>
      </c>
      <c r="D63" s="206">
        <v>0</v>
      </c>
      <c r="E63" s="206">
        <v>915</v>
      </c>
      <c r="F63" s="206">
        <v>993</v>
      </c>
      <c r="G63" s="206">
        <v>0</v>
      </c>
      <c r="H63" s="206">
        <v>1428</v>
      </c>
      <c r="I63" s="206">
        <v>2214</v>
      </c>
      <c r="J63" s="206">
        <v>1698</v>
      </c>
      <c r="K63" s="206">
        <v>1379</v>
      </c>
      <c r="L63" s="185">
        <f t="shared" ref="L63:L75" si="6">AVERAGEIF(C63:K63,"&gt;0",C63:K63)</f>
        <v>1437.8333333333333</v>
      </c>
    </row>
    <row r="64" spans="2:12">
      <c r="B64" t="s">
        <v>231</v>
      </c>
      <c r="C64" s="208">
        <v>1460</v>
      </c>
      <c r="D64" s="208">
        <v>1595</v>
      </c>
      <c r="E64" s="208">
        <v>1425</v>
      </c>
      <c r="F64" s="208">
        <v>1112</v>
      </c>
      <c r="G64" s="208">
        <v>1956</v>
      </c>
      <c r="H64" s="208">
        <v>1720</v>
      </c>
      <c r="I64" s="208">
        <v>2544</v>
      </c>
      <c r="J64" s="208">
        <v>1832</v>
      </c>
      <c r="K64" s="208">
        <v>1590</v>
      </c>
      <c r="L64" s="185">
        <f t="shared" si="6"/>
        <v>1692.6666666666667</v>
      </c>
    </row>
    <row r="65" spans="2:12">
      <c r="B65" t="s">
        <v>232</v>
      </c>
      <c r="C65" s="208">
        <v>2127</v>
      </c>
      <c r="D65" s="208">
        <v>2115</v>
      </c>
      <c r="E65" s="208">
        <v>1932</v>
      </c>
      <c r="F65" s="208">
        <v>1645</v>
      </c>
      <c r="G65" s="208">
        <v>2822</v>
      </c>
      <c r="H65" s="208">
        <v>2543</v>
      </c>
      <c r="I65" s="208">
        <v>3847</v>
      </c>
      <c r="J65" s="208">
        <v>2462</v>
      </c>
      <c r="K65" s="208">
        <v>2546</v>
      </c>
      <c r="L65" s="185">
        <f t="shared" si="6"/>
        <v>2448.7777777777778</v>
      </c>
    </row>
    <row r="66" spans="2:12">
      <c r="B66" t="s">
        <v>233</v>
      </c>
      <c r="C66" s="208">
        <v>0</v>
      </c>
      <c r="D66" s="208">
        <v>0</v>
      </c>
      <c r="E66" s="208">
        <v>0</v>
      </c>
      <c r="F66" s="208">
        <v>2052</v>
      </c>
      <c r="G66" s="208">
        <v>8035</v>
      </c>
      <c r="H66" s="208">
        <v>0</v>
      </c>
      <c r="I66" s="208">
        <v>5956</v>
      </c>
      <c r="J66" s="208">
        <v>0</v>
      </c>
      <c r="K66" s="208">
        <v>3706</v>
      </c>
      <c r="L66" s="185">
        <f t="shared" si="6"/>
        <v>4937.25</v>
      </c>
    </row>
    <row r="67" spans="2:12">
      <c r="B67" t="s">
        <v>234</v>
      </c>
      <c r="C67" s="208">
        <v>0</v>
      </c>
      <c r="D67" s="208">
        <v>0</v>
      </c>
      <c r="E67" s="208">
        <v>0</v>
      </c>
      <c r="F67" s="208">
        <v>0</v>
      </c>
      <c r="G67" s="208">
        <v>0</v>
      </c>
      <c r="H67" s="208">
        <v>0</v>
      </c>
      <c r="I67" s="208">
        <v>11985</v>
      </c>
      <c r="J67" s="208">
        <v>0</v>
      </c>
      <c r="K67" s="208">
        <v>0</v>
      </c>
      <c r="L67" s="185">
        <f t="shared" si="6"/>
        <v>11985</v>
      </c>
    </row>
    <row r="68" spans="2:12">
      <c r="B68" t="s">
        <v>239</v>
      </c>
      <c r="C68" s="208">
        <f t="shared" ref="C68:K68" si="7">SUMPRODUCT(C42:C46,C63:C67)/C47</f>
        <v>1530.8801089918256</v>
      </c>
      <c r="D68" s="208">
        <f t="shared" si="7"/>
        <v>1748.5943060498221</v>
      </c>
      <c r="E68" s="208">
        <f t="shared" si="7"/>
        <v>1553.6919642857142</v>
      </c>
      <c r="F68" s="208">
        <f t="shared" si="7"/>
        <v>1276.0113285272914</v>
      </c>
      <c r="G68" s="208">
        <f t="shared" si="7"/>
        <v>2348.5786163522012</v>
      </c>
      <c r="H68" s="208">
        <f t="shared" si="7"/>
        <v>1673.8987854251013</v>
      </c>
      <c r="I68" s="208">
        <f t="shared" si="7"/>
        <v>3231.7572463768115</v>
      </c>
      <c r="J68" s="208">
        <f t="shared" si="7"/>
        <v>1934.5588235294117</v>
      </c>
      <c r="K68" s="208">
        <f t="shared" si="7"/>
        <v>1686.8343949044586</v>
      </c>
      <c r="L68" s="185">
        <f t="shared" si="6"/>
        <v>1887.200619382515</v>
      </c>
    </row>
    <row r="69" spans="2:12">
      <c r="B69" t="s">
        <v>240</v>
      </c>
      <c r="C69" s="199"/>
      <c r="D69" s="199"/>
      <c r="E69" s="199"/>
      <c r="F69" s="199"/>
      <c r="G69" s="199"/>
      <c r="H69" s="199"/>
      <c r="I69" s="199"/>
      <c r="J69" s="199"/>
      <c r="K69" s="199"/>
      <c r="L69" s="185"/>
    </row>
    <row r="70" spans="2:12">
      <c r="B70" t="s">
        <v>3</v>
      </c>
      <c r="C70" s="206">
        <v>0</v>
      </c>
      <c r="D70" s="206">
        <v>0</v>
      </c>
      <c r="E70" s="206">
        <v>1.97</v>
      </c>
      <c r="F70" s="206">
        <v>1.76</v>
      </c>
      <c r="G70" s="206">
        <v>0</v>
      </c>
      <c r="H70" s="206">
        <v>2.77</v>
      </c>
      <c r="I70" s="206">
        <v>4.2300000000000004</v>
      </c>
      <c r="J70" s="206">
        <v>3.63</v>
      </c>
      <c r="K70" s="206">
        <v>2.84</v>
      </c>
      <c r="L70" s="206">
        <f t="shared" si="6"/>
        <v>2.8666666666666667</v>
      </c>
    </row>
    <row r="71" spans="2:12">
      <c r="B71" t="s">
        <v>231</v>
      </c>
      <c r="C71" s="206">
        <v>2.14</v>
      </c>
      <c r="D71" s="206">
        <v>2.13</v>
      </c>
      <c r="E71" s="206">
        <v>1.84</v>
      </c>
      <c r="F71" s="206">
        <v>1.27</v>
      </c>
      <c r="G71" s="206">
        <v>2.61</v>
      </c>
      <c r="H71" s="206">
        <v>2.1800000000000002</v>
      </c>
      <c r="I71" s="206">
        <v>2.96</v>
      </c>
      <c r="J71" s="206">
        <v>2.5499999999999998</v>
      </c>
      <c r="K71" s="206">
        <v>2.19</v>
      </c>
      <c r="L71" s="206">
        <f t="shared" si="6"/>
        <v>2.2077777777777778</v>
      </c>
    </row>
    <row r="72" spans="2:12">
      <c r="B72" t="s">
        <v>232</v>
      </c>
      <c r="C72" s="206">
        <v>1.74</v>
      </c>
      <c r="D72" s="206">
        <v>1.8</v>
      </c>
      <c r="E72" s="206">
        <v>1.8</v>
      </c>
      <c r="F72" s="206">
        <v>1.34</v>
      </c>
      <c r="G72" s="206">
        <v>2.36</v>
      </c>
      <c r="H72" s="206">
        <v>2.27</v>
      </c>
      <c r="I72" s="206">
        <v>2.75</v>
      </c>
      <c r="J72" s="206">
        <v>2.4300000000000002</v>
      </c>
      <c r="K72" s="206">
        <v>2.1</v>
      </c>
      <c r="L72" s="206">
        <f t="shared" si="6"/>
        <v>2.0655555555555556</v>
      </c>
    </row>
    <row r="73" spans="2:12">
      <c r="B73" t="s">
        <v>233</v>
      </c>
      <c r="C73" s="206">
        <v>0</v>
      </c>
      <c r="D73" s="206">
        <v>0</v>
      </c>
      <c r="E73" s="206">
        <v>0</v>
      </c>
      <c r="F73" s="206">
        <v>1.26</v>
      </c>
      <c r="G73" s="206">
        <v>4.5599999999999996</v>
      </c>
      <c r="H73" s="206">
        <v>2.2999999999999998</v>
      </c>
      <c r="I73" s="206">
        <v>2.99</v>
      </c>
      <c r="J73" s="206">
        <v>0</v>
      </c>
      <c r="K73" s="206">
        <v>1.3</v>
      </c>
      <c r="L73" s="206">
        <f t="shared" si="6"/>
        <v>2.4820000000000002</v>
      </c>
    </row>
    <row r="74" spans="2:12">
      <c r="B74" t="s">
        <v>234</v>
      </c>
      <c r="C74" s="206">
        <v>0</v>
      </c>
      <c r="D74" s="206">
        <v>0</v>
      </c>
      <c r="E74" s="206">
        <v>0</v>
      </c>
      <c r="F74" s="206">
        <v>0</v>
      </c>
      <c r="G74" s="206">
        <v>0</v>
      </c>
      <c r="H74" s="206">
        <v>0</v>
      </c>
      <c r="I74" s="206">
        <v>2.4900000000000002</v>
      </c>
      <c r="J74" s="206">
        <v>0</v>
      </c>
      <c r="K74" s="206">
        <v>0</v>
      </c>
      <c r="L74" s="206">
        <f t="shared" si="6"/>
        <v>2.4900000000000002</v>
      </c>
    </row>
    <row r="75" spans="2:12">
      <c r="B75" t="s">
        <v>239</v>
      </c>
      <c r="C75" s="206">
        <f t="shared" ref="C75:K75" si="8">SUMPRODUCT(C42:C46,C70:C74)/C47</f>
        <v>2.0974931880108993</v>
      </c>
      <c r="D75" s="206">
        <f t="shared" si="8"/>
        <v>2.0325266903914589</v>
      </c>
      <c r="E75" s="206">
        <f t="shared" si="8"/>
        <v>1.8394642857142858</v>
      </c>
      <c r="F75" s="206">
        <f t="shared" si="8"/>
        <v>1.3053964984552009</v>
      </c>
      <c r="G75" s="206">
        <f t="shared" si="8"/>
        <v>2.5898742138364779</v>
      </c>
      <c r="H75" s="206">
        <f t="shared" si="8"/>
        <v>2.351214574898786</v>
      </c>
      <c r="I75" s="206">
        <f t="shared" si="8"/>
        <v>2.9854710144927536</v>
      </c>
      <c r="J75" s="206">
        <f t="shared" si="8"/>
        <v>2.6894117647058824</v>
      </c>
      <c r="K75" s="206">
        <f t="shared" si="8"/>
        <v>2.2366878980891718</v>
      </c>
      <c r="L75" s="206">
        <f t="shared" si="6"/>
        <v>2.2363933476216573</v>
      </c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46CE02-C1EA-4C56-AC1D-799508E4C690}">
  <dimension ref="B18:L75"/>
  <sheetViews>
    <sheetView zoomScale="55" zoomScaleNormal="55" workbookViewId="0">
      <selection activeCell="G12" sqref="G12"/>
    </sheetView>
  </sheetViews>
  <sheetFormatPr defaultRowHeight="14.5"/>
  <cols>
    <col min="2" max="2" width="20.81640625" bestFit="1" customWidth="1"/>
    <col min="3" max="3" width="26.90625" bestFit="1" customWidth="1"/>
    <col min="4" max="4" width="37.6328125" bestFit="1" customWidth="1"/>
    <col min="5" max="5" width="39.453125" bestFit="1" customWidth="1"/>
    <col min="6" max="6" width="29.1796875" bestFit="1" customWidth="1"/>
    <col min="7" max="7" width="26.90625" bestFit="1" customWidth="1"/>
    <col min="8" max="8" width="26.1796875" bestFit="1" customWidth="1"/>
    <col min="9" max="9" width="36.81640625" bestFit="1" customWidth="1"/>
    <col min="10" max="10" width="26.1796875" bestFit="1" customWidth="1"/>
    <col min="11" max="11" width="36.08984375" bestFit="1" customWidth="1"/>
    <col min="12" max="12" width="7.81640625" bestFit="1" customWidth="1"/>
  </cols>
  <sheetData>
    <row r="18" spans="2:12">
      <c r="C18" s="198" t="s">
        <v>165</v>
      </c>
      <c r="D18" s="198" t="s">
        <v>166</v>
      </c>
      <c r="E18" s="198" t="s">
        <v>167</v>
      </c>
      <c r="F18" s="198" t="s">
        <v>168</v>
      </c>
      <c r="G18" s="198" t="s">
        <v>211</v>
      </c>
      <c r="H18" s="198" t="s">
        <v>169</v>
      </c>
      <c r="I18" s="198" t="s">
        <v>212</v>
      </c>
      <c r="J18" s="198" t="s">
        <v>213</v>
      </c>
      <c r="K18" s="198" t="s">
        <v>170</v>
      </c>
    </row>
    <row r="19" spans="2:12">
      <c r="B19" t="s">
        <v>171</v>
      </c>
      <c r="C19" s="198">
        <v>44114</v>
      </c>
      <c r="D19" s="198">
        <v>44113</v>
      </c>
      <c r="E19" s="198">
        <v>44114</v>
      </c>
      <c r="F19" s="198">
        <v>44114</v>
      </c>
      <c r="G19" s="198">
        <v>44115</v>
      </c>
      <c r="H19" s="198">
        <v>44106</v>
      </c>
      <c r="I19" s="198">
        <v>44106</v>
      </c>
      <c r="J19" s="198">
        <v>44106</v>
      </c>
      <c r="K19" s="198">
        <v>44106</v>
      </c>
    </row>
    <row r="20" spans="2:12">
      <c r="B20" t="s">
        <v>172</v>
      </c>
      <c r="C20" s="198" t="s">
        <v>173</v>
      </c>
      <c r="D20" s="198" t="s">
        <v>173</v>
      </c>
      <c r="E20" s="198" t="s">
        <v>173</v>
      </c>
      <c r="F20" s="198" t="s">
        <v>173</v>
      </c>
      <c r="G20" s="198" t="s">
        <v>173</v>
      </c>
      <c r="H20" s="198" t="s">
        <v>174</v>
      </c>
      <c r="I20" s="198" t="s">
        <v>174</v>
      </c>
      <c r="J20" s="198" t="s">
        <v>174</v>
      </c>
      <c r="K20" s="198" t="s">
        <v>174</v>
      </c>
    </row>
    <row r="21" spans="2:12">
      <c r="B21" t="s">
        <v>23</v>
      </c>
      <c r="C21" s="198" t="s">
        <v>175</v>
      </c>
      <c r="D21" s="198" t="s">
        <v>176</v>
      </c>
      <c r="E21" s="198" t="s">
        <v>175</v>
      </c>
      <c r="F21" s="198" t="s">
        <v>175</v>
      </c>
      <c r="G21" s="198" t="s">
        <v>175</v>
      </c>
      <c r="H21" s="198" t="s">
        <v>175</v>
      </c>
      <c r="I21" s="198" t="s">
        <v>175</v>
      </c>
      <c r="J21" s="198" t="s">
        <v>175</v>
      </c>
      <c r="K21" s="198" t="s">
        <v>175</v>
      </c>
    </row>
    <row r="22" spans="2:12">
      <c r="B22" t="s">
        <v>214</v>
      </c>
      <c r="C22" s="198" t="s">
        <v>215</v>
      </c>
      <c r="D22" s="198" t="s">
        <v>216</v>
      </c>
      <c r="E22" s="198" t="s">
        <v>215</v>
      </c>
      <c r="F22" s="198" t="s">
        <v>215</v>
      </c>
      <c r="G22" s="198" t="s">
        <v>215</v>
      </c>
      <c r="H22" s="198" t="s">
        <v>217</v>
      </c>
      <c r="I22" s="198" t="s">
        <v>215</v>
      </c>
      <c r="J22" s="198" t="s">
        <v>217</v>
      </c>
      <c r="K22" s="198" t="s">
        <v>217</v>
      </c>
    </row>
    <row r="23" spans="2:12">
      <c r="B23" t="s">
        <v>180</v>
      </c>
      <c r="C23" s="199">
        <v>1</v>
      </c>
      <c r="D23" s="199">
        <v>1</v>
      </c>
      <c r="E23" s="199">
        <v>1</v>
      </c>
      <c r="F23" s="199">
        <v>2</v>
      </c>
      <c r="G23" s="199">
        <v>1</v>
      </c>
      <c r="H23" s="199">
        <v>1</v>
      </c>
      <c r="I23" s="199">
        <v>1</v>
      </c>
      <c r="J23" s="199">
        <v>1</v>
      </c>
      <c r="K23" s="199">
        <v>3</v>
      </c>
      <c r="L23" s="185"/>
    </row>
    <row r="24" spans="2:12">
      <c r="B24" t="s">
        <v>177</v>
      </c>
      <c r="C24" s="199">
        <v>16</v>
      </c>
      <c r="D24" s="199">
        <v>22</v>
      </c>
      <c r="E24" s="199">
        <v>15</v>
      </c>
      <c r="F24" s="199">
        <v>23</v>
      </c>
      <c r="G24" s="199">
        <v>34</v>
      </c>
      <c r="H24" s="199">
        <v>6</v>
      </c>
      <c r="I24" s="199">
        <v>20</v>
      </c>
      <c r="J24" s="199">
        <v>7</v>
      </c>
      <c r="K24" s="199">
        <v>4</v>
      </c>
      <c r="L24" s="185"/>
    </row>
    <row r="25" spans="2:12">
      <c r="B25" t="s">
        <v>178</v>
      </c>
      <c r="C25" s="199">
        <v>627494</v>
      </c>
      <c r="D25" s="199">
        <v>413051</v>
      </c>
      <c r="E25" s="199">
        <v>322593</v>
      </c>
      <c r="F25" s="199">
        <v>1267139</v>
      </c>
      <c r="G25" s="199">
        <v>602000</v>
      </c>
      <c r="H25" s="199">
        <v>268782</v>
      </c>
      <c r="I25" s="199">
        <v>428000</v>
      </c>
      <c r="J25" s="199">
        <v>144000</v>
      </c>
      <c r="K25" s="199">
        <v>313944</v>
      </c>
      <c r="L25" s="185"/>
    </row>
    <row r="26" spans="2:12">
      <c r="B26" t="s">
        <v>179</v>
      </c>
      <c r="C26" s="199">
        <v>22938</v>
      </c>
      <c r="D26" s="199">
        <v>16667</v>
      </c>
      <c r="E26" s="199">
        <v>17750</v>
      </c>
      <c r="F26" s="199">
        <v>48482</v>
      </c>
      <c r="G26" s="199">
        <v>17706</v>
      </c>
      <c r="H26" s="199">
        <v>44797</v>
      </c>
      <c r="I26" s="199">
        <v>21400</v>
      </c>
      <c r="J26" s="199">
        <v>24000</v>
      </c>
      <c r="K26" s="199">
        <v>67674</v>
      </c>
      <c r="L26" s="185"/>
    </row>
    <row r="27" spans="2:12">
      <c r="B27" t="s">
        <v>218</v>
      </c>
      <c r="C27" s="200">
        <v>1.08</v>
      </c>
      <c r="D27" s="200">
        <v>0.52</v>
      </c>
      <c r="E27" s="200"/>
      <c r="F27" s="200">
        <v>3.5</v>
      </c>
      <c r="G27" s="200">
        <v>1</v>
      </c>
      <c r="H27" s="200">
        <v>1.8</v>
      </c>
      <c r="I27" s="200">
        <v>2.27</v>
      </c>
      <c r="J27" s="200">
        <v>2.21</v>
      </c>
      <c r="K27" s="200"/>
      <c r="L27" s="185"/>
    </row>
    <row r="28" spans="2:12">
      <c r="B28" t="s">
        <v>219</v>
      </c>
      <c r="C28" s="199">
        <v>47045</v>
      </c>
      <c r="D28" s="199">
        <v>22651</v>
      </c>
      <c r="E28" s="199"/>
      <c r="F28" s="199">
        <v>152460</v>
      </c>
      <c r="G28" s="199">
        <v>43560</v>
      </c>
      <c r="H28" s="199">
        <v>78408</v>
      </c>
      <c r="I28" s="199">
        <v>98881</v>
      </c>
      <c r="J28" s="199">
        <v>96268</v>
      </c>
      <c r="K28" s="199"/>
      <c r="L28" s="185"/>
    </row>
    <row r="29" spans="2:12">
      <c r="B29" t="s">
        <v>220</v>
      </c>
      <c r="C29" s="200">
        <v>13.34</v>
      </c>
      <c r="D29" s="200">
        <v>18.239999999999998</v>
      </c>
      <c r="E29" s="200"/>
      <c r="F29" s="200">
        <v>8.31</v>
      </c>
      <c r="G29" s="200">
        <v>13.82</v>
      </c>
      <c r="H29" s="200">
        <v>3.43</v>
      </c>
      <c r="I29" s="200">
        <v>4.33</v>
      </c>
      <c r="J29" s="200">
        <v>1.5</v>
      </c>
      <c r="K29" s="200"/>
      <c r="L29" s="185"/>
    </row>
    <row r="30" spans="2:12">
      <c r="B30" t="s">
        <v>221</v>
      </c>
      <c r="C30" s="198"/>
      <c r="D30" s="199" t="s">
        <v>222</v>
      </c>
      <c r="E30" s="199"/>
      <c r="F30" s="199"/>
      <c r="G30" s="199"/>
      <c r="H30" s="199" t="s">
        <v>80</v>
      </c>
      <c r="I30" s="199"/>
      <c r="J30" s="199"/>
      <c r="K30" s="199"/>
      <c r="L30" s="185"/>
    </row>
    <row r="31" spans="2:12">
      <c r="B31" t="s">
        <v>223</v>
      </c>
      <c r="C31" s="201">
        <v>45017</v>
      </c>
      <c r="D31" s="201">
        <v>42005</v>
      </c>
      <c r="E31" s="201">
        <v>42583</v>
      </c>
      <c r="F31" s="198"/>
      <c r="G31" s="201">
        <v>43191</v>
      </c>
      <c r="H31" s="201">
        <v>41791</v>
      </c>
      <c r="I31" s="201">
        <v>42522</v>
      </c>
      <c r="J31" s="201">
        <v>42736</v>
      </c>
      <c r="K31" s="201">
        <v>41518</v>
      </c>
      <c r="L31" s="202"/>
    </row>
    <row r="32" spans="2:12">
      <c r="B32" t="s">
        <v>224</v>
      </c>
      <c r="C32" s="201">
        <v>45505</v>
      </c>
      <c r="D32" s="201">
        <v>43070</v>
      </c>
      <c r="E32" s="198">
        <v>2017</v>
      </c>
      <c r="F32" s="198">
        <v>1975</v>
      </c>
      <c r="G32" s="201">
        <v>44013</v>
      </c>
      <c r="H32" s="198">
        <v>2015</v>
      </c>
      <c r="I32" s="198">
        <v>2018</v>
      </c>
      <c r="J32" s="199">
        <v>2018</v>
      </c>
      <c r="K32" s="199">
        <v>2014</v>
      </c>
      <c r="L32" s="185"/>
    </row>
    <row r="33" spans="2:12">
      <c r="B33" t="s">
        <v>225</v>
      </c>
      <c r="C33" s="203">
        <f>DATEDIF(C31,C32,"M")</f>
        <v>16</v>
      </c>
      <c r="D33" s="203">
        <f>DATEDIF(D31,D32,"M")</f>
        <v>35</v>
      </c>
      <c r="E33" s="203"/>
      <c r="F33" s="198"/>
      <c r="G33" s="203">
        <f>DATEDIF(G31,G32,"M")</f>
        <v>27</v>
      </c>
      <c r="H33" s="203"/>
      <c r="I33" s="198"/>
      <c r="J33" s="198"/>
      <c r="K33" s="198"/>
    </row>
    <row r="34" spans="2:12">
      <c r="B34" t="s">
        <v>184</v>
      </c>
      <c r="C34" s="198"/>
      <c r="D34" s="198"/>
      <c r="E34" s="198"/>
      <c r="F34" s="198">
        <v>1992</v>
      </c>
      <c r="G34" s="198"/>
      <c r="H34" s="198"/>
      <c r="I34" s="198"/>
      <c r="J34" s="198"/>
      <c r="K34" s="198"/>
    </row>
    <row r="35" spans="2:12">
      <c r="B35" t="s">
        <v>181</v>
      </c>
      <c r="C35" s="198" t="s">
        <v>182</v>
      </c>
      <c r="D35" s="198" t="s">
        <v>182</v>
      </c>
      <c r="E35" s="198" t="s">
        <v>182</v>
      </c>
      <c r="F35" s="198" t="s">
        <v>182</v>
      </c>
      <c r="G35" s="198" t="s">
        <v>182</v>
      </c>
      <c r="H35" s="198" t="s">
        <v>182</v>
      </c>
      <c r="I35" s="198" t="s">
        <v>182</v>
      </c>
      <c r="J35" s="198" t="s">
        <v>182</v>
      </c>
      <c r="K35" s="198" t="s">
        <v>183</v>
      </c>
    </row>
    <row r="36" spans="2:12">
      <c r="B36" t="s">
        <v>226</v>
      </c>
      <c r="C36" s="198"/>
      <c r="D36" s="198"/>
      <c r="E36" s="198"/>
      <c r="F36" s="198"/>
      <c r="G36" s="198"/>
      <c r="H36" s="198"/>
      <c r="I36" s="198"/>
      <c r="J36" s="198"/>
      <c r="K36" s="198">
        <v>23</v>
      </c>
    </row>
    <row r="37" spans="2:12">
      <c r="B37" t="s">
        <v>227</v>
      </c>
      <c r="C37" s="198"/>
      <c r="D37" s="198"/>
      <c r="E37" s="198"/>
      <c r="F37" s="198"/>
      <c r="G37" s="198"/>
      <c r="H37" s="198"/>
      <c r="I37" s="198"/>
      <c r="J37" s="198"/>
      <c r="K37" s="198" t="s">
        <v>228</v>
      </c>
    </row>
    <row r="38" spans="2:12">
      <c r="B38" t="s">
        <v>185</v>
      </c>
      <c r="C38" s="198" t="s">
        <v>186</v>
      </c>
      <c r="D38" s="198" t="s">
        <v>186</v>
      </c>
      <c r="E38" s="198" t="s">
        <v>186</v>
      </c>
      <c r="F38" s="198" t="s">
        <v>186</v>
      </c>
      <c r="G38" s="198" t="s">
        <v>186</v>
      </c>
      <c r="H38" s="198" t="s">
        <v>186</v>
      </c>
      <c r="I38" s="198" t="s">
        <v>186</v>
      </c>
      <c r="J38" s="198" t="s">
        <v>186</v>
      </c>
      <c r="K38" s="198" t="s">
        <v>186</v>
      </c>
    </row>
    <row r="39" spans="2:12">
      <c r="B39" t="s">
        <v>229</v>
      </c>
      <c r="C39" s="204">
        <v>0.65600000000000003</v>
      </c>
      <c r="D39" s="205">
        <v>0.11</v>
      </c>
      <c r="E39" s="205">
        <v>0.08</v>
      </c>
      <c r="F39" s="204">
        <v>0.17799999999999999</v>
      </c>
      <c r="G39" s="204">
        <v>0.20399999999999999</v>
      </c>
      <c r="H39" s="204">
        <v>0.20599999999999999</v>
      </c>
      <c r="I39" s="204">
        <v>6.8000000000000005E-2</v>
      </c>
      <c r="J39" s="204">
        <v>3.7999999999999999E-2</v>
      </c>
      <c r="K39" s="205">
        <v>7.0000000000000007E-2</v>
      </c>
    </row>
    <row r="40" spans="2:12">
      <c r="C40" s="198"/>
      <c r="D40" s="198"/>
      <c r="E40" s="198"/>
      <c r="F40" s="198"/>
      <c r="G40" s="198"/>
      <c r="H40" s="198"/>
      <c r="I40" s="198"/>
      <c r="J40" s="198"/>
      <c r="K40" s="198"/>
    </row>
    <row r="41" spans="2:12">
      <c r="B41" t="s">
        <v>230</v>
      </c>
      <c r="C41" s="206"/>
      <c r="D41" s="198"/>
      <c r="E41" s="198"/>
      <c r="F41" s="198"/>
      <c r="G41" s="198"/>
      <c r="H41" s="198"/>
      <c r="I41" s="198"/>
      <c r="J41" s="198"/>
      <c r="K41" s="198"/>
    </row>
    <row r="42" spans="2:12">
      <c r="B42" t="s">
        <v>3</v>
      </c>
      <c r="C42" s="199">
        <v>0</v>
      </c>
      <c r="D42" s="199">
        <v>0</v>
      </c>
      <c r="E42" s="199">
        <v>24</v>
      </c>
      <c r="F42" s="199">
        <v>34</v>
      </c>
      <c r="G42" s="199">
        <v>0</v>
      </c>
      <c r="H42" s="199">
        <v>70</v>
      </c>
      <c r="I42" s="199">
        <v>21</v>
      </c>
      <c r="J42" s="199">
        <v>41</v>
      </c>
      <c r="K42" s="199">
        <v>15</v>
      </c>
      <c r="L42" s="185"/>
    </row>
    <row r="43" spans="2:12">
      <c r="B43" t="s">
        <v>231</v>
      </c>
      <c r="C43" s="199">
        <v>328</v>
      </c>
      <c r="D43" s="199">
        <v>198</v>
      </c>
      <c r="E43" s="199">
        <v>119</v>
      </c>
      <c r="F43" s="199">
        <v>652</v>
      </c>
      <c r="G43" s="199">
        <v>222</v>
      </c>
      <c r="H43" s="199">
        <v>166</v>
      </c>
      <c r="I43" s="199">
        <v>141</v>
      </c>
      <c r="J43" s="199">
        <v>178</v>
      </c>
      <c r="K43" s="199">
        <v>124</v>
      </c>
      <c r="L43" s="185"/>
    </row>
    <row r="44" spans="2:12">
      <c r="B44" t="s">
        <v>232</v>
      </c>
      <c r="C44" s="199">
        <v>39</v>
      </c>
      <c r="D44" s="199">
        <v>83</v>
      </c>
      <c r="E44" s="199">
        <v>81</v>
      </c>
      <c r="F44" s="199">
        <v>257</v>
      </c>
      <c r="G44" s="199">
        <v>88</v>
      </c>
      <c r="H44" s="199">
        <v>11</v>
      </c>
      <c r="I44" s="199">
        <v>94</v>
      </c>
      <c r="J44" s="199">
        <v>53</v>
      </c>
      <c r="K44" s="199">
        <v>17</v>
      </c>
      <c r="L44" s="185"/>
    </row>
    <row r="45" spans="2:12">
      <c r="B45" t="s">
        <v>233</v>
      </c>
      <c r="C45" s="199">
        <v>0</v>
      </c>
      <c r="D45" s="199">
        <v>0</v>
      </c>
      <c r="E45" s="199">
        <v>0</v>
      </c>
      <c r="F45" s="199">
        <v>28</v>
      </c>
      <c r="G45" s="199">
        <v>8</v>
      </c>
      <c r="H45" s="199">
        <v>0</v>
      </c>
      <c r="I45" s="199">
        <v>19</v>
      </c>
      <c r="J45" s="199">
        <v>0</v>
      </c>
      <c r="K45" s="199">
        <v>1</v>
      </c>
      <c r="L45" s="185"/>
    </row>
    <row r="46" spans="2:12">
      <c r="B46" t="s">
        <v>234</v>
      </c>
      <c r="C46" s="199">
        <v>0</v>
      </c>
      <c r="D46" s="199">
        <v>0</v>
      </c>
      <c r="E46" s="199">
        <v>0</v>
      </c>
      <c r="F46" s="199">
        <v>0</v>
      </c>
      <c r="G46" s="199">
        <v>0</v>
      </c>
      <c r="H46" s="199">
        <v>0</v>
      </c>
      <c r="I46" s="199">
        <v>1</v>
      </c>
      <c r="J46" s="199">
        <v>0</v>
      </c>
      <c r="K46" s="199">
        <v>0</v>
      </c>
      <c r="L46" s="185"/>
    </row>
    <row r="47" spans="2:12">
      <c r="B47" t="s">
        <v>102</v>
      </c>
      <c r="C47" s="199">
        <f t="shared" ref="C47:K47" si="0">SUM(C42:C46)</f>
        <v>367</v>
      </c>
      <c r="D47" s="199">
        <f t="shared" si="0"/>
        <v>281</v>
      </c>
      <c r="E47" s="199">
        <f t="shared" si="0"/>
        <v>224</v>
      </c>
      <c r="F47" s="199">
        <f t="shared" si="0"/>
        <v>971</v>
      </c>
      <c r="G47" s="199">
        <f t="shared" si="0"/>
        <v>318</v>
      </c>
      <c r="H47" s="199">
        <f t="shared" si="0"/>
        <v>247</v>
      </c>
      <c r="I47" s="199">
        <f t="shared" si="0"/>
        <v>276</v>
      </c>
      <c r="J47" s="199">
        <f t="shared" si="0"/>
        <v>272</v>
      </c>
      <c r="K47" s="199">
        <f t="shared" si="0"/>
        <v>157</v>
      </c>
      <c r="L47" s="185"/>
    </row>
    <row r="48" spans="2:12">
      <c r="B48" t="s">
        <v>235</v>
      </c>
      <c r="C48" s="199"/>
      <c r="D48" s="199"/>
      <c r="E48" s="199"/>
      <c r="F48" s="199"/>
      <c r="G48" s="199"/>
      <c r="H48" s="199"/>
      <c r="I48" s="199"/>
      <c r="J48" s="199"/>
      <c r="K48" s="199"/>
      <c r="L48" s="185"/>
    </row>
    <row r="49" spans="2:12">
      <c r="B49" t="s">
        <v>3</v>
      </c>
      <c r="C49" s="207">
        <f>C42/C$47</f>
        <v>0</v>
      </c>
      <c r="D49" s="207">
        <f t="shared" ref="D49:K49" si="1">D42/D$47</f>
        <v>0</v>
      </c>
      <c r="E49" s="207">
        <f t="shared" si="1"/>
        <v>0.10714285714285714</v>
      </c>
      <c r="F49" s="207">
        <f t="shared" si="1"/>
        <v>3.5015447991761074E-2</v>
      </c>
      <c r="G49" s="207">
        <f t="shared" si="1"/>
        <v>0</v>
      </c>
      <c r="H49" s="207">
        <f t="shared" si="1"/>
        <v>0.2834008097165992</v>
      </c>
      <c r="I49" s="207">
        <f t="shared" si="1"/>
        <v>7.6086956521739135E-2</v>
      </c>
      <c r="J49" s="207">
        <f t="shared" si="1"/>
        <v>0.15073529411764705</v>
      </c>
      <c r="K49" s="207">
        <f t="shared" si="1"/>
        <v>9.5541401273885357E-2</v>
      </c>
      <c r="L49" s="185"/>
    </row>
    <row r="50" spans="2:12">
      <c r="B50" t="s">
        <v>231</v>
      </c>
      <c r="C50" s="207">
        <f t="shared" ref="C50:K53" si="2">C43/C$47</f>
        <v>0.89373297002724794</v>
      </c>
      <c r="D50" s="207">
        <f t="shared" si="2"/>
        <v>0.70462633451957291</v>
      </c>
      <c r="E50" s="207">
        <f t="shared" si="2"/>
        <v>0.53125</v>
      </c>
      <c r="F50" s="207">
        <f t="shared" si="2"/>
        <v>0.67147270854788876</v>
      </c>
      <c r="G50" s="207">
        <f t="shared" si="2"/>
        <v>0.69811320754716977</v>
      </c>
      <c r="H50" s="207">
        <f t="shared" si="2"/>
        <v>0.67206477732793524</v>
      </c>
      <c r="I50" s="207">
        <f t="shared" si="2"/>
        <v>0.51086956521739135</v>
      </c>
      <c r="J50" s="207">
        <f t="shared" si="2"/>
        <v>0.65441176470588236</v>
      </c>
      <c r="K50" s="207">
        <f t="shared" si="2"/>
        <v>0.78980891719745228</v>
      </c>
      <c r="L50" s="185"/>
    </row>
    <row r="51" spans="2:12">
      <c r="B51" t="s">
        <v>232</v>
      </c>
      <c r="C51" s="207">
        <f t="shared" si="2"/>
        <v>0.10626702997275204</v>
      </c>
      <c r="D51" s="207">
        <f t="shared" si="2"/>
        <v>0.29537366548042704</v>
      </c>
      <c r="E51" s="207">
        <f t="shared" si="2"/>
        <v>0.36160714285714285</v>
      </c>
      <c r="F51" s="207">
        <f t="shared" si="2"/>
        <v>0.2646755921730175</v>
      </c>
      <c r="G51" s="207">
        <f t="shared" si="2"/>
        <v>0.27672955974842767</v>
      </c>
      <c r="H51" s="207">
        <f t="shared" si="2"/>
        <v>4.4534412955465584E-2</v>
      </c>
      <c r="I51" s="207">
        <f t="shared" si="2"/>
        <v>0.34057971014492755</v>
      </c>
      <c r="J51" s="207">
        <f t="shared" si="2"/>
        <v>0.19485294117647059</v>
      </c>
      <c r="K51" s="207">
        <f t="shared" si="2"/>
        <v>0.10828025477707007</v>
      </c>
      <c r="L51" s="185"/>
    </row>
    <row r="52" spans="2:12">
      <c r="B52" t="s">
        <v>233</v>
      </c>
      <c r="C52" s="207">
        <f t="shared" si="2"/>
        <v>0</v>
      </c>
      <c r="D52" s="207">
        <f t="shared" si="2"/>
        <v>0</v>
      </c>
      <c r="E52" s="207">
        <f t="shared" si="2"/>
        <v>0</v>
      </c>
      <c r="F52" s="207">
        <f t="shared" si="2"/>
        <v>2.8836251287332648E-2</v>
      </c>
      <c r="G52" s="207">
        <f t="shared" si="2"/>
        <v>2.5157232704402517E-2</v>
      </c>
      <c r="H52" s="207">
        <f t="shared" si="2"/>
        <v>0</v>
      </c>
      <c r="I52" s="207">
        <f t="shared" si="2"/>
        <v>6.8840579710144928E-2</v>
      </c>
      <c r="J52" s="207">
        <f t="shared" si="2"/>
        <v>0</v>
      </c>
      <c r="K52" s="207">
        <f t="shared" si="2"/>
        <v>6.369426751592357E-3</v>
      </c>
      <c r="L52" s="185"/>
    </row>
    <row r="53" spans="2:12">
      <c r="B53" t="s">
        <v>234</v>
      </c>
      <c r="C53" s="207">
        <f t="shared" si="2"/>
        <v>0</v>
      </c>
      <c r="D53" s="207">
        <f t="shared" si="2"/>
        <v>0</v>
      </c>
      <c r="E53" s="207">
        <f t="shared" si="2"/>
        <v>0</v>
      </c>
      <c r="F53" s="207">
        <f t="shared" si="2"/>
        <v>0</v>
      </c>
      <c r="G53" s="207">
        <f t="shared" si="2"/>
        <v>0</v>
      </c>
      <c r="H53" s="207">
        <f t="shared" si="2"/>
        <v>0</v>
      </c>
      <c r="I53" s="207">
        <f t="shared" si="2"/>
        <v>3.6231884057971015E-3</v>
      </c>
      <c r="J53" s="207">
        <f t="shared" si="2"/>
        <v>0</v>
      </c>
      <c r="K53" s="207">
        <f t="shared" si="2"/>
        <v>0</v>
      </c>
      <c r="L53" s="185"/>
    </row>
    <row r="54" spans="2:12">
      <c r="B54" t="s">
        <v>102</v>
      </c>
      <c r="C54" s="199">
        <f>SUM(C49:C53)</f>
        <v>1</v>
      </c>
      <c r="D54" s="199">
        <f t="shared" ref="D54:K54" si="3">SUM(D49:D53)</f>
        <v>1</v>
      </c>
      <c r="E54" s="199">
        <f t="shared" si="3"/>
        <v>1</v>
      </c>
      <c r="F54" s="199">
        <f t="shared" si="3"/>
        <v>1</v>
      </c>
      <c r="G54" s="199">
        <f t="shared" si="3"/>
        <v>1</v>
      </c>
      <c r="H54" s="199">
        <f t="shared" si="3"/>
        <v>1</v>
      </c>
      <c r="I54" s="199">
        <f t="shared" si="3"/>
        <v>1</v>
      </c>
      <c r="J54" s="199">
        <f t="shared" si="3"/>
        <v>1</v>
      </c>
      <c r="K54" s="199">
        <f t="shared" si="3"/>
        <v>1</v>
      </c>
      <c r="L54" s="185"/>
    </row>
    <row r="55" spans="2:12">
      <c r="B55" t="s">
        <v>236</v>
      </c>
      <c r="C55" s="199"/>
      <c r="D55" s="199"/>
      <c r="E55" s="199"/>
      <c r="F55" s="199"/>
      <c r="G55" s="199"/>
      <c r="H55" s="199"/>
      <c r="I55" s="199"/>
      <c r="J55" s="199"/>
      <c r="K55" s="199"/>
      <c r="L55" s="185"/>
    </row>
    <row r="56" spans="2:12">
      <c r="B56" t="s">
        <v>3</v>
      </c>
      <c r="C56" s="199">
        <v>0</v>
      </c>
      <c r="D56" s="199">
        <v>0</v>
      </c>
      <c r="E56" s="199">
        <v>466</v>
      </c>
      <c r="F56" s="199">
        <v>561</v>
      </c>
      <c r="G56" s="199">
        <v>0</v>
      </c>
      <c r="H56" s="199">
        <v>519</v>
      </c>
      <c r="I56" s="199">
        <v>524</v>
      </c>
      <c r="J56" s="199">
        <v>468</v>
      </c>
      <c r="K56" s="199">
        <v>486</v>
      </c>
      <c r="L56" s="185">
        <f>AVERAGEIF(C56:K56,"&gt;0",C56:K56)</f>
        <v>504</v>
      </c>
    </row>
    <row r="57" spans="2:12">
      <c r="B57" t="s">
        <v>231</v>
      </c>
      <c r="C57" s="199">
        <v>681</v>
      </c>
      <c r="D57" s="199">
        <v>750</v>
      </c>
      <c r="E57" s="199">
        <v>774</v>
      </c>
      <c r="F57" s="199">
        <v>872</v>
      </c>
      <c r="G57" s="199">
        <v>749</v>
      </c>
      <c r="H57" s="199">
        <v>790</v>
      </c>
      <c r="I57" s="199">
        <v>859</v>
      </c>
      <c r="J57" s="199">
        <v>718</v>
      </c>
      <c r="K57" s="199">
        <v>726</v>
      </c>
      <c r="L57" s="185">
        <f t="shared" ref="L57:L61" si="4">AVERAGEIF(C57:K57,"&gt;0",C57:K57)</f>
        <v>768.77777777777783</v>
      </c>
    </row>
    <row r="58" spans="2:12">
      <c r="B58" t="s">
        <v>232</v>
      </c>
      <c r="C58" s="199">
        <v>1219</v>
      </c>
      <c r="D58" s="199">
        <v>1175</v>
      </c>
      <c r="E58" s="199">
        <v>1073</v>
      </c>
      <c r="F58" s="199">
        <v>1229</v>
      </c>
      <c r="G58" s="199">
        <v>1195</v>
      </c>
      <c r="H58" s="199">
        <v>1120</v>
      </c>
      <c r="I58" s="199">
        <v>1400</v>
      </c>
      <c r="J58" s="199">
        <v>1012</v>
      </c>
      <c r="K58" s="199">
        <v>1213</v>
      </c>
      <c r="L58" s="185">
        <f t="shared" si="4"/>
        <v>1181.7777777777778</v>
      </c>
    </row>
    <row r="59" spans="2:12">
      <c r="B59" t="s">
        <v>233</v>
      </c>
      <c r="C59" s="199">
        <v>0</v>
      </c>
      <c r="D59" s="199">
        <v>0</v>
      </c>
      <c r="E59" s="199">
        <v>0</v>
      </c>
      <c r="F59" s="199">
        <v>1630</v>
      </c>
      <c r="G59" s="199">
        <v>1764</v>
      </c>
      <c r="H59" s="199">
        <v>0</v>
      </c>
      <c r="I59" s="199">
        <v>1989</v>
      </c>
      <c r="J59" s="199">
        <v>0</v>
      </c>
      <c r="K59" s="199">
        <v>2841</v>
      </c>
      <c r="L59" s="185">
        <f t="shared" si="4"/>
        <v>2056</v>
      </c>
    </row>
    <row r="60" spans="2:12">
      <c r="B60" t="s">
        <v>234</v>
      </c>
      <c r="C60" s="199">
        <v>0</v>
      </c>
      <c r="D60" s="199">
        <v>0</v>
      </c>
      <c r="E60" s="199">
        <v>0</v>
      </c>
      <c r="F60" s="199">
        <v>0</v>
      </c>
      <c r="G60" s="199">
        <v>0</v>
      </c>
      <c r="H60" s="199">
        <v>0</v>
      </c>
      <c r="I60" s="199">
        <v>4805</v>
      </c>
      <c r="J60" s="199">
        <v>0</v>
      </c>
      <c r="K60" s="199">
        <v>0</v>
      </c>
      <c r="L60" s="185">
        <f t="shared" si="4"/>
        <v>4805</v>
      </c>
    </row>
    <row r="61" spans="2:12">
      <c r="B61" t="s">
        <v>237</v>
      </c>
      <c r="C61" s="199">
        <f t="shared" ref="C61:K61" si="5">SUMPRODUCT(C42:C46,C56:C60)/C47</f>
        <v>738.17166212534062</v>
      </c>
      <c r="D61" s="199">
        <f t="shared" si="5"/>
        <v>875.53380782918146</v>
      </c>
      <c r="E61" s="199">
        <f t="shared" si="5"/>
        <v>849.12053571428567</v>
      </c>
      <c r="F61" s="199">
        <f t="shared" si="5"/>
        <v>977.45726055612772</v>
      </c>
      <c r="G61" s="199">
        <f t="shared" si="5"/>
        <v>897.95597484276732</v>
      </c>
      <c r="H61" s="199">
        <f t="shared" si="5"/>
        <v>727.89473684210532</v>
      </c>
      <c r="I61" s="199">
        <f t="shared" si="5"/>
        <v>1109.8514492753623</v>
      </c>
      <c r="J61" s="199">
        <f t="shared" si="5"/>
        <v>737.60294117647061</v>
      </c>
      <c r="K61" s="199">
        <f t="shared" si="5"/>
        <v>769.27388535031844</v>
      </c>
      <c r="L61" s="185">
        <f t="shared" si="4"/>
        <v>853.65136152355103</v>
      </c>
    </row>
    <row r="62" spans="2:12">
      <c r="B62" t="s">
        <v>238</v>
      </c>
      <c r="C62" s="199"/>
      <c r="D62" s="199"/>
      <c r="E62" s="199"/>
      <c r="F62" s="199"/>
      <c r="G62" s="199"/>
      <c r="H62" s="199"/>
      <c r="I62" s="199"/>
      <c r="J62" s="199"/>
      <c r="K62" s="199"/>
      <c r="L62" s="185"/>
    </row>
    <row r="63" spans="2:12">
      <c r="B63" t="s">
        <v>3</v>
      </c>
      <c r="C63" s="206">
        <v>0</v>
      </c>
      <c r="D63" s="206">
        <v>0</v>
      </c>
      <c r="E63" s="206">
        <v>915</v>
      </c>
      <c r="F63" s="206">
        <v>993</v>
      </c>
      <c r="G63" s="206">
        <v>0</v>
      </c>
      <c r="H63" s="206">
        <v>1428</v>
      </c>
      <c r="I63" s="206">
        <v>2214</v>
      </c>
      <c r="J63" s="206">
        <v>1698</v>
      </c>
      <c r="K63" s="206">
        <v>1379</v>
      </c>
      <c r="L63" s="185">
        <f t="shared" ref="L63:L75" si="6">AVERAGEIF(C63:K63,"&gt;0",C63:K63)</f>
        <v>1437.8333333333333</v>
      </c>
    </row>
    <row r="64" spans="2:12">
      <c r="B64" t="s">
        <v>231</v>
      </c>
      <c r="C64" s="208">
        <v>1460</v>
      </c>
      <c r="D64" s="208">
        <v>1595</v>
      </c>
      <c r="E64" s="208">
        <v>1425</v>
      </c>
      <c r="F64" s="208">
        <v>1112</v>
      </c>
      <c r="G64" s="208">
        <v>1956</v>
      </c>
      <c r="H64" s="208">
        <v>1720</v>
      </c>
      <c r="I64" s="208">
        <v>2544</v>
      </c>
      <c r="J64" s="208">
        <v>1832</v>
      </c>
      <c r="K64" s="208">
        <v>1590</v>
      </c>
      <c r="L64" s="185">
        <f t="shared" si="6"/>
        <v>1692.6666666666667</v>
      </c>
    </row>
    <row r="65" spans="2:12">
      <c r="B65" t="s">
        <v>232</v>
      </c>
      <c r="C65" s="208">
        <v>2127</v>
      </c>
      <c r="D65" s="208">
        <v>2115</v>
      </c>
      <c r="E65" s="208">
        <v>1932</v>
      </c>
      <c r="F65" s="208">
        <v>1645</v>
      </c>
      <c r="G65" s="208">
        <v>2822</v>
      </c>
      <c r="H65" s="208">
        <v>2543</v>
      </c>
      <c r="I65" s="208">
        <v>3847</v>
      </c>
      <c r="J65" s="208">
        <v>2462</v>
      </c>
      <c r="K65" s="208">
        <v>2546</v>
      </c>
      <c r="L65" s="185">
        <f t="shared" si="6"/>
        <v>2448.7777777777778</v>
      </c>
    </row>
    <row r="66" spans="2:12">
      <c r="B66" t="s">
        <v>233</v>
      </c>
      <c r="C66" s="208">
        <v>0</v>
      </c>
      <c r="D66" s="208">
        <v>0</v>
      </c>
      <c r="E66" s="208">
        <v>0</v>
      </c>
      <c r="F66" s="208">
        <v>2052</v>
      </c>
      <c r="G66" s="208">
        <v>8035</v>
      </c>
      <c r="H66" s="208">
        <v>0</v>
      </c>
      <c r="I66" s="208">
        <v>5956</v>
      </c>
      <c r="J66" s="208">
        <v>0</v>
      </c>
      <c r="K66" s="208">
        <v>3706</v>
      </c>
      <c r="L66" s="185">
        <f t="shared" si="6"/>
        <v>4937.25</v>
      </c>
    </row>
    <row r="67" spans="2:12">
      <c r="B67" t="s">
        <v>234</v>
      </c>
      <c r="C67" s="208">
        <v>0</v>
      </c>
      <c r="D67" s="208">
        <v>0</v>
      </c>
      <c r="E67" s="208">
        <v>0</v>
      </c>
      <c r="F67" s="208">
        <v>0</v>
      </c>
      <c r="G67" s="208">
        <v>0</v>
      </c>
      <c r="H67" s="208">
        <v>0</v>
      </c>
      <c r="I67" s="208">
        <v>11985</v>
      </c>
      <c r="J67" s="208">
        <v>0</v>
      </c>
      <c r="K67" s="208">
        <v>0</v>
      </c>
      <c r="L67" s="185">
        <f t="shared" si="6"/>
        <v>11985</v>
      </c>
    </row>
    <row r="68" spans="2:12">
      <c r="B68" t="s">
        <v>239</v>
      </c>
      <c r="C68" s="208">
        <f t="shared" ref="C68:K68" si="7">SUMPRODUCT(C42:C46,C63:C67)/C47</f>
        <v>1530.8801089918256</v>
      </c>
      <c r="D68" s="208">
        <f t="shared" si="7"/>
        <v>1748.5943060498221</v>
      </c>
      <c r="E68" s="208">
        <f t="shared" si="7"/>
        <v>1553.6919642857142</v>
      </c>
      <c r="F68" s="208">
        <f t="shared" si="7"/>
        <v>1276.0113285272914</v>
      </c>
      <c r="G68" s="208">
        <f t="shared" si="7"/>
        <v>2348.5786163522012</v>
      </c>
      <c r="H68" s="208">
        <f t="shared" si="7"/>
        <v>1673.8987854251013</v>
      </c>
      <c r="I68" s="208">
        <f t="shared" si="7"/>
        <v>3231.7572463768115</v>
      </c>
      <c r="J68" s="208">
        <f t="shared" si="7"/>
        <v>1934.5588235294117</v>
      </c>
      <c r="K68" s="208">
        <f t="shared" si="7"/>
        <v>1686.8343949044586</v>
      </c>
      <c r="L68" s="185">
        <f t="shared" si="6"/>
        <v>1887.200619382515</v>
      </c>
    </row>
    <row r="69" spans="2:12">
      <c r="B69" t="s">
        <v>240</v>
      </c>
      <c r="C69" s="199"/>
      <c r="D69" s="199"/>
      <c r="E69" s="199"/>
      <c r="F69" s="199"/>
      <c r="G69" s="199"/>
      <c r="H69" s="199"/>
      <c r="I69" s="199"/>
      <c r="J69" s="199"/>
      <c r="K69" s="199"/>
      <c r="L69" s="185"/>
    </row>
    <row r="70" spans="2:12">
      <c r="B70" t="s">
        <v>3</v>
      </c>
      <c r="C70" s="206">
        <v>0</v>
      </c>
      <c r="D70" s="206">
        <v>0</v>
      </c>
      <c r="E70" s="206">
        <v>1.97</v>
      </c>
      <c r="F70" s="206">
        <v>1.76</v>
      </c>
      <c r="G70" s="206">
        <v>0</v>
      </c>
      <c r="H70" s="206">
        <v>2.77</v>
      </c>
      <c r="I70" s="206">
        <v>4.2300000000000004</v>
      </c>
      <c r="J70" s="206">
        <v>3.63</v>
      </c>
      <c r="K70" s="206">
        <v>2.84</v>
      </c>
      <c r="L70" s="206">
        <f t="shared" si="6"/>
        <v>2.8666666666666667</v>
      </c>
    </row>
    <row r="71" spans="2:12">
      <c r="B71" t="s">
        <v>231</v>
      </c>
      <c r="C71" s="206">
        <v>2.14</v>
      </c>
      <c r="D71" s="206">
        <v>2.13</v>
      </c>
      <c r="E71" s="206">
        <v>1.84</v>
      </c>
      <c r="F71" s="206">
        <v>1.27</v>
      </c>
      <c r="G71" s="206">
        <v>2.61</v>
      </c>
      <c r="H71" s="206">
        <v>2.1800000000000002</v>
      </c>
      <c r="I71" s="206">
        <v>2.96</v>
      </c>
      <c r="J71" s="206">
        <v>2.5499999999999998</v>
      </c>
      <c r="K71" s="206">
        <v>2.19</v>
      </c>
      <c r="L71" s="206">
        <f t="shared" si="6"/>
        <v>2.2077777777777778</v>
      </c>
    </row>
    <row r="72" spans="2:12">
      <c r="B72" t="s">
        <v>232</v>
      </c>
      <c r="C72" s="206">
        <v>1.74</v>
      </c>
      <c r="D72" s="206">
        <v>1.8</v>
      </c>
      <c r="E72" s="206">
        <v>1.8</v>
      </c>
      <c r="F72" s="206">
        <v>1.34</v>
      </c>
      <c r="G72" s="206">
        <v>2.36</v>
      </c>
      <c r="H72" s="206">
        <v>2.27</v>
      </c>
      <c r="I72" s="206">
        <v>2.75</v>
      </c>
      <c r="J72" s="206">
        <v>2.4300000000000002</v>
      </c>
      <c r="K72" s="206">
        <v>2.1</v>
      </c>
      <c r="L72" s="206">
        <f t="shared" si="6"/>
        <v>2.0655555555555556</v>
      </c>
    </row>
    <row r="73" spans="2:12">
      <c r="B73" t="s">
        <v>233</v>
      </c>
      <c r="C73" s="206">
        <v>0</v>
      </c>
      <c r="D73" s="206">
        <v>0</v>
      </c>
      <c r="E73" s="206">
        <v>0</v>
      </c>
      <c r="F73" s="206">
        <v>1.26</v>
      </c>
      <c r="G73" s="206">
        <v>4.5599999999999996</v>
      </c>
      <c r="H73" s="206">
        <v>2.2999999999999998</v>
      </c>
      <c r="I73" s="206">
        <v>2.99</v>
      </c>
      <c r="J73" s="206">
        <v>0</v>
      </c>
      <c r="K73" s="206">
        <v>1.3</v>
      </c>
      <c r="L73" s="206">
        <f t="shared" si="6"/>
        <v>2.4820000000000002</v>
      </c>
    </row>
    <row r="74" spans="2:12">
      <c r="B74" t="s">
        <v>234</v>
      </c>
      <c r="C74" s="206">
        <v>0</v>
      </c>
      <c r="D74" s="206">
        <v>0</v>
      </c>
      <c r="E74" s="206">
        <v>0</v>
      </c>
      <c r="F74" s="206">
        <v>0</v>
      </c>
      <c r="G74" s="206">
        <v>0</v>
      </c>
      <c r="H74" s="206">
        <v>0</v>
      </c>
      <c r="I74" s="206">
        <v>2.4900000000000002</v>
      </c>
      <c r="J74" s="206">
        <v>0</v>
      </c>
      <c r="K74" s="206">
        <v>0</v>
      </c>
      <c r="L74" s="206">
        <f t="shared" si="6"/>
        <v>2.4900000000000002</v>
      </c>
    </row>
    <row r="75" spans="2:12">
      <c r="B75" t="s">
        <v>239</v>
      </c>
      <c r="C75" s="206">
        <f t="shared" ref="C75:K75" si="8">SUMPRODUCT(C42:C46,C70:C74)/C47</f>
        <v>2.0974931880108993</v>
      </c>
      <c r="D75" s="206">
        <f t="shared" si="8"/>
        <v>2.0325266903914589</v>
      </c>
      <c r="E75" s="206">
        <f t="shared" si="8"/>
        <v>1.8394642857142858</v>
      </c>
      <c r="F75" s="206">
        <f t="shared" si="8"/>
        <v>1.3053964984552009</v>
      </c>
      <c r="G75" s="206">
        <f t="shared" si="8"/>
        <v>2.5898742138364779</v>
      </c>
      <c r="H75" s="206">
        <f t="shared" si="8"/>
        <v>2.351214574898786</v>
      </c>
      <c r="I75" s="206">
        <f t="shared" si="8"/>
        <v>2.9854710144927536</v>
      </c>
      <c r="J75" s="206">
        <f t="shared" si="8"/>
        <v>2.6894117647058824</v>
      </c>
      <c r="K75" s="206">
        <f t="shared" si="8"/>
        <v>2.2366878980891718</v>
      </c>
      <c r="L75" s="206">
        <f t="shared" si="6"/>
        <v>2.2363933476216573</v>
      </c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42C421-0CC4-48D1-8982-B2DC113FAFC6}">
  <sheetPr>
    <tabColor rgb="FF00B0F0"/>
  </sheetPr>
  <dimension ref="A1:J89"/>
  <sheetViews>
    <sheetView zoomScale="82" zoomScaleNormal="82" zoomScaleSheetLayoutView="85" workbookViewId="0">
      <selection activeCell="G20" sqref="G20"/>
    </sheetView>
  </sheetViews>
  <sheetFormatPr defaultColWidth="12.1796875" defaultRowHeight="12.5"/>
  <cols>
    <col min="1" max="1" width="27.81640625" style="28" customWidth="1"/>
    <col min="2" max="2" width="12.1796875" style="28"/>
    <col min="3" max="3" width="19.453125" style="28" customWidth="1"/>
    <col min="4" max="4" width="21.81640625" style="28" customWidth="1"/>
    <col min="5" max="5" width="33.7265625" style="28" bestFit="1" customWidth="1"/>
    <col min="6" max="6" width="33.1796875" style="28" customWidth="1"/>
    <col min="7" max="7" width="26.453125" style="28" customWidth="1"/>
    <col min="8" max="8" width="22.54296875" style="28" bestFit="1" customWidth="1"/>
    <col min="9" max="9" width="12.1796875" style="28"/>
    <col min="10" max="10" width="20.453125" style="28" bestFit="1" customWidth="1"/>
    <col min="11" max="11" width="21.81640625" style="28" bestFit="1" customWidth="1"/>
    <col min="12" max="16384" width="12.1796875" style="28"/>
  </cols>
  <sheetData>
    <row r="1" spans="1:10" ht="13">
      <c r="A1" s="28" t="s">
        <v>7</v>
      </c>
    </row>
    <row r="2" spans="1:10" ht="13" thickBot="1">
      <c r="B2" s="29"/>
      <c r="C2" s="454"/>
      <c r="D2" s="454"/>
      <c r="E2" s="454"/>
      <c r="F2" s="30"/>
    </row>
    <row r="3" spans="1:10" ht="15" customHeight="1" thickBot="1">
      <c r="A3" s="235" t="s">
        <v>8</v>
      </c>
      <c r="B3" s="236"/>
      <c r="C3" s="236"/>
      <c r="D3" s="237"/>
      <c r="E3" s="235"/>
      <c r="F3" s="237"/>
      <c r="G3" s="768"/>
      <c r="H3" s="237"/>
      <c r="I3" s="30"/>
      <c r="J3" s="31"/>
    </row>
    <row r="4" spans="1:10" ht="15" customHeight="1" thickBot="1">
      <c r="A4" s="32" t="s">
        <v>253</v>
      </c>
      <c r="B4" s="373"/>
      <c r="C4" s="234"/>
      <c r="D4" s="34"/>
      <c r="E4" s="35" t="s">
        <v>242</v>
      </c>
      <c r="F4" s="36" t="s">
        <v>9</v>
      </c>
      <c r="G4" s="823" t="s">
        <v>10</v>
      </c>
      <c r="H4" s="37"/>
    </row>
    <row r="5" spans="1:10" ht="15" customHeight="1">
      <c r="A5" s="466" t="s">
        <v>3</v>
      </c>
      <c r="B5" s="467"/>
      <c r="C5" s="468" t="s">
        <v>11</v>
      </c>
      <c r="D5" s="769" t="s">
        <v>12</v>
      </c>
      <c r="E5" s="47" t="s">
        <v>0</v>
      </c>
      <c r="F5" s="826">
        <v>15</v>
      </c>
      <c r="G5" s="824" t="s">
        <v>13</v>
      </c>
      <c r="H5" s="670"/>
    </row>
    <row r="6" spans="1:10" ht="15" customHeight="1">
      <c r="A6" s="49" t="s">
        <v>14</v>
      </c>
      <c r="B6" s="469"/>
      <c r="C6" s="470">
        <f>'Rent Comp'!$L$56</f>
        <v>504</v>
      </c>
      <c r="D6" s="827">
        <v>700</v>
      </c>
      <c r="E6" s="47" t="s">
        <v>204</v>
      </c>
      <c r="F6" s="826">
        <v>30</v>
      </c>
      <c r="G6" s="233" t="s">
        <v>424</v>
      </c>
      <c r="H6" s="618">
        <v>8.5000000000000006E-2</v>
      </c>
    </row>
    <row r="7" spans="1:10" ht="15" customHeight="1">
      <c r="A7" s="49" t="s">
        <v>15</v>
      </c>
      <c r="B7" s="469"/>
      <c r="C7" s="471">
        <f>'Rent Comp'!$L$70</f>
        <v>2.8666666666666667</v>
      </c>
      <c r="D7" s="828">
        <v>800</v>
      </c>
      <c r="E7" s="47" t="s">
        <v>285</v>
      </c>
      <c r="F7" s="826">
        <v>25</v>
      </c>
      <c r="G7" s="233" t="s">
        <v>425</v>
      </c>
      <c r="H7" s="618">
        <v>0.11</v>
      </c>
    </row>
    <row r="8" spans="1:10" ht="15" customHeight="1" thickBot="1">
      <c r="A8" s="473" t="s">
        <v>4</v>
      </c>
      <c r="B8" s="474"/>
      <c r="C8" s="475"/>
      <c r="D8" s="829"/>
      <c r="E8" s="47" t="s">
        <v>190</v>
      </c>
      <c r="F8" s="826">
        <v>10</v>
      </c>
      <c r="G8" s="233" t="s">
        <v>0</v>
      </c>
      <c r="H8" s="618">
        <v>0.09</v>
      </c>
      <c r="I8" s="5"/>
    </row>
    <row r="9" spans="1:10" ht="15" customHeight="1">
      <c r="A9" s="49" t="s">
        <v>14</v>
      </c>
      <c r="B9" s="469"/>
      <c r="C9" s="470">
        <f>'Rent Comp'!$L$57</f>
        <v>768.77777777777783</v>
      </c>
      <c r="D9" s="830">
        <v>900</v>
      </c>
      <c r="E9" s="764" t="s">
        <v>21</v>
      </c>
      <c r="F9" s="765"/>
      <c r="G9" s="233" t="s">
        <v>285</v>
      </c>
      <c r="H9" s="618">
        <v>0.1</v>
      </c>
      <c r="I9" s="5"/>
    </row>
    <row r="10" spans="1:10" ht="15" customHeight="1" thickBot="1">
      <c r="A10" s="49" t="s">
        <v>15</v>
      </c>
      <c r="B10" s="469"/>
      <c r="C10" s="471">
        <f>'Rent Comp'!$L$71</f>
        <v>2.2077777777777778</v>
      </c>
      <c r="D10" s="828">
        <v>750</v>
      </c>
      <c r="E10" s="766" t="s">
        <v>23</v>
      </c>
      <c r="F10" s="767" t="s">
        <v>24</v>
      </c>
      <c r="G10" s="233" t="s">
        <v>205</v>
      </c>
      <c r="H10" s="618">
        <v>9.5000000000000001E-2</v>
      </c>
    </row>
    <row r="11" spans="1:10" ht="15" customHeight="1" thickBot="1">
      <c r="A11" s="476" t="s">
        <v>5</v>
      </c>
      <c r="B11" s="474"/>
      <c r="C11" s="475"/>
      <c r="D11" s="831"/>
      <c r="E11" s="687" t="s">
        <v>366</v>
      </c>
      <c r="F11" s="688"/>
      <c r="G11" s="233" t="s">
        <v>16</v>
      </c>
      <c r="H11" s="618">
        <v>0.11</v>
      </c>
    </row>
    <row r="12" spans="1:10" ht="15" customHeight="1" thickBot="1">
      <c r="A12" s="49" t="s">
        <v>14</v>
      </c>
      <c r="B12" s="478"/>
      <c r="C12" s="470">
        <f>'Rent Comp'!$L$58</f>
        <v>1181.7777777777778</v>
      </c>
      <c r="D12" s="832">
        <v>1100</v>
      </c>
      <c r="E12" s="39" t="s">
        <v>410</v>
      </c>
      <c r="F12" s="513">
        <v>330</v>
      </c>
      <c r="G12" s="692" t="s">
        <v>19</v>
      </c>
      <c r="H12" s="693"/>
    </row>
    <row r="13" spans="1:10" ht="15" customHeight="1">
      <c r="A13" s="49" t="s">
        <v>15</v>
      </c>
      <c r="B13" s="478"/>
      <c r="C13" s="471">
        <f>'Rent Comp'!$L$72</f>
        <v>2.0655555555555556</v>
      </c>
      <c r="D13" s="828">
        <v>650</v>
      </c>
      <c r="E13" s="39" t="s">
        <v>411</v>
      </c>
      <c r="F13" s="513">
        <v>300</v>
      </c>
      <c r="G13" s="511" t="s">
        <v>20</v>
      </c>
      <c r="H13" s="38"/>
    </row>
    <row r="14" spans="1:10" ht="15" customHeight="1">
      <c r="A14" s="476" t="s">
        <v>6</v>
      </c>
      <c r="B14" s="474"/>
      <c r="C14" s="475"/>
      <c r="D14" s="831"/>
      <c r="E14" s="39" t="s">
        <v>412</v>
      </c>
      <c r="F14" s="513">
        <v>270</v>
      </c>
      <c r="G14" s="233" t="s">
        <v>431</v>
      </c>
      <c r="H14" s="843">
        <v>0.5</v>
      </c>
      <c r="I14" s="184"/>
    </row>
    <row r="15" spans="1:10" ht="15" customHeight="1" thickBot="1">
      <c r="A15" s="49" t="s">
        <v>14</v>
      </c>
      <c r="B15" s="478"/>
      <c r="C15" s="470">
        <f>'Rent Comp'!$L$59</f>
        <v>2056</v>
      </c>
      <c r="D15" s="832">
        <v>1400</v>
      </c>
      <c r="E15" s="39" t="s">
        <v>413</v>
      </c>
      <c r="F15" s="513">
        <v>450</v>
      </c>
      <c r="G15" s="233" t="s">
        <v>432</v>
      </c>
      <c r="H15" s="843">
        <v>0.6</v>
      </c>
    </row>
    <row r="16" spans="1:10" ht="15" customHeight="1" thickBot="1">
      <c r="A16" s="52" t="s">
        <v>15</v>
      </c>
      <c r="B16" s="41"/>
      <c r="C16" s="209">
        <f>'Rent Comp'!$L$73</f>
        <v>2.4820000000000002</v>
      </c>
      <c r="D16" s="833">
        <v>600</v>
      </c>
      <c r="E16" s="514"/>
      <c r="F16" s="834"/>
      <c r="G16" s="822" t="s">
        <v>17</v>
      </c>
      <c r="H16" s="844"/>
    </row>
    <row r="17" spans="1:8" ht="15" customHeight="1" thickBot="1">
      <c r="A17" s="32" t="s">
        <v>330</v>
      </c>
      <c r="B17" s="373"/>
      <c r="C17" s="234"/>
      <c r="D17" s="34"/>
      <c r="E17" s="39" t="s">
        <v>410</v>
      </c>
      <c r="F17" s="513">
        <v>330</v>
      </c>
      <c r="G17" s="825" t="s">
        <v>18</v>
      </c>
      <c r="H17" s="845">
        <v>7.0000000000000007E-2</v>
      </c>
    </row>
    <row r="18" spans="1:8" ht="15" customHeight="1">
      <c r="A18" s="466" t="s">
        <v>3</v>
      </c>
      <c r="B18" s="467"/>
      <c r="C18" s="468" t="s">
        <v>11</v>
      </c>
      <c r="D18" s="769" t="s">
        <v>12</v>
      </c>
      <c r="E18" s="39" t="s">
        <v>411</v>
      </c>
      <c r="F18" s="513">
        <v>300</v>
      </c>
      <c r="G18" s="817"/>
      <c r="H18" s="818"/>
    </row>
    <row r="19" spans="1:8" ht="15" customHeight="1">
      <c r="A19" s="49" t="s">
        <v>14</v>
      </c>
      <c r="B19" s="469"/>
      <c r="C19" s="470">
        <f>'Rent Comp'!$L$56</f>
        <v>504</v>
      </c>
      <c r="D19" s="827">
        <v>700</v>
      </c>
      <c r="E19" s="39" t="s">
        <v>412</v>
      </c>
      <c r="F19" s="513">
        <v>270</v>
      </c>
      <c r="G19" s="819"/>
      <c r="H19" s="818"/>
    </row>
    <row r="20" spans="1:8" ht="15" customHeight="1">
      <c r="A20" s="49" t="s">
        <v>15</v>
      </c>
      <c r="B20" s="469"/>
      <c r="C20" s="471">
        <f>730*1.3/C19</f>
        <v>1.8829365079365079</v>
      </c>
      <c r="D20" s="828">
        <v>800</v>
      </c>
      <c r="E20" s="39" t="s">
        <v>413</v>
      </c>
      <c r="F20" s="513">
        <v>450</v>
      </c>
      <c r="G20" s="820"/>
      <c r="H20" s="821"/>
    </row>
    <row r="21" spans="1:8" ht="15" customHeight="1">
      <c r="A21" s="473" t="s">
        <v>4</v>
      </c>
      <c r="B21" s="474"/>
      <c r="C21" s="475"/>
      <c r="D21" s="829"/>
      <c r="E21" s="514" t="s">
        <v>31</v>
      </c>
      <c r="F21" s="835" t="s">
        <v>32</v>
      </c>
    </row>
    <row r="22" spans="1:8" ht="15" customHeight="1">
      <c r="A22" s="49" t="s">
        <v>14</v>
      </c>
      <c r="B22" s="469"/>
      <c r="C22" s="470">
        <f>'Rent Comp'!$L$57</f>
        <v>768.77777777777783</v>
      </c>
      <c r="D22" s="830">
        <v>900</v>
      </c>
      <c r="E22" s="512" t="s">
        <v>34</v>
      </c>
      <c r="F22" s="616">
        <v>0.1</v>
      </c>
    </row>
    <row r="23" spans="1:8" ht="15" customHeight="1">
      <c r="A23" s="49" t="s">
        <v>15</v>
      </c>
      <c r="B23" s="469"/>
      <c r="C23" s="471">
        <f>830*1.3/C22</f>
        <v>1.4035265211735799</v>
      </c>
      <c r="D23" s="828">
        <v>750</v>
      </c>
      <c r="E23" s="512" t="s">
        <v>36</v>
      </c>
      <c r="F23" s="615">
        <v>0.05</v>
      </c>
    </row>
    <row r="24" spans="1:8" ht="15" customHeight="1">
      <c r="A24" s="476" t="s">
        <v>5</v>
      </c>
      <c r="B24" s="474"/>
      <c r="C24" s="475"/>
      <c r="D24" s="831"/>
      <c r="E24" s="514" t="s">
        <v>38</v>
      </c>
      <c r="F24" s="836" t="s">
        <v>39</v>
      </c>
    </row>
    <row r="25" spans="1:8" ht="13">
      <c r="A25" s="49" t="s">
        <v>14</v>
      </c>
      <c r="B25" s="478"/>
      <c r="C25" s="470">
        <f>'Rent Comp'!$L$58</f>
        <v>1181.7777777777778</v>
      </c>
      <c r="D25" s="832">
        <v>1100</v>
      </c>
      <c r="E25" s="397" t="s">
        <v>41</v>
      </c>
      <c r="F25" s="615">
        <v>0.02</v>
      </c>
    </row>
    <row r="26" spans="1:8" ht="13">
      <c r="A26" s="49" t="s">
        <v>15</v>
      </c>
      <c r="B26" s="478"/>
      <c r="C26" s="471">
        <f>1000*1.3/C25</f>
        <v>1.1000376081233545</v>
      </c>
      <c r="D26" s="828">
        <v>650</v>
      </c>
      <c r="E26" s="397" t="s">
        <v>43</v>
      </c>
      <c r="F26" s="837" t="s">
        <v>42</v>
      </c>
    </row>
    <row r="27" spans="1:8" ht="13">
      <c r="A27" s="476" t="s">
        <v>6</v>
      </c>
      <c r="B27" s="474"/>
      <c r="C27" s="475"/>
      <c r="D27" s="831"/>
      <c r="E27" s="397" t="s">
        <v>45</v>
      </c>
      <c r="F27" s="615">
        <v>0.04</v>
      </c>
    </row>
    <row r="28" spans="1:8" ht="13">
      <c r="A28" s="49" t="s">
        <v>14</v>
      </c>
      <c r="B28" s="478"/>
      <c r="C28" s="470">
        <f>'Rent Comp'!$L$59</f>
        <v>2056</v>
      </c>
      <c r="D28" s="832">
        <v>1400</v>
      </c>
      <c r="E28" s="397" t="s">
        <v>47</v>
      </c>
      <c r="F28" s="617">
        <v>0.03</v>
      </c>
    </row>
    <row r="29" spans="1:8" ht="13.5" thickBot="1">
      <c r="A29" s="52" t="s">
        <v>15</v>
      </c>
      <c r="B29" s="41"/>
      <c r="C29" s="209">
        <f>1300*1.3/C28</f>
        <v>0.82198443579766534</v>
      </c>
      <c r="D29" s="833">
        <v>600</v>
      </c>
      <c r="E29" s="397" t="s">
        <v>48</v>
      </c>
      <c r="F29" s="615">
        <v>0.05</v>
      </c>
    </row>
    <row r="30" spans="1:8" ht="13">
      <c r="A30" s="463" t="s">
        <v>352</v>
      </c>
      <c r="B30" s="464"/>
      <c r="C30" s="465"/>
      <c r="D30" s="773"/>
      <c r="E30" s="39" t="s">
        <v>415</v>
      </c>
      <c r="F30" s="620">
        <v>0.45</v>
      </c>
      <c r="G30" s="373"/>
      <c r="H30" s="234"/>
    </row>
    <row r="31" spans="1:8" ht="13">
      <c r="A31" s="466" t="s">
        <v>3</v>
      </c>
      <c r="B31" s="467"/>
      <c r="C31" s="468" t="s">
        <v>11</v>
      </c>
      <c r="D31" s="769"/>
      <c r="E31" s="397" t="s">
        <v>414</v>
      </c>
      <c r="F31" s="619">
        <v>0.03</v>
      </c>
      <c r="G31" s="374"/>
      <c r="H31" s="375"/>
    </row>
    <row r="32" spans="1:8" ht="13">
      <c r="A32" s="49" t="s">
        <v>14</v>
      </c>
      <c r="B32" s="469"/>
      <c r="C32" s="470">
        <v>454</v>
      </c>
      <c r="D32" s="770"/>
      <c r="E32" s="397" t="s">
        <v>51</v>
      </c>
      <c r="F32" s="550">
        <v>1.4999999999999999E-2</v>
      </c>
      <c r="G32" s="376"/>
      <c r="H32" s="375"/>
    </row>
    <row r="33" spans="1:8" ht="13">
      <c r="A33" s="49" t="s">
        <v>15</v>
      </c>
      <c r="B33" s="469"/>
      <c r="C33" s="471">
        <v>2.58</v>
      </c>
      <c r="D33" s="472"/>
      <c r="E33" s="397" t="s">
        <v>53</v>
      </c>
      <c r="F33" s="837" t="s">
        <v>42</v>
      </c>
      <c r="G33" s="31"/>
      <c r="H33" s="40"/>
    </row>
    <row r="34" spans="1:8" ht="13">
      <c r="A34" s="473" t="s">
        <v>4</v>
      </c>
      <c r="B34" s="474"/>
      <c r="C34" s="475"/>
      <c r="D34" s="771"/>
      <c r="E34" s="397" t="s">
        <v>54</v>
      </c>
      <c r="F34" s="838">
        <v>6</v>
      </c>
      <c r="G34" s="31"/>
      <c r="H34" s="40"/>
    </row>
    <row r="35" spans="1:8" ht="13">
      <c r="A35" s="49" t="s">
        <v>14</v>
      </c>
      <c r="B35" s="469"/>
      <c r="C35" s="470">
        <v>707</v>
      </c>
      <c r="D35" s="772"/>
      <c r="E35" s="397" t="s">
        <v>55</v>
      </c>
      <c r="F35" s="839">
        <v>75</v>
      </c>
      <c r="G35" s="31"/>
      <c r="H35" s="40"/>
    </row>
    <row r="36" spans="1:8" ht="13">
      <c r="A36" s="49" t="s">
        <v>15</v>
      </c>
      <c r="B36" s="469"/>
      <c r="C36" s="471">
        <v>1.89</v>
      </c>
      <c r="D36" s="472"/>
      <c r="E36" s="397" t="s">
        <v>56</v>
      </c>
      <c r="F36" s="840">
        <v>0.06</v>
      </c>
      <c r="G36" s="31"/>
      <c r="H36" s="40"/>
    </row>
    <row r="37" spans="1:8" ht="13">
      <c r="A37" s="476" t="s">
        <v>5</v>
      </c>
      <c r="B37" s="474"/>
      <c r="C37" s="475"/>
      <c r="D37" s="477"/>
      <c r="E37" s="397" t="s">
        <v>57</v>
      </c>
      <c r="F37" s="841">
        <v>1.4999999999999999E-2</v>
      </c>
      <c r="G37" s="31"/>
      <c r="H37" s="40"/>
    </row>
    <row r="38" spans="1:8" ht="13.5" thickBot="1">
      <c r="A38" s="49" t="s">
        <v>14</v>
      </c>
      <c r="B38" s="478"/>
      <c r="C38" s="470">
        <v>999</v>
      </c>
      <c r="D38" s="479"/>
      <c r="E38" s="103" t="s">
        <v>58</v>
      </c>
      <c r="F38" s="842">
        <v>7.0000000000000007E-2</v>
      </c>
      <c r="G38" s="31"/>
      <c r="H38" s="40"/>
    </row>
    <row r="39" spans="1:8" ht="13">
      <c r="A39" s="49" t="s">
        <v>15</v>
      </c>
      <c r="B39" s="478"/>
      <c r="C39" s="471">
        <v>2.35</v>
      </c>
      <c r="D39" s="472"/>
      <c r="G39" s="31"/>
      <c r="H39" s="40"/>
    </row>
    <row r="40" spans="1:8" ht="13">
      <c r="A40" s="476" t="s">
        <v>6</v>
      </c>
      <c r="B40" s="474"/>
      <c r="C40" s="475"/>
      <c r="D40" s="477"/>
      <c r="G40" s="31"/>
      <c r="H40" s="40"/>
    </row>
    <row r="41" spans="1:8" ht="13">
      <c r="A41" s="49" t="s">
        <v>14</v>
      </c>
      <c r="B41" s="478"/>
      <c r="C41" s="470">
        <v>1200</v>
      </c>
      <c r="D41" s="479"/>
      <c r="G41" s="31"/>
      <c r="H41" s="40"/>
    </row>
    <row r="42" spans="1:8" ht="13.5" thickBot="1">
      <c r="A42" s="52" t="s">
        <v>15</v>
      </c>
      <c r="B42" s="41"/>
      <c r="C42" s="209">
        <v>2.17</v>
      </c>
      <c r="D42" s="480"/>
      <c r="G42" s="31"/>
      <c r="H42" s="40"/>
    </row>
    <row r="43" spans="1:8" ht="13.5" thickBot="1">
      <c r="A43" s="684" t="s">
        <v>210</v>
      </c>
      <c r="B43" s="685"/>
      <c r="C43" s="686"/>
      <c r="G43" s="31"/>
      <c r="H43" s="40"/>
    </row>
    <row r="44" spans="1:8" ht="13">
      <c r="A44" s="45" t="s">
        <v>79</v>
      </c>
      <c r="B44" s="46"/>
      <c r="C44" s="195">
        <v>0.75</v>
      </c>
      <c r="G44" s="31"/>
      <c r="H44" s="40"/>
    </row>
    <row r="45" spans="1:8" ht="13">
      <c r="A45" s="39" t="s">
        <v>205</v>
      </c>
      <c r="C45" s="213">
        <v>0.7</v>
      </c>
      <c r="G45" s="31"/>
      <c r="H45" s="40"/>
    </row>
    <row r="46" spans="1:8" ht="13">
      <c r="A46" s="47" t="s">
        <v>0</v>
      </c>
      <c r="B46" s="43"/>
      <c r="C46" s="213">
        <v>0.75</v>
      </c>
      <c r="G46" s="31"/>
      <c r="H46" s="40"/>
    </row>
    <row r="47" spans="1:8" ht="13">
      <c r="A47" s="47" t="s">
        <v>204</v>
      </c>
      <c r="B47" s="43"/>
      <c r="C47" s="214">
        <v>0.6</v>
      </c>
      <c r="D47" s="44"/>
      <c r="G47" s="31"/>
      <c r="H47" s="40"/>
    </row>
    <row r="48" spans="1:8" ht="13">
      <c r="A48" s="47" t="s">
        <v>285</v>
      </c>
      <c r="B48" s="33"/>
      <c r="C48" s="213">
        <v>0.7</v>
      </c>
      <c r="D48" s="44"/>
      <c r="G48" s="31"/>
      <c r="H48" s="40"/>
    </row>
    <row r="49" spans="1:8" ht="12.5" customHeight="1">
      <c r="A49" s="47" t="s">
        <v>263</v>
      </c>
      <c r="B49" s="33"/>
      <c r="C49" s="214">
        <v>0.6</v>
      </c>
      <c r="D49" s="44"/>
      <c r="G49" s="31"/>
      <c r="H49" s="40"/>
    </row>
    <row r="50" spans="1:8" ht="13.5" thickBot="1">
      <c r="A50" s="47" t="s">
        <v>190</v>
      </c>
      <c r="B50" s="33"/>
      <c r="C50" s="214">
        <v>0.6</v>
      </c>
      <c r="D50" s="44"/>
      <c r="G50" s="31"/>
      <c r="H50" s="40"/>
    </row>
    <row r="51" spans="1:8" ht="13.5" thickBot="1">
      <c r="A51" s="684" t="s">
        <v>350</v>
      </c>
      <c r="B51" s="685"/>
      <c r="C51" s="686"/>
      <c r="D51" s="44"/>
      <c r="G51" s="31"/>
      <c r="H51" s="40"/>
    </row>
    <row r="52" spans="1:8" ht="13">
      <c r="A52" s="49" t="s">
        <v>72</v>
      </c>
      <c r="B52" s="33"/>
      <c r="C52" s="222">
        <v>0.3</v>
      </c>
      <c r="D52" s="44"/>
      <c r="G52" s="31"/>
      <c r="H52" s="40"/>
    </row>
    <row r="53" spans="1:8" ht="13">
      <c r="A53" s="49" t="s">
        <v>73</v>
      </c>
      <c r="B53" s="33"/>
      <c r="C53" s="222">
        <v>0.45</v>
      </c>
      <c r="D53" s="44"/>
      <c r="G53" s="31"/>
      <c r="H53" s="40"/>
    </row>
    <row r="54" spans="1:8" ht="13">
      <c r="A54" s="49" t="s">
        <v>74</v>
      </c>
      <c r="B54" s="33"/>
      <c r="C54" s="221">
        <v>0.2</v>
      </c>
      <c r="D54" s="44"/>
      <c r="G54" s="31"/>
      <c r="H54" s="40"/>
    </row>
    <row r="55" spans="1:8" ht="13.5" thickBot="1">
      <c r="A55" s="49" t="s">
        <v>75</v>
      </c>
      <c r="B55" s="33"/>
      <c r="C55" s="222">
        <v>0.05</v>
      </c>
      <c r="D55" s="44"/>
      <c r="G55" s="31"/>
      <c r="H55" s="40"/>
    </row>
    <row r="56" spans="1:8" ht="13.5" thickBot="1">
      <c r="A56" s="684" t="s">
        <v>351</v>
      </c>
      <c r="B56" s="685"/>
      <c r="C56" s="686"/>
      <c r="D56" s="44"/>
      <c r="G56" s="31"/>
      <c r="H56" s="40"/>
    </row>
    <row r="57" spans="1:8" ht="13.5" thickBot="1">
      <c r="A57" s="684" t="s">
        <v>182</v>
      </c>
      <c r="B57" s="685"/>
      <c r="C57" s="686"/>
      <c r="D57" s="44"/>
      <c r="G57" s="31"/>
      <c r="H57" s="40"/>
    </row>
    <row r="58" spans="1:8" ht="13">
      <c r="A58" s="49" t="s">
        <v>74</v>
      </c>
      <c r="B58" s="33"/>
      <c r="C58" s="222">
        <v>0.6</v>
      </c>
      <c r="D58" s="44"/>
      <c r="G58" s="31"/>
      <c r="H58" s="40"/>
    </row>
    <row r="59" spans="1:8" ht="13.5" thickBot="1">
      <c r="A59" s="49" t="s">
        <v>75</v>
      </c>
      <c r="B59" s="33"/>
      <c r="C59" s="222">
        <v>0.4</v>
      </c>
      <c r="D59" s="44"/>
      <c r="G59" s="31"/>
      <c r="H59" s="40"/>
    </row>
    <row r="60" spans="1:8" ht="13.5" thickBot="1">
      <c r="A60" s="689" t="s">
        <v>2</v>
      </c>
      <c r="B60" s="690"/>
      <c r="C60" s="691"/>
      <c r="D60" s="44"/>
      <c r="G60" s="31"/>
      <c r="H60" s="40"/>
    </row>
    <row r="61" spans="1:8" ht="13">
      <c r="A61" s="49" t="s">
        <v>73</v>
      </c>
      <c r="B61" s="508"/>
      <c r="C61" s="222">
        <v>0.5</v>
      </c>
      <c r="D61" s="44"/>
      <c r="G61" s="31"/>
      <c r="H61" s="40"/>
    </row>
    <row r="62" spans="1:8" ht="13.5" thickBot="1">
      <c r="A62" s="49" t="s">
        <v>74</v>
      </c>
      <c r="B62" s="508"/>
      <c r="C62" s="221">
        <v>0.5</v>
      </c>
      <c r="D62" s="44"/>
      <c r="G62" s="31"/>
      <c r="H62" s="40"/>
    </row>
    <row r="63" spans="1:8" ht="13.5" thickBot="1">
      <c r="A63" s="689" t="s">
        <v>258</v>
      </c>
      <c r="B63" s="690"/>
      <c r="C63" s="691"/>
      <c r="D63" s="44"/>
      <c r="G63" s="31"/>
      <c r="H63" s="40"/>
    </row>
    <row r="64" spans="1:8" ht="13">
      <c r="A64" s="49" t="s">
        <v>72</v>
      </c>
      <c r="B64" s="234"/>
      <c r="C64" s="222">
        <v>0.55000000000000004</v>
      </c>
      <c r="D64" s="44"/>
      <c r="G64" s="31"/>
      <c r="H64" s="40"/>
    </row>
    <row r="65" spans="1:8" ht="13">
      <c r="A65" s="49" t="s">
        <v>254</v>
      </c>
      <c r="B65" s="234"/>
      <c r="C65" s="222">
        <v>0.2</v>
      </c>
      <c r="D65" s="44"/>
      <c r="G65" s="31"/>
      <c r="H65" s="40"/>
    </row>
    <row r="66" spans="1:8" ht="13">
      <c r="A66" s="49" t="s">
        <v>255</v>
      </c>
      <c r="B66" s="234"/>
      <c r="C66" s="221">
        <v>0.15</v>
      </c>
      <c r="D66" s="44"/>
      <c r="G66" s="31"/>
      <c r="H66" s="40"/>
    </row>
    <row r="67" spans="1:8" ht="13.5" thickBot="1">
      <c r="A67" s="52" t="s">
        <v>256</v>
      </c>
      <c r="B67" s="238"/>
      <c r="C67" s="239">
        <v>0.1</v>
      </c>
      <c r="D67" s="44"/>
      <c r="G67" s="31"/>
      <c r="H67" s="40"/>
    </row>
    <row r="68" spans="1:8" ht="13">
      <c r="D68" s="44"/>
      <c r="G68" s="31"/>
      <c r="H68" s="40"/>
    </row>
    <row r="69" spans="1:8" ht="13">
      <c r="D69" s="44"/>
      <c r="G69" s="31"/>
      <c r="H69" s="40"/>
    </row>
    <row r="70" spans="1:8" ht="13">
      <c r="D70" s="44"/>
      <c r="G70" s="31"/>
      <c r="H70" s="40"/>
    </row>
    <row r="71" spans="1:8" ht="13.5" thickBot="1">
      <c r="A71" s="42"/>
      <c r="B71" s="33"/>
    </row>
    <row r="72" spans="1:8" ht="13.5" thickBot="1">
      <c r="A72" s="761" t="s">
        <v>22</v>
      </c>
      <c r="B72" s="762"/>
      <c r="C72" s="763"/>
    </row>
    <row r="73" spans="1:8" ht="13">
      <c r="A73" s="45" t="s">
        <v>25</v>
      </c>
      <c r="B73" s="46"/>
      <c r="C73" s="71"/>
    </row>
    <row r="74" spans="1:8" ht="13">
      <c r="A74" s="47" t="s">
        <v>26</v>
      </c>
      <c r="B74" s="43"/>
      <c r="C74" s="72" t="s">
        <v>27</v>
      </c>
    </row>
    <row r="75" spans="1:8" ht="13">
      <c r="A75" s="47" t="s">
        <v>28</v>
      </c>
      <c r="B75" s="43"/>
      <c r="C75" s="72" t="s">
        <v>29</v>
      </c>
    </row>
    <row r="76" spans="1:8" ht="13">
      <c r="A76" s="48" t="s">
        <v>30</v>
      </c>
      <c r="B76" s="33"/>
      <c r="C76" s="73"/>
    </row>
    <row r="77" spans="1:8" ht="13">
      <c r="A77" s="49" t="s">
        <v>33</v>
      </c>
      <c r="B77" s="33"/>
      <c r="C77" s="74">
        <v>400</v>
      </c>
    </row>
    <row r="78" spans="1:8" ht="13">
      <c r="A78" s="48"/>
      <c r="B78" s="33"/>
      <c r="C78" s="75"/>
    </row>
    <row r="79" spans="1:8" ht="13">
      <c r="A79" s="49" t="s">
        <v>35</v>
      </c>
      <c r="B79" s="33"/>
      <c r="C79" s="76">
        <v>40000</v>
      </c>
    </row>
    <row r="80" spans="1:8" ht="13">
      <c r="A80" s="49" t="s">
        <v>37</v>
      </c>
      <c r="B80" s="33"/>
      <c r="C80" s="77">
        <v>10000</v>
      </c>
    </row>
    <row r="81" spans="1:3" ht="13">
      <c r="A81" s="48" t="s">
        <v>40</v>
      </c>
      <c r="B81" s="33"/>
      <c r="C81" s="78"/>
    </row>
    <row r="82" spans="1:3" ht="13">
      <c r="A82" s="49" t="s">
        <v>33</v>
      </c>
      <c r="B82" s="33"/>
      <c r="C82" s="193">
        <v>162</v>
      </c>
    </row>
    <row r="83" spans="1:3" ht="13">
      <c r="A83" s="49" t="s">
        <v>44</v>
      </c>
      <c r="B83" s="33"/>
      <c r="C83" s="77">
        <v>12500</v>
      </c>
    </row>
    <row r="84" spans="1:3" ht="13">
      <c r="A84" s="49" t="s">
        <v>46</v>
      </c>
      <c r="B84" s="33"/>
      <c r="C84" s="78"/>
    </row>
    <row r="85" spans="1:3" ht="13">
      <c r="A85" s="39" t="s">
        <v>273</v>
      </c>
      <c r="B85" s="33"/>
      <c r="C85" s="79">
        <v>250</v>
      </c>
    </row>
    <row r="86" spans="1:3" ht="13">
      <c r="A86" s="39" t="s">
        <v>274</v>
      </c>
      <c r="B86" s="33"/>
      <c r="C86" s="79">
        <v>200</v>
      </c>
    </row>
    <row r="87" spans="1:3" ht="13">
      <c r="A87" s="50" t="s">
        <v>49</v>
      </c>
      <c r="B87" s="51"/>
      <c r="C87" s="79">
        <v>350</v>
      </c>
    </row>
    <row r="88" spans="1:3" ht="13">
      <c r="A88" s="49" t="s">
        <v>50</v>
      </c>
      <c r="B88" s="43"/>
      <c r="C88" s="76">
        <v>0</v>
      </c>
    </row>
    <row r="89" spans="1:3" ht="13.5" thickBot="1">
      <c r="A89" s="52" t="s">
        <v>52</v>
      </c>
      <c r="B89" s="53"/>
      <c r="C89" s="80">
        <v>0</v>
      </c>
    </row>
  </sheetData>
  <mergeCells count="1">
    <mergeCell ref="A72:C72"/>
  </mergeCells>
  <pageMargins left="0.7" right="0.7" top="0.75" bottom="0.75" header="0.3" footer="0.3"/>
  <pageSetup scale="78" pageOrder="overThenDown" orientation="landscape" r:id="rId1"/>
  <colBreaks count="2" manualBreakCount="2">
    <brk id="4" max="81" man="1"/>
    <brk id="8" max="104857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C00000"/>
    <pageSetUpPr fitToPage="1"/>
  </sheetPr>
  <dimension ref="A1:AU90"/>
  <sheetViews>
    <sheetView showGridLines="0" topLeftCell="A10" zoomScale="55" zoomScaleNormal="55" zoomScaleSheetLayoutView="90" workbookViewId="0">
      <selection activeCell="F84" sqref="F84"/>
    </sheetView>
  </sheetViews>
  <sheetFormatPr defaultColWidth="8.81640625" defaultRowHeight="23.25" customHeight="1"/>
  <cols>
    <col min="1" max="2" width="30.6328125" style="1" customWidth="1"/>
    <col min="3" max="6" width="35.6328125" style="1" customWidth="1"/>
    <col min="7" max="7" width="44.90625" style="1" bestFit="1" customWidth="1"/>
    <col min="8" max="47" width="35.6328125" style="1" customWidth="1"/>
    <col min="48" max="16384" width="8.81640625" style="1"/>
  </cols>
  <sheetData>
    <row r="1" spans="1:24" ht="23.25" customHeight="1">
      <c r="A1" s="722" t="s">
        <v>163</v>
      </c>
      <c r="B1" s="723"/>
      <c r="C1" s="723"/>
      <c r="D1" s="723"/>
      <c r="E1" s="723"/>
      <c r="F1" s="723"/>
      <c r="G1" s="724"/>
    </row>
    <row r="2" spans="1:24" ht="40" customHeight="1" thickBot="1">
      <c r="A2" s="432" t="s">
        <v>152</v>
      </c>
      <c r="B2" s="727" t="s">
        <v>153</v>
      </c>
      <c r="C2" s="728"/>
      <c r="D2" s="433" t="s">
        <v>154</v>
      </c>
      <c r="E2" s="433" t="s">
        <v>342</v>
      </c>
      <c r="F2" s="433" t="s">
        <v>209</v>
      </c>
      <c r="G2" s="434" t="s">
        <v>326</v>
      </c>
    </row>
    <row r="3" spans="1:24" ht="50" customHeight="1" thickTop="1">
      <c r="A3" s="427" t="s">
        <v>155</v>
      </c>
      <c r="B3" s="725" t="s">
        <v>156</v>
      </c>
      <c r="C3" s="725"/>
      <c r="D3" s="428" t="s">
        <v>157</v>
      </c>
      <c r="E3" s="429">
        <v>61.9</v>
      </c>
      <c r="F3" s="430">
        <f>E3*43560</f>
        <v>2696364</v>
      </c>
      <c r="G3" s="431" t="s">
        <v>325</v>
      </c>
    </row>
    <row r="4" spans="1:24" ht="50" customHeight="1">
      <c r="A4" s="417" t="s">
        <v>158</v>
      </c>
      <c r="B4" s="726" t="s">
        <v>159</v>
      </c>
      <c r="C4" s="726"/>
      <c r="D4" s="418" t="s">
        <v>160</v>
      </c>
      <c r="E4" s="425">
        <v>2.67</v>
      </c>
      <c r="F4" s="426">
        <f>E4*43560</f>
        <v>116305.2</v>
      </c>
      <c r="G4" s="419" t="s">
        <v>324</v>
      </c>
      <c r="I4" s="782"/>
      <c r="J4" s="782"/>
    </row>
    <row r="5" spans="1:24" ht="50" customHeight="1">
      <c r="A5" s="417" t="s">
        <v>161</v>
      </c>
      <c r="B5" s="726" t="s">
        <v>159</v>
      </c>
      <c r="C5" s="726"/>
      <c r="D5" s="418" t="s">
        <v>162</v>
      </c>
      <c r="E5" s="425">
        <v>1.58</v>
      </c>
      <c r="F5" s="426">
        <f>E5*43560</f>
        <v>68824.800000000003</v>
      </c>
      <c r="G5" s="419" t="s">
        <v>324</v>
      </c>
      <c r="I5" s="783"/>
    </row>
    <row r="6" spans="1:24" ht="40" customHeight="1" thickBot="1">
      <c r="A6" s="420"/>
      <c r="B6" s="729"/>
      <c r="C6" s="730"/>
      <c r="D6" s="421" t="s">
        <v>102</v>
      </c>
      <c r="E6" s="422">
        <f>SUM(E3:E5)</f>
        <v>66.149999999999991</v>
      </c>
      <c r="F6" s="423">
        <f>SUM(F3:F5)</f>
        <v>2881494</v>
      </c>
      <c r="G6" s="424"/>
    </row>
    <row r="7" spans="1:24" ht="23.25" customHeight="1" thickBot="1">
      <c r="P7" s="405"/>
      <c r="Q7" s="405"/>
      <c r="R7" s="405"/>
      <c r="S7" s="405"/>
      <c r="T7" s="405"/>
      <c r="U7" s="405"/>
    </row>
    <row r="8" spans="1:24" ht="23.25" customHeight="1">
      <c r="A8" s="448" t="s">
        <v>59</v>
      </c>
      <c r="B8" s="449"/>
      <c r="C8" s="449"/>
      <c r="D8" s="449"/>
      <c r="E8" s="449"/>
      <c r="F8" s="449"/>
      <c r="G8" s="450"/>
      <c r="H8" s="560"/>
      <c r="I8" s="560"/>
      <c r="J8" s="560"/>
      <c r="K8" s="560"/>
      <c r="L8" s="560"/>
      <c r="M8" s="560"/>
      <c r="N8" s="560"/>
      <c r="O8" s="560"/>
      <c r="P8" s="560"/>
      <c r="Q8" s="438"/>
      <c r="R8" s="846"/>
      <c r="S8" s="439"/>
      <c r="T8" s="439"/>
      <c r="U8" s="69"/>
    </row>
    <row r="9" spans="1:24" ht="23.25" customHeight="1" thickBot="1">
      <c r="A9" s="451"/>
      <c r="B9" s="452"/>
      <c r="C9" s="452"/>
      <c r="D9" s="452"/>
      <c r="E9" s="452"/>
      <c r="F9" s="452"/>
      <c r="G9" s="453"/>
      <c r="H9" s="560"/>
      <c r="I9" s="560"/>
      <c r="J9" s="560"/>
      <c r="K9" s="560"/>
      <c r="L9" s="560"/>
      <c r="M9" s="560"/>
      <c r="N9" s="560"/>
      <c r="O9" s="560"/>
      <c r="P9" s="560"/>
      <c r="Q9" s="438"/>
      <c r="R9" s="846"/>
      <c r="X9" s="27"/>
    </row>
    <row r="10" spans="1:24" ht="61.4" customHeight="1">
      <c r="A10" s="435" t="e">
        <f>#REF!</f>
        <v>#REF!</v>
      </c>
      <c r="B10" s="436" t="e">
        <f>#REF!</f>
        <v>#REF!</v>
      </c>
      <c r="C10" s="436" t="s">
        <v>206</v>
      </c>
      <c r="D10" s="436" t="s">
        <v>208</v>
      </c>
      <c r="E10" s="437" t="s">
        <v>66</v>
      </c>
      <c r="F10" s="437" t="s">
        <v>430</v>
      </c>
      <c r="G10" s="811" t="s">
        <v>429</v>
      </c>
      <c r="H10" s="800"/>
      <c r="I10" s="800"/>
      <c r="J10" s="561"/>
      <c r="K10" s="800"/>
      <c r="L10" s="561"/>
      <c r="M10" s="561"/>
      <c r="N10" s="561"/>
      <c r="O10" s="800"/>
      <c r="P10" s="561"/>
      <c r="Q10" s="413"/>
      <c r="R10" s="413"/>
    </row>
    <row r="11" spans="1:24" s="242" customFormat="1" ht="25" customHeight="1">
      <c r="A11" s="720" t="s">
        <v>194</v>
      </c>
      <c r="B11" s="721" t="s">
        <v>189</v>
      </c>
      <c r="C11" s="682" t="str">
        <f>'Building Configuration'!C3</f>
        <v>Retail Buildings</v>
      </c>
      <c r="D11" s="682">
        <f>'Building Configuration'!M3</f>
        <v>116638.8</v>
      </c>
      <c r="E11" s="750">
        <v>0.3</v>
      </c>
      <c r="F11" s="785">
        <f>'A Financial'!B47+'A Financial'!B56+'A Financial'!H47+'A Financial'!H56+'A Financial'!N47+'A Financial'!N56+'A Financial'!T47+'A Financial'!T56</f>
        <v>134</v>
      </c>
      <c r="G11" s="812">
        <f>'A Financial'!B63+'A Financial'!B72+'A Financial'!H63+'A Financial'!H72+'A Financial'!N63+'A Financial'!N72+'A Financial'!T63+'A Financial'!T72</f>
        <v>0</v>
      </c>
      <c r="H11" s="790"/>
      <c r="I11" s="791"/>
      <c r="J11" s="792"/>
      <c r="K11" s="793"/>
      <c r="L11" s="801"/>
      <c r="M11" s="802"/>
      <c r="N11" s="794"/>
      <c r="O11" s="794"/>
      <c r="P11" s="803"/>
      <c r="Q11" s="455"/>
      <c r="R11" s="455"/>
    </row>
    <row r="12" spans="1:24" s="242" customFormat="1" ht="25" customHeight="1">
      <c r="A12" s="720"/>
      <c r="B12" s="721"/>
      <c r="C12" s="682" t="str">
        <f>'Building Configuration'!C4</f>
        <v>Multifamily+Retail 1</v>
      </c>
      <c r="D12" s="682">
        <f>'Building Configuration'!M4</f>
        <v>153188.79999999999</v>
      </c>
      <c r="E12" s="750"/>
      <c r="F12" s="785"/>
      <c r="G12" s="812"/>
      <c r="H12" s="790"/>
      <c r="I12" s="791"/>
      <c r="J12" s="792"/>
      <c r="K12" s="793"/>
      <c r="L12" s="804"/>
      <c r="M12" s="805"/>
      <c r="N12" s="794"/>
      <c r="O12" s="794"/>
      <c r="P12" s="794"/>
      <c r="Q12" s="849"/>
      <c r="R12" s="455"/>
    </row>
    <row r="13" spans="1:24" s="242" customFormat="1" ht="25" customHeight="1">
      <c r="A13" s="720"/>
      <c r="B13" s="721"/>
      <c r="C13" s="682" t="str">
        <f>'Building Configuration'!C5</f>
        <v>Multifamily+Retail 2</v>
      </c>
      <c r="D13" s="682">
        <f>'Building Configuration'!M5</f>
        <v>99006.3</v>
      </c>
      <c r="E13" s="750"/>
      <c r="F13" s="785"/>
      <c r="G13" s="812"/>
      <c r="H13" s="791"/>
      <c r="I13" s="791"/>
      <c r="J13" s="795"/>
      <c r="K13" s="793"/>
      <c r="L13" s="804"/>
      <c r="M13" s="805"/>
      <c r="N13" s="796"/>
      <c r="O13" s="796"/>
      <c r="P13" s="796"/>
      <c r="Q13" s="455"/>
      <c r="R13" s="455"/>
    </row>
    <row r="14" spans="1:24" s="242" customFormat="1" ht="25" customHeight="1">
      <c r="A14" s="681" t="s">
        <v>195</v>
      </c>
      <c r="B14" s="682" t="s">
        <v>323</v>
      </c>
      <c r="C14" s="682" t="str">
        <f>'Building Configuration'!C8</f>
        <v>Multifamily+Retail 3</v>
      </c>
      <c r="D14" s="682">
        <f>'Building Configuration'!M8</f>
        <v>720441.4</v>
      </c>
      <c r="E14" s="680">
        <v>0.25</v>
      </c>
      <c r="F14" s="785">
        <f>'B Financial'!B47+'B Financial'!B56+'B Financial'!H47+'B Financial'!H56+'B Financial'!N47+'B Financial'!N56+'B Financial'!T47+'B Financial'!T56</f>
        <v>433</v>
      </c>
      <c r="G14" s="812">
        <f>'B Financial'!B63+'B Financial'!B72+'B Financial'!H63+'B Financial'!H72+'B Financial'!N63+'B Financial'!N72+'B Financial'!T63+'B Financial'!T72</f>
        <v>185</v>
      </c>
      <c r="H14" s="791"/>
      <c r="I14" s="791"/>
      <c r="J14" s="795"/>
      <c r="K14" s="793"/>
      <c r="L14" s="801"/>
      <c r="M14" s="805"/>
      <c r="N14" s="796"/>
      <c r="O14" s="796"/>
      <c r="P14" s="796"/>
      <c r="Q14" s="455"/>
      <c r="R14" s="455"/>
    </row>
    <row r="15" spans="1:24" s="242" customFormat="1" ht="25" customHeight="1">
      <c r="A15" s="681" t="s">
        <v>196</v>
      </c>
      <c r="B15" s="682" t="s">
        <v>190</v>
      </c>
      <c r="C15" s="682" t="str">
        <f>'Building Configuration'!C11</f>
        <v>Civic+Retail</v>
      </c>
      <c r="D15" s="682">
        <f>'Building Configuration'!M11</f>
        <v>630836.30000000005</v>
      </c>
      <c r="E15" s="680">
        <v>0.3</v>
      </c>
      <c r="F15" s="785"/>
      <c r="G15" s="812"/>
      <c r="H15" s="797"/>
      <c r="I15" s="797"/>
      <c r="J15" s="794"/>
      <c r="K15" s="793"/>
      <c r="L15" s="801"/>
      <c r="M15" s="805"/>
      <c r="N15" s="794"/>
      <c r="O15" s="794"/>
      <c r="P15" s="794"/>
      <c r="Q15" s="455"/>
      <c r="R15" s="455"/>
    </row>
    <row r="16" spans="1:24" s="242" customFormat="1" ht="25" customHeight="1">
      <c r="A16" s="720" t="s">
        <v>197</v>
      </c>
      <c r="B16" s="721" t="s">
        <v>385</v>
      </c>
      <c r="C16" s="682" t="str">
        <f>'Building Configuration'!C14</f>
        <v>Multifamily 1</v>
      </c>
      <c r="D16" s="682">
        <f>'Building Configuration'!M14</f>
        <v>278773.7</v>
      </c>
      <c r="E16" s="750">
        <v>0.25</v>
      </c>
      <c r="F16" s="785">
        <f>'D Financial'!B47+'D Financial'!B56+'D Financial'!H47+'D Financial'!H56+'D Financial'!N47+'D Financial'!N56+'D Financial'!T47+'D Financial'!T56</f>
        <v>169</v>
      </c>
      <c r="G16" s="812">
        <f>'D Financial'!B63+'D Financial'!B72+'D Financial'!H63+'D Financial'!H72+'D Financial'!N63+'D Financial'!N72+'D Financial'!T63+'D Financial'!T72</f>
        <v>29</v>
      </c>
      <c r="H16" s="806"/>
      <c r="I16" s="797"/>
      <c r="J16" s="794"/>
      <c r="K16" s="793"/>
      <c r="L16" s="801"/>
      <c r="M16" s="805"/>
      <c r="N16" s="794"/>
      <c r="O16" s="794"/>
      <c r="P16" s="794"/>
      <c r="Q16" s="455"/>
      <c r="R16" s="455"/>
    </row>
    <row r="17" spans="1:18" s="242" customFormat="1" ht="25" customHeight="1">
      <c r="A17" s="720"/>
      <c r="B17" s="721"/>
      <c r="C17" s="682" t="str">
        <f>'Building Configuration'!C15</f>
        <v>Multifamily 2</v>
      </c>
      <c r="D17" s="682">
        <f>'Building Configuration'!M15</f>
        <v>257407.7</v>
      </c>
      <c r="E17" s="750"/>
      <c r="F17" s="785"/>
      <c r="G17" s="812"/>
      <c r="H17" s="806"/>
      <c r="I17" s="797"/>
      <c r="J17" s="798"/>
      <c r="K17" s="793"/>
      <c r="L17" s="801"/>
      <c r="M17" s="805"/>
      <c r="N17" s="796"/>
      <c r="O17" s="796"/>
      <c r="P17" s="796"/>
      <c r="Q17" s="455"/>
      <c r="R17" s="455"/>
    </row>
    <row r="18" spans="1:18" s="242" customFormat="1" ht="25" customHeight="1">
      <c r="A18" s="720" t="s">
        <v>199</v>
      </c>
      <c r="B18" s="721" t="s">
        <v>188</v>
      </c>
      <c r="C18" s="682" t="str">
        <f>'Building Configuration'!C18</f>
        <v>University 1</v>
      </c>
      <c r="D18" s="682">
        <f>'Building Configuration'!M18</f>
        <v>148526.1</v>
      </c>
      <c r="E18" s="750">
        <v>0.4</v>
      </c>
      <c r="F18" s="786"/>
      <c r="G18" s="813"/>
      <c r="H18" s="797"/>
      <c r="I18" s="797"/>
      <c r="J18" s="798"/>
      <c r="K18" s="793"/>
      <c r="L18" s="801"/>
      <c r="M18" s="805"/>
      <c r="N18" s="796"/>
      <c r="O18" s="796"/>
      <c r="P18" s="850"/>
      <c r="Q18" s="455"/>
      <c r="R18" s="455"/>
    </row>
    <row r="19" spans="1:18" s="242" customFormat="1" ht="25" customHeight="1">
      <c r="A19" s="720"/>
      <c r="B19" s="721"/>
      <c r="C19" s="682" t="str">
        <f>'Building Configuration'!C19</f>
        <v>University 2</v>
      </c>
      <c r="D19" s="682">
        <f>'Building Configuration'!M19</f>
        <v>327104.19999999995</v>
      </c>
      <c r="E19" s="750"/>
      <c r="F19" s="787"/>
      <c r="G19" s="814"/>
      <c r="H19" s="797"/>
      <c r="I19" s="797"/>
      <c r="J19" s="798"/>
      <c r="K19" s="793"/>
      <c r="L19" s="804"/>
      <c r="M19" s="805"/>
      <c r="N19" s="796"/>
      <c r="O19" s="796"/>
      <c r="P19" s="796"/>
      <c r="Q19" s="455"/>
      <c r="R19" s="455"/>
    </row>
    <row r="20" spans="1:18" s="242" customFormat="1" ht="25" customHeight="1">
      <c r="A20" s="720"/>
      <c r="B20" s="721"/>
      <c r="C20" s="682" t="str">
        <f>'Building Configuration'!C20</f>
        <v>Laboratory 5</v>
      </c>
      <c r="D20" s="682">
        <f>'Building Configuration'!M20</f>
        <v>800233.5</v>
      </c>
      <c r="E20" s="750"/>
      <c r="F20" s="788"/>
      <c r="G20" s="815"/>
      <c r="H20" s="797"/>
      <c r="I20" s="797"/>
      <c r="J20" s="798"/>
      <c r="K20" s="793"/>
      <c r="L20" s="804"/>
      <c r="M20" s="805"/>
      <c r="N20" s="796"/>
      <c r="O20" s="796"/>
      <c r="P20" s="796"/>
      <c r="Q20" s="455"/>
      <c r="R20" s="455"/>
    </row>
    <row r="21" spans="1:18" s="242" customFormat="1" ht="25" customHeight="1">
      <c r="A21" s="733" t="s">
        <v>200</v>
      </c>
      <c r="B21" s="731" t="s">
        <v>387</v>
      </c>
      <c r="C21" s="682" t="str">
        <f>'Building Configuration'!C23</f>
        <v>Multifamily 3</v>
      </c>
      <c r="D21" s="682">
        <f>'Building Configuration'!M23</f>
        <v>331467</v>
      </c>
      <c r="E21" s="751">
        <v>0.3</v>
      </c>
      <c r="F21" s="785">
        <f>'F Financial'!B47+'F Financial'!B56+'F Financial'!H47+'F Financial'!H56+'F Financial'!N47+'F Financial'!N56+'F Financial'!T47+'F Financial'!T56</f>
        <v>334</v>
      </c>
      <c r="G21" s="812">
        <f>'F Financial'!B63+'F Financial'!B72+'F Financial'!H63+'F Financial'!H72+'F Financial'!N63+'F Financial'!N72+'F Financial'!T63+'F Financial'!T72</f>
        <v>143</v>
      </c>
      <c r="H21" s="797"/>
      <c r="I21" s="797"/>
      <c r="J21" s="798"/>
      <c r="K21" s="793"/>
      <c r="L21" s="801"/>
      <c r="M21" s="805"/>
      <c r="N21" s="796"/>
      <c r="O21" s="796"/>
      <c r="P21" s="796"/>
      <c r="Q21" s="455"/>
      <c r="R21" s="455"/>
    </row>
    <row r="22" spans="1:18" s="242" customFormat="1" ht="25" customHeight="1">
      <c r="A22" s="734"/>
      <c r="B22" s="732"/>
      <c r="C22" s="682" t="str">
        <f>'Building Configuration'!C24</f>
        <v>Multifamily 4</v>
      </c>
      <c r="D22" s="682">
        <f>'Building Configuration'!M24</f>
        <v>287959</v>
      </c>
      <c r="E22" s="752"/>
      <c r="F22" s="785"/>
      <c r="G22" s="812"/>
      <c r="H22" s="797"/>
      <c r="I22" s="797"/>
      <c r="J22" s="798"/>
      <c r="K22" s="793"/>
      <c r="L22" s="801"/>
      <c r="M22" s="805"/>
      <c r="N22" s="796"/>
      <c r="O22" s="796"/>
      <c r="P22" s="796"/>
      <c r="Q22" s="455"/>
      <c r="R22" s="455"/>
    </row>
    <row r="23" spans="1:18" s="242" customFormat="1" ht="25" customHeight="1">
      <c r="A23" s="720" t="s">
        <v>201</v>
      </c>
      <c r="B23" s="721" t="s">
        <v>388</v>
      </c>
      <c r="C23" s="682" t="str">
        <f>'Building Configuration'!C27</f>
        <v>Multifamily 6</v>
      </c>
      <c r="D23" s="682">
        <f>'Building Configuration'!M27</f>
        <v>180158.1</v>
      </c>
      <c r="E23" s="750">
        <v>0.3</v>
      </c>
      <c r="F23" s="785">
        <f>'G Financial'!B47+'G Financial'!B56+'G Financial'!H47+'G Financial'!H56+'G Financial'!N47+'G Financial'!N56+'G Financial'!T47+'G Financial'!T56</f>
        <v>374</v>
      </c>
      <c r="G23" s="812">
        <f>'G Financial'!B63+'G Financial'!B72+'G Financial'!H63+'G Financial'!H72+'G Financial'!N63+'G Financial'!N72+'G Financial'!T63+'G Financial'!T72</f>
        <v>160</v>
      </c>
      <c r="H23" s="797"/>
      <c r="I23" s="797"/>
      <c r="J23" s="798"/>
      <c r="K23" s="793"/>
      <c r="L23" s="801"/>
      <c r="M23" s="805"/>
      <c r="N23" s="796"/>
      <c r="O23" s="796"/>
      <c r="P23" s="796"/>
      <c r="Q23" s="455"/>
      <c r="R23" s="455"/>
    </row>
    <row r="24" spans="1:18" s="242" customFormat="1" ht="25" customHeight="1">
      <c r="A24" s="720"/>
      <c r="B24" s="721"/>
      <c r="C24" s="682" t="str">
        <f>'Building Configuration'!C28</f>
        <v>Multifamily 7</v>
      </c>
      <c r="D24" s="682">
        <f>'Building Configuration'!M28</f>
        <v>108759.8</v>
      </c>
      <c r="E24" s="750"/>
      <c r="F24" s="785"/>
      <c r="G24" s="812"/>
      <c r="H24" s="797"/>
      <c r="I24" s="797"/>
      <c r="J24" s="798"/>
      <c r="K24" s="793"/>
      <c r="L24" s="804"/>
      <c r="M24" s="805"/>
      <c r="N24" s="796"/>
      <c r="O24" s="796"/>
      <c r="P24" s="796"/>
      <c r="Q24" s="455"/>
      <c r="R24" s="455"/>
    </row>
    <row r="25" spans="1:18" s="242" customFormat="1" ht="25" customHeight="1">
      <c r="A25" s="720"/>
      <c r="B25" s="721"/>
      <c r="C25" s="682" t="str">
        <f>'Building Configuration'!C29</f>
        <v>Multifamily 8</v>
      </c>
      <c r="D25" s="682">
        <f>'Building Configuration'!M29</f>
        <v>394970.1</v>
      </c>
      <c r="E25" s="750"/>
      <c r="F25" s="785"/>
      <c r="G25" s="812"/>
      <c r="H25" s="797"/>
      <c r="I25" s="797"/>
      <c r="J25" s="798"/>
      <c r="K25" s="793"/>
      <c r="L25" s="804"/>
      <c r="M25" s="805"/>
      <c r="N25" s="796"/>
      <c r="O25" s="796"/>
      <c r="P25" s="796"/>
      <c r="Q25" s="455"/>
      <c r="R25" s="455"/>
    </row>
    <row r="26" spans="1:18" s="242" customFormat="1" ht="25" customHeight="1">
      <c r="A26" s="720" t="s">
        <v>198</v>
      </c>
      <c r="B26" s="721" t="s">
        <v>204</v>
      </c>
      <c r="C26" s="682" t="str">
        <f>'Building Configuration'!C32</f>
        <v>Laboratory 1</v>
      </c>
      <c r="D26" s="682">
        <f>'Building Configuration'!M32</f>
        <v>226826.2</v>
      </c>
      <c r="E26" s="750">
        <v>0.4</v>
      </c>
      <c r="F26" s="786"/>
      <c r="G26" s="813"/>
      <c r="H26" s="797"/>
      <c r="I26" s="797"/>
      <c r="J26" s="798"/>
      <c r="K26" s="793"/>
      <c r="L26" s="801"/>
      <c r="M26" s="805"/>
      <c r="N26" s="796"/>
      <c r="O26" s="796"/>
      <c r="P26" s="796"/>
      <c r="Q26" s="455"/>
      <c r="R26" s="455"/>
    </row>
    <row r="27" spans="1:18" s="242" customFormat="1" ht="25" customHeight="1">
      <c r="A27" s="720"/>
      <c r="B27" s="721"/>
      <c r="C27" s="682" t="str">
        <f>'Building Configuration'!C33</f>
        <v>Laboratory 2</v>
      </c>
      <c r="D27" s="682">
        <f>'Building Configuration'!M33</f>
        <v>216281.40000000002</v>
      </c>
      <c r="E27" s="750"/>
      <c r="F27" s="787"/>
      <c r="G27" s="814"/>
      <c r="H27" s="797"/>
      <c r="I27" s="797"/>
      <c r="J27" s="798"/>
      <c r="K27" s="793"/>
      <c r="L27" s="801"/>
      <c r="M27" s="805"/>
      <c r="N27" s="796"/>
      <c r="O27" s="796"/>
      <c r="P27" s="796"/>
      <c r="Q27" s="455"/>
      <c r="R27" s="455"/>
    </row>
    <row r="28" spans="1:18" s="242" customFormat="1" ht="25" customHeight="1">
      <c r="A28" s="720"/>
      <c r="B28" s="721"/>
      <c r="C28" s="682" t="str">
        <f>'Building Configuration'!C34</f>
        <v>Laboratory 3</v>
      </c>
      <c r="D28" s="682">
        <f>'Building Configuration'!M34</f>
        <v>143384.29999999999</v>
      </c>
      <c r="E28" s="750"/>
      <c r="F28" s="787"/>
      <c r="G28" s="814"/>
      <c r="H28" s="797"/>
      <c r="I28" s="797"/>
      <c r="J28" s="798"/>
      <c r="K28" s="793"/>
      <c r="L28" s="804"/>
      <c r="M28" s="805"/>
      <c r="N28" s="796"/>
      <c r="O28" s="796"/>
      <c r="P28" s="796"/>
      <c r="Q28" s="455"/>
      <c r="R28" s="455"/>
    </row>
    <row r="29" spans="1:18" s="242" customFormat="1" ht="25" customHeight="1">
      <c r="A29" s="733"/>
      <c r="B29" s="731"/>
      <c r="C29" s="682" t="str">
        <f>'Building Configuration'!C35</f>
        <v>Laboratory 4</v>
      </c>
      <c r="D29" s="682">
        <f>'Building Configuration'!M35</f>
        <v>198699.69999999998</v>
      </c>
      <c r="E29" s="751"/>
      <c r="F29" s="788"/>
      <c r="G29" s="815"/>
      <c r="H29" s="797"/>
      <c r="I29" s="797"/>
      <c r="J29" s="798"/>
      <c r="K29" s="793"/>
      <c r="L29" s="804"/>
      <c r="M29" s="805"/>
      <c r="N29" s="796"/>
      <c r="O29" s="796"/>
      <c r="P29" s="796"/>
      <c r="Q29" s="455"/>
      <c r="R29" s="455"/>
    </row>
    <row r="30" spans="1:18" s="242" customFormat="1" ht="25" customHeight="1">
      <c r="A30" s="733" t="s">
        <v>266</v>
      </c>
      <c r="B30" s="731" t="s">
        <v>205</v>
      </c>
      <c r="C30" s="682" t="str">
        <f>'Building Configuration'!C39</f>
        <v>Student Housing 1</v>
      </c>
      <c r="D30" s="682">
        <f>'Building Configuration'!M39</f>
        <v>41710.1</v>
      </c>
      <c r="E30" s="751">
        <v>0.25</v>
      </c>
      <c r="F30" s="785">
        <f>'I Financial'!B47+'I Financial'!B56+'I Financial'!H47+'I Financial'!H56+'I Financial'!N47+'I Financial'!N56+'I Financial'!T47+'I Financial'!T56</f>
        <v>117</v>
      </c>
      <c r="G30" s="812">
        <f>'I Financial'!B63+'I Financial'!B72+'I Financial'!H63+'I Financial'!H72+'I Financial'!N63+'I Financial'!N72+'I Financial'!T63+'I Financial'!T72</f>
        <v>0</v>
      </c>
      <c r="H30" s="797"/>
      <c r="I30" s="797"/>
      <c r="J30" s="798"/>
      <c r="K30" s="793"/>
      <c r="L30" s="801"/>
      <c r="M30" s="805"/>
      <c r="N30" s="796"/>
      <c r="O30" s="796"/>
      <c r="P30" s="796"/>
      <c r="Q30" s="455"/>
      <c r="R30" s="455"/>
    </row>
    <row r="31" spans="1:18" s="242" customFormat="1" ht="25" customHeight="1">
      <c r="A31" s="753"/>
      <c r="B31" s="754"/>
      <c r="C31" s="682" t="str">
        <f>'Building Configuration'!C40</f>
        <v>Student Housing 2</v>
      </c>
      <c r="D31" s="682">
        <f>'Building Configuration'!M40</f>
        <v>84767.6</v>
      </c>
      <c r="E31" s="755"/>
      <c r="F31" s="785"/>
      <c r="G31" s="812"/>
      <c r="H31" s="797"/>
      <c r="I31" s="797"/>
      <c r="J31" s="798"/>
      <c r="K31" s="793"/>
      <c r="L31" s="793"/>
      <c r="M31" s="805"/>
      <c r="N31" s="796"/>
      <c r="O31" s="796"/>
      <c r="P31" s="796"/>
      <c r="Q31" s="455"/>
      <c r="R31" s="455"/>
    </row>
    <row r="32" spans="1:18" s="242" customFormat="1" ht="25" customHeight="1">
      <c r="A32" s="753"/>
      <c r="B32" s="754"/>
      <c r="C32" s="682" t="str">
        <f>'Building Configuration'!C41</f>
        <v>Student Housing 3</v>
      </c>
      <c r="D32" s="682">
        <f>'Building Configuration'!M41</f>
        <v>86268.7</v>
      </c>
      <c r="E32" s="755"/>
      <c r="F32" s="785"/>
      <c r="G32" s="812"/>
      <c r="H32" s="797"/>
      <c r="I32" s="799"/>
      <c r="J32" s="798"/>
      <c r="K32" s="793"/>
      <c r="L32" s="804"/>
      <c r="M32" s="805"/>
      <c r="N32" s="796"/>
      <c r="O32" s="796"/>
      <c r="P32" s="796"/>
      <c r="Q32" s="455"/>
      <c r="R32" s="455"/>
    </row>
    <row r="33" spans="1:18" s="242" customFormat="1" ht="25" customHeight="1">
      <c r="A33" s="753"/>
      <c r="B33" s="754"/>
      <c r="C33" s="682" t="str">
        <f>'Building Configuration'!C42</f>
        <v>Multifamily 5</v>
      </c>
      <c r="D33" s="682">
        <f>'Building Configuration'!M42</f>
        <v>183024</v>
      </c>
      <c r="E33" s="755"/>
      <c r="F33" s="785"/>
      <c r="G33" s="812"/>
      <c r="H33" s="797"/>
      <c r="I33" s="797"/>
      <c r="J33" s="798"/>
      <c r="K33" s="793"/>
      <c r="L33" s="804"/>
      <c r="M33" s="805"/>
      <c r="N33" s="796"/>
      <c r="O33" s="796"/>
      <c r="P33" s="796"/>
      <c r="Q33" s="455"/>
      <c r="R33" s="455"/>
    </row>
    <row r="34" spans="1:18" s="242" customFormat="1" ht="25" customHeight="1" thickBot="1">
      <c r="A34" s="734"/>
      <c r="B34" s="732"/>
      <c r="C34" s="682" t="str">
        <f>'Building Configuration'!C43</f>
        <v>Parking lot</v>
      </c>
      <c r="D34" s="682">
        <f>'Building Configuration'!M43</f>
        <v>107645.5</v>
      </c>
      <c r="E34" s="752"/>
      <c r="F34" s="785"/>
      <c r="G34" s="812"/>
      <c r="H34" s="797"/>
      <c r="I34" s="797"/>
      <c r="J34" s="798"/>
      <c r="K34" s="793"/>
      <c r="L34" s="804"/>
      <c r="M34" s="805"/>
      <c r="N34" s="796"/>
      <c r="O34" s="796"/>
      <c r="P34" s="796"/>
      <c r="Q34" s="455"/>
      <c r="R34" s="455"/>
    </row>
    <row r="35" spans="1:18" ht="30.65" customHeight="1" thickTop="1" thickBot="1">
      <c r="A35" s="556" t="s">
        <v>102</v>
      </c>
      <c r="B35" s="557"/>
      <c r="C35" s="557"/>
      <c r="D35" s="558">
        <f>SUM(D11:D34)</f>
        <v>6124078.2999999989</v>
      </c>
      <c r="E35" s="559"/>
      <c r="F35" s="784">
        <f>SUM(G11:G34)</f>
        <v>517</v>
      </c>
      <c r="G35" s="816">
        <f>SUM(H11:H34)</f>
        <v>0</v>
      </c>
      <c r="H35" s="807"/>
      <c r="I35" s="807"/>
      <c r="J35" s="808"/>
      <c r="K35" s="808"/>
      <c r="L35" s="808"/>
      <c r="M35" s="808"/>
      <c r="N35" s="809"/>
      <c r="O35" s="810"/>
      <c r="P35" s="810"/>
      <c r="Q35" s="413"/>
      <c r="R35" s="413"/>
    </row>
    <row r="36" spans="1:18" ht="15.65" customHeight="1" thickBot="1">
      <c r="A36" s="662"/>
      <c r="B36" s="447"/>
      <c r="C36" s="447"/>
      <c r="D36" s="663"/>
      <c r="E36" s="565"/>
      <c r="F36" s="664"/>
      <c r="G36" s="664"/>
      <c r="H36" s="566"/>
      <c r="I36" s="566"/>
      <c r="J36" s="565"/>
      <c r="K36" s="440"/>
      <c r="L36" s="440"/>
      <c r="M36" s="440"/>
      <c r="N36" s="440"/>
      <c r="O36" s="446"/>
      <c r="P36" s="447"/>
    </row>
    <row r="37" spans="1:18" ht="40" customHeight="1">
      <c r="A37" s="414" t="s">
        <v>417</v>
      </c>
      <c r="B37" s="415"/>
      <c r="C37" s="415"/>
      <c r="D37" s="415"/>
      <c r="E37" s="415"/>
      <c r="F37" s="415"/>
      <c r="G37" s="415"/>
      <c r="H37" s="415"/>
      <c r="I37" s="415"/>
      <c r="J37" s="415"/>
      <c r="K37" s="416"/>
      <c r="L37" s="560"/>
      <c r="M37" s="366"/>
      <c r="N37" s="441"/>
      <c r="O37" s="405"/>
    </row>
    <row r="38" spans="1:18" ht="30" customHeight="1">
      <c r="A38" s="442" t="s">
        <v>60</v>
      </c>
      <c r="B38" s="443" t="s">
        <v>419</v>
      </c>
      <c r="C38" s="443" t="s">
        <v>194</v>
      </c>
      <c r="D38" s="444" t="s">
        <v>195</v>
      </c>
      <c r="E38" s="444" t="s">
        <v>196</v>
      </c>
      <c r="F38" s="444" t="s">
        <v>197</v>
      </c>
      <c r="G38" s="444" t="s">
        <v>199</v>
      </c>
      <c r="H38" s="443" t="s">
        <v>200</v>
      </c>
      <c r="I38" s="443" t="s">
        <v>201</v>
      </c>
      <c r="J38" s="444" t="s">
        <v>198</v>
      </c>
      <c r="K38" s="445" t="s">
        <v>266</v>
      </c>
      <c r="L38" s="561"/>
      <c r="M38" s="367"/>
      <c r="N38" s="85"/>
    </row>
    <row r="39" spans="1:18" ht="30" customHeight="1">
      <c r="A39" s="489" t="s">
        <v>418</v>
      </c>
      <c r="B39" s="547">
        <v>8000000</v>
      </c>
      <c r="C39" s="666">
        <f>$B$39/4/4</f>
        <v>500000</v>
      </c>
      <c r="D39" s="666">
        <f>$B$39/4/4</f>
        <v>500000</v>
      </c>
      <c r="E39" s="666">
        <f>$B$39/4/4</f>
        <v>500000</v>
      </c>
      <c r="F39" s="666">
        <f>$B$39/4/4</f>
        <v>500000</v>
      </c>
      <c r="G39" s="666">
        <f>$B$39/4/2</f>
        <v>1000000</v>
      </c>
      <c r="H39" s="666">
        <f>$B$39/4/2</f>
        <v>1000000</v>
      </c>
      <c r="I39" s="666">
        <f>$B$39/4/2</f>
        <v>1000000</v>
      </c>
      <c r="J39" s="667">
        <f>$B$39/4/2</f>
        <v>1000000</v>
      </c>
      <c r="K39" s="668">
        <f>$B$39/4</f>
        <v>2000000</v>
      </c>
      <c r="L39" s="665"/>
      <c r="M39" s="367"/>
      <c r="N39" s="85"/>
    </row>
    <row r="40" spans="1:18" ht="30" customHeight="1">
      <c r="A40" s="489" t="s">
        <v>426</v>
      </c>
      <c r="B40" s="547">
        <v>20000000</v>
      </c>
      <c r="C40" s="666"/>
      <c r="D40" s="666">
        <f>$B$40/2</f>
        <v>10000000</v>
      </c>
      <c r="E40" s="666"/>
      <c r="F40" s="666">
        <f>$B$40/2</f>
        <v>10000000</v>
      </c>
      <c r="G40" s="666"/>
      <c r="H40" s="666"/>
      <c r="I40" s="666"/>
      <c r="J40" s="667"/>
      <c r="K40" s="668"/>
      <c r="L40" s="665"/>
      <c r="M40" s="367"/>
      <c r="N40" s="85"/>
    </row>
    <row r="41" spans="1:18" ht="30" customHeight="1">
      <c r="A41" s="489" t="s">
        <v>427</v>
      </c>
      <c r="B41" s="547">
        <v>55000000</v>
      </c>
      <c r="C41" s="666"/>
      <c r="D41" s="666"/>
      <c r="E41" s="666"/>
      <c r="F41" s="666"/>
      <c r="G41" s="666"/>
      <c r="H41" s="666"/>
      <c r="I41" s="666">
        <f>$B$41/2</f>
        <v>27500000</v>
      </c>
      <c r="J41" s="667">
        <f>$B$41/2</f>
        <v>27500000</v>
      </c>
      <c r="K41" s="668"/>
      <c r="L41" s="665"/>
      <c r="M41" s="367"/>
      <c r="N41" s="85"/>
    </row>
    <row r="42" spans="1:18" ht="30" customHeight="1" thickBot="1">
      <c r="A42" s="505" t="s">
        <v>102</v>
      </c>
      <c r="B42" s="503">
        <f>SUM(B34:B39)</f>
        <v>8000000</v>
      </c>
      <c r="C42" s="503">
        <f>SUM(C39)</f>
        <v>500000</v>
      </c>
      <c r="D42" s="503">
        <f t="shared" ref="D42:K42" si="0">SUM(D39)</f>
        <v>500000</v>
      </c>
      <c r="E42" s="503">
        <f t="shared" si="0"/>
        <v>500000</v>
      </c>
      <c r="F42" s="503">
        <f t="shared" si="0"/>
        <v>500000</v>
      </c>
      <c r="G42" s="503">
        <f t="shared" si="0"/>
        <v>1000000</v>
      </c>
      <c r="H42" s="503">
        <f t="shared" si="0"/>
        <v>1000000</v>
      </c>
      <c r="I42" s="503">
        <f t="shared" si="0"/>
        <v>1000000</v>
      </c>
      <c r="J42" s="503">
        <f t="shared" si="0"/>
        <v>1000000</v>
      </c>
      <c r="K42" s="504">
        <f t="shared" si="0"/>
        <v>2000000</v>
      </c>
      <c r="L42" s="552"/>
      <c r="M42" s="368"/>
      <c r="N42" s="86"/>
    </row>
    <row r="43" spans="1:18" ht="15.65" customHeight="1" thickBot="1">
      <c r="A43" s="662"/>
      <c r="B43" s="447"/>
      <c r="C43" s="447"/>
      <c r="D43" s="663"/>
      <c r="E43" s="565"/>
      <c r="F43" s="664"/>
      <c r="G43" s="664"/>
      <c r="H43" s="566"/>
      <c r="I43" s="566"/>
      <c r="J43" s="565"/>
      <c r="K43" s="440"/>
      <c r="L43" s="440"/>
      <c r="M43" s="440"/>
      <c r="N43" s="440"/>
      <c r="O43" s="446"/>
      <c r="P43" s="447"/>
    </row>
    <row r="44" spans="1:18" ht="40" customHeight="1">
      <c r="A44" s="414" t="s">
        <v>383</v>
      </c>
      <c r="B44" s="415"/>
      <c r="C44" s="415"/>
      <c r="D44" s="415"/>
      <c r="E44" s="415"/>
      <c r="F44" s="415"/>
      <c r="G44" s="415"/>
      <c r="H44" s="415"/>
      <c r="I44" s="592"/>
      <c r="J44" s="592"/>
      <c r="K44" s="593"/>
      <c r="L44" s="560"/>
      <c r="M44" s="366"/>
      <c r="N44" s="441"/>
      <c r="O44" s="405"/>
    </row>
    <row r="45" spans="1:18" ht="30" customHeight="1">
      <c r="A45" s="442" t="s">
        <v>60</v>
      </c>
      <c r="B45" s="443" t="s">
        <v>61</v>
      </c>
      <c r="C45" s="443" t="s">
        <v>194</v>
      </c>
      <c r="D45" s="444" t="s">
        <v>195</v>
      </c>
      <c r="E45" s="444" t="s">
        <v>196</v>
      </c>
      <c r="F45" s="444" t="s">
        <v>197</v>
      </c>
      <c r="G45" s="444" t="s">
        <v>199</v>
      </c>
      <c r="H45" s="443" t="s">
        <v>200</v>
      </c>
      <c r="I45" s="443" t="s">
        <v>201</v>
      </c>
      <c r="J45" s="444" t="s">
        <v>198</v>
      </c>
      <c r="K45" s="445" t="s">
        <v>266</v>
      </c>
      <c r="L45" s="561"/>
      <c r="M45" s="367"/>
      <c r="N45" s="85"/>
    </row>
    <row r="46" spans="1:18" ht="30" customHeight="1">
      <c r="A46" s="489" t="s">
        <v>362</v>
      </c>
      <c r="B46" s="547">
        <v>1500000</v>
      </c>
      <c r="C46" s="406" t="s">
        <v>339</v>
      </c>
      <c r="D46" s="406" t="s">
        <v>339</v>
      </c>
      <c r="E46" s="406" t="s">
        <v>339</v>
      </c>
      <c r="F46" s="406" t="s">
        <v>339</v>
      </c>
      <c r="G46" s="406" t="s">
        <v>339</v>
      </c>
      <c r="H46" s="406" t="s">
        <v>339</v>
      </c>
      <c r="I46" s="406"/>
      <c r="J46" s="501"/>
      <c r="K46" s="502" t="s">
        <v>339</v>
      </c>
      <c r="L46" s="546"/>
      <c r="M46" s="367"/>
      <c r="N46" s="85"/>
    </row>
    <row r="47" spans="1:18" ht="30" customHeight="1">
      <c r="A47" s="490" t="s">
        <v>357</v>
      </c>
      <c r="B47" s="547">
        <v>3000000</v>
      </c>
      <c r="C47" s="406" t="s">
        <v>339</v>
      </c>
      <c r="D47" s="406" t="s">
        <v>339</v>
      </c>
      <c r="E47" s="406" t="s">
        <v>339</v>
      </c>
      <c r="F47" s="406" t="s">
        <v>339</v>
      </c>
      <c r="G47" s="406" t="s">
        <v>339</v>
      </c>
      <c r="H47" s="406" t="s">
        <v>339</v>
      </c>
      <c r="I47" s="406" t="s">
        <v>339</v>
      </c>
      <c r="J47" s="406" t="s">
        <v>339</v>
      </c>
      <c r="K47" s="502" t="s">
        <v>339</v>
      </c>
      <c r="L47" s="546"/>
      <c r="M47" s="367"/>
      <c r="N47" s="85"/>
    </row>
    <row r="48" spans="1:18" ht="30" customHeight="1">
      <c r="A48" s="489" t="s">
        <v>358</v>
      </c>
      <c r="B48" s="547">
        <v>5000000</v>
      </c>
      <c r="C48" s="406" t="s">
        <v>339</v>
      </c>
      <c r="D48" s="491"/>
      <c r="E48" s="491"/>
      <c r="F48" s="491"/>
      <c r="G48" s="491"/>
      <c r="H48" s="491"/>
      <c r="I48" s="491"/>
      <c r="J48" s="491"/>
      <c r="K48" s="492"/>
      <c r="L48" s="563"/>
      <c r="M48" s="368"/>
      <c r="N48" s="86"/>
    </row>
    <row r="49" spans="1:15" ht="30" customHeight="1">
      <c r="A49" s="489" t="s">
        <v>359</v>
      </c>
      <c r="B49" s="547">
        <v>2000000</v>
      </c>
      <c r="C49" s="491"/>
      <c r="D49" s="491"/>
      <c r="E49" s="406" t="s">
        <v>339</v>
      </c>
      <c r="F49" s="491"/>
      <c r="G49" s="491"/>
      <c r="H49" s="491"/>
      <c r="I49" s="491"/>
      <c r="J49" s="491"/>
      <c r="K49" s="492"/>
      <c r="L49" s="563"/>
      <c r="M49" s="368"/>
      <c r="N49" s="86"/>
      <c r="O49" s="87"/>
    </row>
    <row r="50" spans="1:15" ht="30" customHeight="1">
      <c r="A50" s="490" t="s">
        <v>428</v>
      </c>
      <c r="B50" s="547">
        <v>2000000</v>
      </c>
      <c r="C50" s="491"/>
      <c r="D50" s="493"/>
      <c r="E50" s="493"/>
      <c r="F50" s="493"/>
      <c r="G50" s="406" t="s">
        <v>339</v>
      </c>
      <c r="H50" s="406" t="s">
        <v>339</v>
      </c>
      <c r="I50" s="406"/>
      <c r="J50" s="493"/>
      <c r="K50" s="494"/>
      <c r="L50" s="564"/>
      <c r="M50" s="369"/>
      <c r="N50" s="87"/>
    </row>
    <row r="51" spans="1:15" ht="30" customHeight="1">
      <c r="A51" s="490" t="s">
        <v>360</v>
      </c>
      <c r="B51" s="547">
        <v>250000</v>
      </c>
      <c r="C51" s="406" t="s">
        <v>339</v>
      </c>
      <c r="D51" s="495"/>
      <c r="E51" s="495"/>
      <c r="F51" s="495"/>
      <c r="G51" s="495"/>
      <c r="H51" s="495"/>
      <c r="I51" s="495"/>
      <c r="J51" s="495"/>
      <c r="K51" s="496"/>
      <c r="L51" s="564"/>
      <c r="M51" s="369"/>
      <c r="N51" s="87"/>
    </row>
    <row r="52" spans="1:15" ht="30" customHeight="1">
      <c r="A52" s="497" t="s">
        <v>363</v>
      </c>
      <c r="B52" s="506">
        <v>0</v>
      </c>
      <c r="C52" s="495"/>
      <c r="D52" s="495"/>
      <c r="E52" s="495"/>
      <c r="F52" s="495"/>
      <c r="G52" s="495"/>
      <c r="H52" s="495"/>
      <c r="I52" s="495"/>
      <c r="J52" s="495"/>
      <c r="K52" s="496"/>
      <c r="L52" s="564"/>
      <c r="M52" s="369"/>
      <c r="N52" s="87"/>
    </row>
    <row r="53" spans="1:15" ht="30" customHeight="1" thickBot="1">
      <c r="A53" s="498"/>
      <c r="B53" s="507"/>
      <c r="C53" s="499"/>
      <c r="D53" s="499"/>
      <c r="E53" s="499"/>
      <c r="F53" s="499"/>
      <c r="G53" s="499"/>
      <c r="H53" s="499"/>
      <c r="I53" s="499"/>
      <c r="J53" s="499"/>
      <c r="K53" s="500"/>
      <c r="L53" s="564"/>
      <c r="M53" s="369"/>
      <c r="N53" s="87"/>
    </row>
    <row r="54" spans="1:15" ht="30" customHeight="1" thickTop="1" thickBot="1">
      <c r="A54" s="505" t="s">
        <v>102</v>
      </c>
      <c r="B54" s="503">
        <f>SUM(B46:B53)</f>
        <v>13750000</v>
      </c>
      <c r="C54" s="503">
        <f t="shared" ref="C54:K54" si="1">SUM(IF(C46="O",$B$46/COUNTIF($C46:$K46,"O"),0),IF(C47="O",$B$47/COUNTIF($C47:$K47,"O"),0),IF(C48="O",$B$48/COUNTIF($C48:$K48,"O"),0),IF(C49="O",$B$49/COUNTIF($C49:$K49,"O"),0),IF(C50="O",$B$50/COUNTIF($C50:$K50,"O"),0),IF(C51="O",$B$51/COUNTIF($C51:$K51,"O"),0),IF(C52="O",$B$52/COUNTIF($C52:$K52,"O"),0))</f>
        <v>5797619.0476190476</v>
      </c>
      <c r="D54" s="503">
        <f t="shared" si="1"/>
        <v>547619.04761904757</v>
      </c>
      <c r="E54" s="503">
        <f t="shared" si="1"/>
        <v>2547619.0476190476</v>
      </c>
      <c r="F54" s="503">
        <f t="shared" si="1"/>
        <v>547619.04761904757</v>
      </c>
      <c r="G54" s="503">
        <f t="shared" si="1"/>
        <v>1547619.0476190476</v>
      </c>
      <c r="H54" s="503">
        <f t="shared" si="1"/>
        <v>1547619.0476190476</v>
      </c>
      <c r="I54" s="503">
        <f t="shared" si="1"/>
        <v>333333.33333333331</v>
      </c>
      <c r="J54" s="503">
        <f t="shared" si="1"/>
        <v>333333.33333333331</v>
      </c>
      <c r="K54" s="503">
        <f t="shared" si="1"/>
        <v>547619.04761904757</v>
      </c>
      <c r="L54" s="552"/>
      <c r="M54" s="368"/>
      <c r="N54" s="86"/>
    </row>
    <row r="55" spans="1:15" s="554" customFormat="1" ht="23.25" customHeight="1" thickBot="1">
      <c r="A55" s="551"/>
      <c r="B55" s="552"/>
      <c r="C55" s="552"/>
      <c r="D55" s="552"/>
      <c r="E55" s="552"/>
      <c r="F55" s="552"/>
      <c r="G55" s="552"/>
      <c r="H55" s="552"/>
      <c r="I55" s="552"/>
      <c r="J55" s="552"/>
      <c r="K55" s="552"/>
      <c r="L55" s="552"/>
      <c r="M55" s="368"/>
      <c r="N55" s="553"/>
    </row>
    <row r="56" spans="1:15" ht="40" customHeight="1">
      <c r="A56" s="414" t="s">
        <v>384</v>
      </c>
      <c r="B56" s="415"/>
      <c r="C56" s="415"/>
      <c r="D56" s="415"/>
      <c r="E56" s="415"/>
      <c r="F56" s="415"/>
      <c r="G56" s="415"/>
      <c r="H56" s="415"/>
      <c r="I56" s="415"/>
      <c r="J56" s="415"/>
      <c r="K56" s="416"/>
      <c r="L56" s="560"/>
      <c r="M56" s="368"/>
      <c r="N56" s="86"/>
    </row>
    <row r="57" spans="1:15" ht="30" customHeight="1">
      <c r="A57" s="442" t="s">
        <v>60</v>
      </c>
      <c r="B57" s="443" t="s">
        <v>61</v>
      </c>
      <c r="C57" s="443" t="s">
        <v>194</v>
      </c>
      <c r="D57" s="444" t="s">
        <v>195</v>
      </c>
      <c r="E57" s="444" t="s">
        <v>196</v>
      </c>
      <c r="F57" s="444" t="s">
        <v>197</v>
      </c>
      <c r="G57" s="444" t="s">
        <v>199</v>
      </c>
      <c r="H57" s="443" t="s">
        <v>200</v>
      </c>
      <c r="I57" s="443" t="s">
        <v>201</v>
      </c>
      <c r="J57" s="444" t="s">
        <v>198</v>
      </c>
      <c r="K57" s="445" t="s">
        <v>266</v>
      </c>
      <c r="L57" s="561"/>
      <c r="M57" s="368"/>
      <c r="N57" s="86"/>
    </row>
    <row r="58" spans="1:15" ht="30" customHeight="1" thickBot="1">
      <c r="A58" s="568" t="s">
        <v>361</v>
      </c>
      <c r="B58" s="569">
        <v>550000</v>
      </c>
      <c r="C58" s="570"/>
      <c r="D58" s="570"/>
      <c r="E58" s="570"/>
      <c r="F58" s="567"/>
      <c r="G58" s="567"/>
      <c r="H58" s="570"/>
      <c r="I58" s="570"/>
      <c r="J58" s="567"/>
      <c r="K58" s="571" t="s">
        <v>339</v>
      </c>
      <c r="L58" s="562"/>
      <c r="M58" s="368"/>
      <c r="N58" s="86"/>
    </row>
    <row r="59" spans="1:15" ht="30" customHeight="1" thickTop="1" thickBot="1">
      <c r="A59" s="505" t="s">
        <v>102</v>
      </c>
      <c r="B59" s="503">
        <f>SUM(B58:B58)</f>
        <v>550000</v>
      </c>
      <c r="C59" s="503">
        <f>SUM(IF(C58="O",$B$58/COUNTIF($C58:$K58,"O")))</f>
        <v>0</v>
      </c>
      <c r="D59" s="503">
        <f t="shared" ref="D59:K59" si="2">SUM(IF(D58="O",$B$58/COUNTIF($C58:$K58,"O")))</f>
        <v>0</v>
      </c>
      <c r="E59" s="503">
        <f t="shared" si="2"/>
        <v>0</v>
      </c>
      <c r="F59" s="503">
        <f t="shared" si="2"/>
        <v>0</v>
      </c>
      <c r="G59" s="503">
        <f t="shared" si="2"/>
        <v>0</v>
      </c>
      <c r="H59" s="503">
        <f t="shared" si="2"/>
        <v>0</v>
      </c>
      <c r="I59" s="503">
        <f t="shared" si="2"/>
        <v>0</v>
      </c>
      <c r="J59" s="503">
        <f t="shared" si="2"/>
        <v>0</v>
      </c>
      <c r="K59" s="504">
        <f t="shared" si="2"/>
        <v>550000</v>
      </c>
      <c r="L59" s="552"/>
      <c r="M59" s="368"/>
      <c r="N59" s="86"/>
    </row>
    <row r="60" spans="1:15" ht="23.25" customHeight="1" thickBot="1"/>
    <row r="61" spans="1:15" ht="47.5" customHeight="1">
      <c r="A61" s="414" t="s">
        <v>341</v>
      </c>
      <c r="B61" s="415"/>
      <c r="C61" s="415"/>
      <c r="D61" s="415"/>
      <c r="E61" s="416"/>
      <c r="F61" s="416"/>
      <c r="G61" s="416"/>
      <c r="H61" s="415"/>
      <c r="I61" s="405"/>
      <c r="J61" s="405"/>
      <c r="K61" s="405"/>
    </row>
    <row r="62" spans="1:15" ht="40" customHeight="1">
      <c r="A62" s="362" t="s">
        <v>335</v>
      </c>
      <c r="B62" s="362" t="s">
        <v>202</v>
      </c>
      <c r="C62" s="362" t="s">
        <v>63</v>
      </c>
      <c r="D62" s="362" t="s">
        <v>367</v>
      </c>
      <c r="E62" s="362" t="s">
        <v>64</v>
      </c>
      <c r="F62" s="362" t="s">
        <v>368</v>
      </c>
      <c r="G62" s="362" t="s">
        <v>65</v>
      </c>
      <c r="H62" s="362" t="s">
        <v>376</v>
      </c>
    </row>
    <row r="63" spans="1:15" ht="40" customHeight="1">
      <c r="A63" s="365" t="s">
        <v>331</v>
      </c>
      <c r="B63" s="409" t="str">
        <f>A11</f>
        <v>A</v>
      </c>
      <c r="C63" s="363" t="s">
        <v>371</v>
      </c>
      <c r="D63" s="517">
        <v>15</v>
      </c>
      <c r="E63" s="364" t="s">
        <v>395</v>
      </c>
      <c r="F63" s="517">
        <v>18</v>
      </c>
      <c r="G63" s="364" t="s">
        <v>396</v>
      </c>
      <c r="H63" s="517">
        <v>6</v>
      </c>
    </row>
    <row r="64" spans="1:15" ht="40" customHeight="1">
      <c r="A64" s="365" t="s">
        <v>331</v>
      </c>
      <c r="B64" s="409" t="str">
        <f>A14</f>
        <v>B</v>
      </c>
      <c r="C64" s="363" t="s">
        <v>372</v>
      </c>
      <c r="D64" s="517">
        <v>12</v>
      </c>
      <c r="E64" s="364" t="s">
        <v>397</v>
      </c>
      <c r="F64" s="517">
        <v>18</v>
      </c>
      <c r="G64" s="364" t="s">
        <v>398</v>
      </c>
      <c r="H64" s="517" t="s">
        <v>377</v>
      </c>
    </row>
    <row r="65" spans="1:47" ht="40" customHeight="1">
      <c r="A65" s="365" t="s">
        <v>331</v>
      </c>
      <c r="B65" s="409" t="str">
        <f>A15</f>
        <v>C</v>
      </c>
      <c r="C65" s="363" t="s">
        <v>373</v>
      </c>
      <c r="D65" s="517" t="s">
        <v>369</v>
      </c>
      <c r="E65" s="364" t="s">
        <v>375</v>
      </c>
      <c r="F65" s="517">
        <v>24</v>
      </c>
      <c r="G65" s="364" t="s">
        <v>379</v>
      </c>
      <c r="H65" s="517">
        <v>3</v>
      </c>
    </row>
    <row r="66" spans="1:47" ht="40" customHeight="1">
      <c r="A66" s="572" t="s">
        <v>331</v>
      </c>
      <c r="B66" s="573" t="str">
        <f>A16</f>
        <v>D</v>
      </c>
      <c r="C66" s="574" t="s">
        <v>374</v>
      </c>
      <c r="D66" s="575" t="s">
        <v>370</v>
      </c>
      <c r="E66" s="576" t="s">
        <v>400</v>
      </c>
      <c r="F66" s="575" t="s">
        <v>399</v>
      </c>
      <c r="G66" s="576" t="s">
        <v>401</v>
      </c>
      <c r="H66" s="575" t="s">
        <v>378</v>
      </c>
    </row>
    <row r="67" spans="1:47" ht="40" customHeight="1">
      <c r="A67" s="572" t="s">
        <v>332</v>
      </c>
      <c r="B67" s="573" t="str">
        <f>A18</f>
        <v>E</v>
      </c>
      <c r="C67" s="574" t="s">
        <v>389</v>
      </c>
      <c r="D67" s="575" t="s">
        <v>370</v>
      </c>
      <c r="E67" s="576" t="s">
        <v>403</v>
      </c>
      <c r="F67" s="575" t="s">
        <v>402</v>
      </c>
      <c r="G67" s="576" t="s">
        <v>391</v>
      </c>
      <c r="H67" s="575" t="s">
        <v>378</v>
      </c>
    </row>
    <row r="68" spans="1:47" ht="40" customHeight="1">
      <c r="A68" s="572" t="s">
        <v>332</v>
      </c>
      <c r="B68" s="573" t="str">
        <f>A21</f>
        <v>F</v>
      </c>
      <c r="C68" s="574" t="s">
        <v>389</v>
      </c>
      <c r="D68" s="575" t="s">
        <v>370</v>
      </c>
      <c r="E68" s="576" t="s">
        <v>422</v>
      </c>
      <c r="F68" s="575">
        <v>24</v>
      </c>
      <c r="G68" s="576" t="s">
        <v>423</v>
      </c>
      <c r="H68" s="575" t="s">
        <v>378</v>
      </c>
    </row>
    <row r="69" spans="1:47" ht="40" customHeight="1">
      <c r="A69" s="572" t="s">
        <v>333</v>
      </c>
      <c r="B69" s="573" t="str">
        <f>A23</f>
        <v>G</v>
      </c>
      <c r="C69" s="574" t="s">
        <v>390</v>
      </c>
      <c r="D69" s="575" t="s">
        <v>370</v>
      </c>
      <c r="E69" s="576" t="s">
        <v>404</v>
      </c>
      <c r="F69" s="575">
        <v>27</v>
      </c>
      <c r="G69" s="576" t="s">
        <v>394</v>
      </c>
      <c r="H69" s="575" t="s">
        <v>378</v>
      </c>
    </row>
    <row r="70" spans="1:47" ht="40" customHeight="1">
      <c r="A70" s="572" t="s">
        <v>333</v>
      </c>
      <c r="B70" s="573" t="str">
        <f>A26</f>
        <v>H</v>
      </c>
      <c r="C70" s="574" t="s">
        <v>392</v>
      </c>
      <c r="D70" s="575" t="s">
        <v>370</v>
      </c>
      <c r="E70" s="576" t="s">
        <v>406</v>
      </c>
      <c r="F70" s="575" t="s">
        <v>405</v>
      </c>
      <c r="G70" s="576" t="s">
        <v>407</v>
      </c>
      <c r="H70" s="575" t="s">
        <v>378</v>
      </c>
    </row>
    <row r="71" spans="1:47" ht="40" customHeight="1">
      <c r="A71" s="572" t="s">
        <v>334</v>
      </c>
      <c r="B71" s="573" t="str">
        <f>A30</f>
        <v>I</v>
      </c>
      <c r="C71" s="574" t="s">
        <v>393</v>
      </c>
      <c r="D71" s="575" t="s">
        <v>370</v>
      </c>
      <c r="E71" s="577" t="s">
        <v>408</v>
      </c>
      <c r="F71" s="575">
        <v>24</v>
      </c>
      <c r="G71" s="576" t="s">
        <v>409</v>
      </c>
      <c r="H71" s="575" t="s">
        <v>378</v>
      </c>
    </row>
    <row r="72" spans="1:47" ht="23.25" customHeight="1" thickBot="1"/>
    <row r="73" spans="1:47" s="413" customFormat="1" ht="60" customHeight="1">
      <c r="A73" s="594" t="s">
        <v>341</v>
      </c>
      <c r="B73" s="597"/>
      <c r="C73" s="581"/>
      <c r="D73" s="581"/>
      <c r="E73" s="581"/>
      <c r="F73" s="581"/>
      <c r="G73" s="581"/>
      <c r="H73" s="581"/>
      <c r="I73" s="581"/>
      <c r="J73" s="581"/>
      <c r="K73" s="581"/>
      <c r="L73" s="581"/>
      <c r="M73" s="581"/>
      <c r="N73" s="581"/>
      <c r="O73" s="581"/>
      <c r="P73" s="581"/>
      <c r="Q73" s="582"/>
      <c r="R73" s="582"/>
      <c r="S73" s="582"/>
      <c r="T73" s="582"/>
      <c r="U73" s="582"/>
      <c r="V73" s="582"/>
      <c r="W73" s="582"/>
      <c r="X73" s="582"/>
      <c r="Y73" s="582"/>
      <c r="Z73" s="582"/>
      <c r="AA73" s="582"/>
      <c r="AB73" s="582"/>
      <c r="AC73" s="582"/>
      <c r="AD73" s="582"/>
      <c r="AE73" s="582"/>
      <c r="AF73" s="582"/>
      <c r="AG73" s="582"/>
      <c r="AH73" s="582"/>
      <c r="AI73" s="582"/>
      <c r="AJ73" s="582"/>
      <c r="AK73" s="582"/>
      <c r="AL73" s="582"/>
      <c r="AM73" s="582"/>
      <c r="AN73" s="582"/>
      <c r="AO73" s="582"/>
      <c r="AP73" s="582"/>
      <c r="AQ73" s="582"/>
      <c r="AR73" s="582"/>
      <c r="AS73" s="582"/>
      <c r="AT73" s="582"/>
      <c r="AU73" s="583"/>
    </row>
    <row r="74" spans="1:47" ht="50" customHeight="1">
      <c r="A74" s="595"/>
      <c r="B74" s="598"/>
      <c r="C74" s="412">
        <v>46023</v>
      </c>
      <c r="D74" s="412">
        <f>EOMONTH(C74,3)</f>
        <v>46142</v>
      </c>
      <c r="E74" s="412">
        <f t="shared" ref="E74" si="3">EOMONTH(D74,3)</f>
        <v>46234</v>
      </c>
      <c r="F74" s="412">
        <f>EOMONTH(E74,3)</f>
        <v>46326</v>
      </c>
      <c r="G74" s="412">
        <f t="shared" ref="G74" si="4">EOMONTH(F74,3)</f>
        <v>46418</v>
      </c>
      <c r="H74" s="412">
        <f t="shared" ref="H74" si="5">EOMONTH(G74,3)</f>
        <v>46507</v>
      </c>
      <c r="I74" s="412">
        <f t="shared" ref="I74" si="6">EOMONTH(H74,3)</f>
        <v>46599</v>
      </c>
      <c r="J74" s="412">
        <f t="shared" ref="J74" si="7">EOMONTH(I74,3)</f>
        <v>46691</v>
      </c>
      <c r="K74" s="412">
        <f t="shared" ref="K74" si="8">EOMONTH(J74,3)</f>
        <v>46783</v>
      </c>
      <c r="L74" s="412">
        <f t="shared" ref="L74" si="9">EOMONTH(K74,3)</f>
        <v>46873</v>
      </c>
      <c r="M74" s="412">
        <f t="shared" ref="M74" si="10">EOMONTH(L74,3)</f>
        <v>46965</v>
      </c>
      <c r="N74" s="412">
        <f t="shared" ref="N74" si="11">EOMONTH(M74,3)</f>
        <v>47057</v>
      </c>
      <c r="O74" s="412">
        <f t="shared" ref="O74" si="12">EOMONTH(N74,3)</f>
        <v>47149</v>
      </c>
      <c r="P74" s="412">
        <f t="shared" ref="P74" si="13">EOMONTH(O74,3)</f>
        <v>47238</v>
      </c>
      <c r="Q74" s="412">
        <f t="shared" ref="Q74" si="14">EOMONTH(P74,3)</f>
        <v>47330</v>
      </c>
      <c r="R74" s="412">
        <f t="shared" ref="R74" si="15">EOMONTH(Q74,3)</f>
        <v>47422</v>
      </c>
      <c r="S74" s="412">
        <f t="shared" ref="S74" si="16">EOMONTH(R74,3)</f>
        <v>47514</v>
      </c>
      <c r="T74" s="412">
        <f t="shared" ref="T74" si="17">EOMONTH(S74,3)</f>
        <v>47603</v>
      </c>
      <c r="U74" s="412">
        <f t="shared" ref="U74" si="18">EOMONTH(T74,3)</f>
        <v>47695</v>
      </c>
      <c r="V74" s="412">
        <f t="shared" ref="V74" si="19">EOMONTH(U74,3)</f>
        <v>47787</v>
      </c>
      <c r="W74" s="412">
        <f t="shared" ref="W74" si="20">EOMONTH(V74,3)</f>
        <v>47879</v>
      </c>
      <c r="X74" s="412">
        <f t="shared" ref="X74" si="21">EOMONTH(W74,3)</f>
        <v>47968</v>
      </c>
      <c r="Y74" s="412">
        <f t="shared" ref="Y74" si="22">EOMONTH(X74,3)</f>
        <v>48060</v>
      </c>
      <c r="Z74" s="412">
        <f t="shared" ref="Z74" si="23">EOMONTH(Y74,3)</f>
        <v>48152</v>
      </c>
      <c r="AA74" s="412">
        <f t="shared" ref="AA74" si="24">EOMONTH(Z74,3)</f>
        <v>48244</v>
      </c>
      <c r="AB74" s="412">
        <f t="shared" ref="AB74" si="25">EOMONTH(AA74,3)</f>
        <v>48334</v>
      </c>
      <c r="AC74" s="412">
        <f t="shared" ref="AC74" si="26">EOMONTH(AB74,3)</f>
        <v>48426</v>
      </c>
      <c r="AD74" s="412">
        <f t="shared" ref="AD74" si="27">EOMONTH(AC74,3)</f>
        <v>48518</v>
      </c>
      <c r="AE74" s="412">
        <f t="shared" ref="AE74" si="28">EOMONTH(AD74,3)</f>
        <v>48610</v>
      </c>
      <c r="AF74" s="412">
        <f t="shared" ref="AF74" si="29">EOMONTH(AE74,3)</f>
        <v>48699</v>
      </c>
      <c r="AG74" s="412">
        <f t="shared" ref="AG74" si="30">EOMONTH(AF74,3)</f>
        <v>48791</v>
      </c>
      <c r="AH74" s="412">
        <f t="shared" ref="AH74" si="31">EOMONTH(AG74,3)</f>
        <v>48883</v>
      </c>
      <c r="AI74" s="412">
        <f t="shared" ref="AI74" si="32">EOMONTH(AH74,3)</f>
        <v>48975</v>
      </c>
      <c r="AJ74" s="412">
        <f t="shared" ref="AJ74" si="33">EOMONTH(AI74,3)</f>
        <v>49064</v>
      </c>
      <c r="AK74" s="412">
        <f t="shared" ref="AK74" si="34">EOMONTH(AJ74,3)</f>
        <v>49156</v>
      </c>
      <c r="AL74" s="412">
        <f t="shared" ref="AL74" si="35">EOMONTH(AK74,3)</f>
        <v>49248</v>
      </c>
      <c r="AM74" s="412">
        <f t="shared" ref="AM74" si="36">EOMONTH(AL74,3)</f>
        <v>49340</v>
      </c>
      <c r="AN74" s="412">
        <f>EOMONTH(AM74,3)</f>
        <v>49429</v>
      </c>
      <c r="AO74" s="412">
        <f t="shared" ref="AO74" si="37">EOMONTH(AN74,3)</f>
        <v>49521</v>
      </c>
      <c r="AP74" s="412">
        <f t="shared" ref="AP74" si="38">EOMONTH(AO74,3)</f>
        <v>49613</v>
      </c>
      <c r="AQ74" s="412">
        <f t="shared" ref="AQ74" si="39">EOMONTH(AP74,3)</f>
        <v>49705</v>
      </c>
      <c r="AR74" s="412">
        <f t="shared" ref="AR74" si="40">EOMONTH(AQ74,3)</f>
        <v>49795</v>
      </c>
      <c r="AS74" s="412">
        <f t="shared" ref="AS74" si="41">EOMONTH(AR74,3)</f>
        <v>49887</v>
      </c>
      <c r="AT74" s="412">
        <f t="shared" ref="AT74" si="42">EOMONTH(AS74,3)</f>
        <v>49979</v>
      </c>
      <c r="AU74" s="584">
        <v>50040</v>
      </c>
    </row>
    <row r="75" spans="1:47" ht="50" customHeight="1">
      <c r="A75" s="595"/>
      <c r="B75" s="489" t="s">
        <v>340</v>
      </c>
      <c r="C75" s="410"/>
      <c r="D75" s="411"/>
      <c r="E75" s="411"/>
      <c r="F75" s="411"/>
      <c r="G75" s="411"/>
      <c r="H75" s="411"/>
      <c r="I75" s="411"/>
      <c r="J75" s="411"/>
      <c r="K75" s="411"/>
      <c r="L75" s="411"/>
      <c r="M75" s="411"/>
      <c r="N75" s="411"/>
      <c r="O75" s="411"/>
      <c r="P75" s="411"/>
      <c r="Q75" s="411"/>
      <c r="R75" s="411"/>
      <c r="S75" s="411"/>
      <c r="T75" s="411"/>
      <c r="U75" s="411"/>
      <c r="V75" s="411"/>
      <c r="W75" s="411"/>
      <c r="X75" s="411"/>
      <c r="Y75" s="411"/>
      <c r="Z75" s="411"/>
      <c r="AA75" s="411"/>
      <c r="AB75" s="411"/>
      <c r="AC75" s="411"/>
      <c r="AD75" s="411"/>
      <c r="AE75" s="411"/>
      <c r="AF75" s="411"/>
      <c r="AG75" s="411"/>
      <c r="AH75" s="411"/>
      <c r="AI75" s="411"/>
      <c r="AJ75" s="411"/>
      <c r="AK75" s="411"/>
      <c r="AL75" s="411"/>
      <c r="AM75" s="411"/>
      <c r="AN75" s="411"/>
      <c r="AO75" s="411"/>
      <c r="AP75" s="411"/>
      <c r="AQ75" s="411"/>
      <c r="AR75" s="411"/>
      <c r="AS75" s="411"/>
      <c r="AT75" s="411"/>
      <c r="AU75" s="585"/>
    </row>
    <row r="76" spans="1:47" ht="50" customHeight="1">
      <c r="A76" s="748" t="s">
        <v>331</v>
      </c>
      <c r="B76" s="599" t="s">
        <v>194</v>
      </c>
      <c r="C76" s="719" t="s">
        <v>63</v>
      </c>
      <c r="D76" s="719"/>
      <c r="E76" s="719"/>
      <c r="F76" s="719"/>
      <c r="G76" s="719"/>
      <c r="H76" s="713" t="s">
        <v>64</v>
      </c>
      <c r="I76" s="714"/>
      <c r="J76" s="714"/>
      <c r="K76" s="714"/>
      <c r="L76" s="714"/>
      <c r="M76" s="715"/>
      <c r="N76" s="741" t="s">
        <v>338</v>
      </c>
      <c r="O76" s="741"/>
      <c r="P76" s="408"/>
      <c r="Q76" s="749"/>
      <c r="R76" s="749"/>
      <c r="S76" s="408"/>
      <c r="T76" s="408"/>
      <c r="U76" s="407"/>
      <c r="V76" s="407"/>
      <c r="W76" s="407"/>
      <c r="X76" s="407"/>
      <c r="Y76" s="407"/>
      <c r="Z76" s="407"/>
      <c r="AA76" s="407"/>
      <c r="AB76" s="407"/>
      <c r="AC76" s="407"/>
      <c r="AD76" s="407"/>
      <c r="AE76" s="407"/>
      <c r="AF76" s="407"/>
      <c r="AG76" s="407"/>
      <c r="AH76" s="407"/>
      <c r="AI76" s="407"/>
      <c r="AJ76" s="407"/>
      <c r="AK76" s="407"/>
      <c r="AL76" s="407"/>
      <c r="AM76" s="407"/>
      <c r="AN76" s="407"/>
      <c r="AO76" s="407"/>
      <c r="AP76" s="407"/>
      <c r="AQ76" s="407"/>
      <c r="AR76" s="407"/>
      <c r="AS76" s="407"/>
      <c r="AT76" s="407"/>
      <c r="AU76" s="586"/>
    </row>
    <row r="77" spans="1:47" ht="50" customHeight="1">
      <c r="A77" s="748"/>
      <c r="B77" s="489" t="s">
        <v>195</v>
      </c>
      <c r="C77" s="719" t="s">
        <v>63</v>
      </c>
      <c r="D77" s="719"/>
      <c r="E77" s="719"/>
      <c r="F77" s="719"/>
      <c r="G77" s="713" t="s">
        <v>64</v>
      </c>
      <c r="H77" s="714"/>
      <c r="I77" s="714"/>
      <c r="J77" s="714"/>
      <c r="K77" s="714"/>
      <c r="L77" s="715"/>
      <c r="M77" s="548" t="s">
        <v>338</v>
      </c>
      <c r="N77" s="408"/>
      <c r="O77" s="408"/>
      <c r="P77" s="408"/>
      <c r="Q77" s="408"/>
      <c r="R77" s="408"/>
      <c r="S77" s="407"/>
      <c r="T77" s="407"/>
      <c r="U77" s="407"/>
      <c r="V77" s="407"/>
      <c r="W77" s="407"/>
      <c r="X77" s="407"/>
      <c r="Y77" s="407"/>
      <c r="Z77" s="407"/>
      <c r="AA77" s="407"/>
      <c r="AB77" s="407"/>
      <c r="AC77" s="407"/>
      <c r="AD77" s="407"/>
      <c r="AE77" s="407"/>
      <c r="AF77" s="407"/>
      <c r="AG77" s="407"/>
      <c r="AH77" s="407"/>
      <c r="AI77" s="407"/>
      <c r="AJ77" s="407"/>
      <c r="AK77" s="407"/>
      <c r="AL77" s="407"/>
      <c r="AM77" s="407"/>
      <c r="AN77" s="407"/>
      <c r="AO77" s="407"/>
      <c r="AP77" s="407"/>
      <c r="AQ77" s="407"/>
      <c r="AR77" s="407"/>
      <c r="AS77" s="407"/>
      <c r="AT77" s="407"/>
      <c r="AU77" s="586"/>
    </row>
    <row r="78" spans="1:47" ht="50" customHeight="1">
      <c r="A78" s="748"/>
      <c r="B78" s="489" t="s">
        <v>196</v>
      </c>
      <c r="C78" s="719" t="s">
        <v>63</v>
      </c>
      <c r="D78" s="719"/>
      <c r="E78" s="719"/>
      <c r="F78" s="719"/>
      <c r="G78" s="719"/>
      <c r="H78" s="719"/>
      <c r="I78" s="709" t="s">
        <v>64</v>
      </c>
      <c r="J78" s="709"/>
      <c r="K78" s="709"/>
      <c r="L78" s="709"/>
      <c r="M78" s="709"/>
      <c r="N78" s="709"/>
      <c r="O78" s="709"/>
      <c r="P78" s="709"/>
      <c r="Q78" s="549" t="s">
        <v>338</v>
      </c>
      <c r="R78" s="408"/>
      <c r="S78" s="408"/>
      <c r="T78" s="408"/>
      <c r="U78" s="408"/>
      <c r="V78" s="408"/>
      <c r="W78" s="455"/>
      <c r="X78" s="407"/>
      <c r="Y78" s="407"/>
      <c r="Z78" s="407"/>
      <c r="AA78" s="407"/>
      <c r="AB78" s="407"/>
      <c r="AC78" s="407"/>
      <c r="AD78" s="407"/>
      <c r="AE78" s="407"/>
      <c r="AF78" s="407"/>
      <c r="AG78" s="407"/>
      <c r="AH78" s="407"/>
      <c r="AI78" s="407"/>
      <c r="AJ78" s="407"/>
      <c r="AK78" s="407"/>
      <c r="AL78" s="407"/>
      <c r="AM78" s="407"/>
      <c r="AN78" s="407"/>
      <c r="AO78" s="407"/>
      <c r="AP78" s="407"/>
      <c r="AQ78" s="407"/>
      <c r="AR78" s="407"/>
      <c r="AS78" s="407"/>
      <c r="AT78" s="407"/>
      <c r="AU78" s="586"/>
    </row>
    <row r="79" spans="1:47" ht="50" customHeight="1">
      <c r="A79" s="756" t="s">
        <v>332</v>
      </c>
      <c r="B79" s="489" t="s">
        <v>197</v>
      </c>
      <c r="C79" s="407"/>
      <c r="D79" s="407"/>
      <c r="E79" s="407"/>
      <c r="F79" s="407"/>
      <c r="G79" s="719" t="s">
        <v>63</v>
      </c>
      <c r="H79" s="719"/>
      <c r="I79" s="719"/>
      <c r="J79" s="719"/>
      <c r="K79" s="719"/>
      <c r="L79" s="709" t="s">
        <v>64</v>
      </c>
      <c r="M79" s="709"/>
      <c r="N79" s="709"/>
      <c r="O79" s="709"/>
      <c r="P79" s="710"/>
      <c r="Q79" s="710"/>
      <c r="R79" s="710"/>
      <c r="S79" s="710"/>
      <c r="T79" s="708" t="s">
        <v>338</v>
      </c>
      <c r="U79" s="708"/>
      <c r="V79" s="408"/>
      <c r="W79" s="408"/>
      <c r="X79" s="408"/>
      <c r="Y79" s="408"/>
      <c r="Z79" s="408"/>
      <c r="AA79" s="455"/>
      <c r="AB79" s="455"/>
      <c r="AC79" s="407"/>
      <c r="AD79" s="407"/>
      <c r="AE79" s="407"/>
      <c r="AF79" s="407"/>
      <c r="AG79" s="407"/>
      <c r="AH79" s="407"/>
      <c r="AI79" s="407"/>
      <c r="AJ79" s="407"/>
      <c r="AK79" s="407"/>
      <c r="AL79" s="407"/>
      <c r="AM79" s="407"/>
      <c r="AN79" s="407"/>
      <c r="AO79" s="407"/>
      <c r="AP79" s="407"/>
      <c r="AQ79" s="407"/>
      <c r="AR79" s="407"/>
      <c r="AS79" s="407"/>
      <c r="AT79" s="407"/>
      <c r="AU79" s="586"/>
    </row>
    <row r="80" spans="1:47" ht="50" customHeight="1">
      <c r="A80" s="757"/>
      <c r="B80" s="489" t="s">
        <v>199</v>
      </c>
      <c r="C80" s="407"/>
      <c r="D80" s="407"/>
      <c r="E80" s="407"/>
      <c r="F80" s="407"/>
      <c r="G80" s="407"/>
      <c r="H80" s="407"/>
      <c r="I80" s="407"/>
      <c r="J80" s="407"/>
      <c r="K80" s="716" t="s">
        <v>63</v>
      </c>
      <c r="L80" s="717"/>
      <c r="M80" s="717"/>
      <c r="N80" s="717"/>
      <c r="O80" s="718"/>
      <c r="P80" s="709" t="s">
        <v>64</v>
      </c>
      <c r="Q80" s="709"/>
      <c r="R80" s="709"/>
      <c r="S80" s="709"/>
      <c r="T80" s="709"/>
      <c r="U80" s="709"/>
      <c r="V80" s="709"/>
      <c r="W80" s="709"/>
      <c r="X80" s="709"/>
      <c r="Y80" s="709"/>
      <c r="Z80" s="549" t="s">
        <v>338</v>
      </c>
      <c r="AA80" s="408"/>
      <c r="AB80" s="408"/>
      <c r="AC80" s="408"/>
      <c r="AD80" s="408"/>
      <c r="AE80" s="407"/>
      <c r="AF80" s="407"/>
      <c r="AG80" s="407"/>
      <c r="AH80" s="407"/>
      <c r="AI80" s="407"/>
      <c r="AJ80" s="407"/>
      <c r="AK80" s="407"/>
      <c r="AL80" s="407"/>
      <c r="AM80" s="407"/>
      <c r="AN80" s="407"/>
      <c r="AO80" s="407"/>
      <c r="AP80" s="407"/>
      <c r="AQ80" s="407"/>
      <c r="AR80" s="407"/>
      <c r="AS80" s="407"/>
      <c r="AT80" s="407"/>
      <c r="AU80" s="586"/>
    </row>
    <row r="81" spans="1:47" ht="50" customHeight="1">
      <c r="A81" s="758"/>
      <c r="B81" s="489" t="s">
        <v>200</v>
      </c>
      <c r="C81" s="407"/>
      <c r="D81" s="407"/>
      <c r="E81" s="407"/>
      <c r="F81" s="407"/>
      <c r="G81" s="408"/>
      <c r="H81" s="408"/>
      <c r="I81" s="408"/>
      <c r="J81" s="408"/>
      <c r="K81" s="719" t="s">
        <v>63</v>
      </c>
      <c r="L81" s="719"/>
      <c r="M81" s="719"/>
      <c r="N81" s="719"/>
      <c r="O81" s="719"/>
      <c r="P81" s="713" t="s">
        <v>64</v>
      </c>
      <c r="Q81" s="714"/>
      <c r="R81" s="714"/>
      <c r="S81" s="714"/>
      <c r="T81" s="714"/>
      <c r="U81" s="714"/>
      <c r="V81" s="714"/>
      <c r="W81" s="715"/>
      <c r="X81" s="711" t="s">
        <v>338</v>
      </c>
      <c r="Y81" s="712"/>
      <c r="Z81" s="407"/>
      <c r="AA81" s="407"/>
      <c r="AB81" s="407"/>
      <c r="AC81" s="407"/>
      <c r="AD81" s="407"/>
      <c r="AE81" s="407"/>
      <c r="AF81" s="407"/>
      <c r="AG81" s="407"/>
      <c r="AH81" s="407"/>
      <c r="AI81" s="407"/>
      <c r="AJ81" s="407"/>
      <c r="AK81" s="407"/>
      <c r="AL81" s="407"/>
      <c r="AM81" s="407"/>
      <c r="AN81" s="407"/>
      <c r="AO81" s="407"/>
      <c r="AP81" s="407"/>
      <c r="AQ81" s="407"/>
      <c r="AR81" s="407"/>
      <c r="AS81" s="407"/>
      <c r="AT81" s="407"/>
      <c r="AU81" s="586"/>
    </row>
    <row r="82" spans="1:47" s="554" customFormat="1" ht="50" customHeight="1">
      <c r="A82" s="756" t="s">
        <v>333</v>
      </c>
      <c r="B82" s="489" t="s">
        <v>201</v>
      </c>
      <c r="C82" s="455"/>
      <c r="D82" s="455"/>
      <c r="E82" s="455"/>
      <c r="F82" s="455"/>
      <c r="G82" s="455"/>
      <c r="H82" s="455"/>
      <c r="I82" s="455"/>
      <c r="J82" s="455"/>
      <c r="K82" s="455"/>
      <c r="L82" s="455"/>
      <c r="M82" s="408"/>
      <c r="N82" s="719" t="s">
        <v>63</v>
      </c>
      <c r="O82" s="719"/>
      <c r="P82" s="719"/>
      <c r="Q82" s="719"/>
      <c r="R82" s="719"/>
      <c r="S82" s="738" t="s">
        <v>64</v>
      </c>
      <c r="T82" s="739"/>
      <c r="U82" s="739"/>
      <c r="V82" s="739"/>
      <c r="W82" s="739"/>
      <c r="X82" s="739"/>
      <c r="Y82" s="739"/>
      <c r="Z82" s="739"/>
      <c r="AA82" s="740"/>
      <c r="AB82" s="736" t="s">
        <v>338</v>
      </c>
      <c r="AC82" s="737"/>
      <c r="AD82" s="455"/>
      <c r="AE82" s="455"/>
      <c r="AF82" s="455"/>
      <c r="AG82" s="455"/>
      <c r="AH82" s="455"/>
      <c r="AI82" s="455"/>
      <c r="AJ82" s="455"/>
      <c r="AK82" s="455"/>
      <c r="AL82" s="455"/>
      <c r="AM82" s="455"/>
      <c r="AN82" s="455"/>
      <c r="AO82" s="455"/>
      <c r="AP82" s="455"/>
      <c r="AQ82" s="455"/>
      <c r="AR82" s="455"/>
      <c r="AS82" s="455"/>
      <c r="AT82" s="455"/>
      <c r="AU82" s="587"/>
    </row>
    <row r="83" spans="1:47" s="554" customFormat="1" ht="50" customHeight="1">
      <c r="A83" s="758"/>
      <c r="B83" s="489" t="s">
        <v>198</v>
      </c>
      <c r="C83" s="455"/>
      <c r="D83" s="455"/>
      <c r="E83" s="455"/>
      <c r="F83" s="455"/>
      <c r="G83" s="455"/>
      <c r="H83" s="455"/>
      <c r="I83" s="455"/>
      <c r="J83" s="578"/>
      <c r="K83" s="579"/>
      <c r="L83" s="580"/>
      <c r="M83" s="580"/>
      <c r="N83" s="455"/>
      <c r="O83" s="719" t="s">
        <v>63</v>
      </c>
      <c r="P83" s="719"/>
      <c r="Q83" s="719"/>
      <c r="R83" s="719"/>
      <c r="S83" s="719"/>
      <c r="T83" s="709" t="s">
        <v>64</v>
      </c>
      <c r="U83" s="709"/>
      <c r="V83" s="709"/>
      <c r="W83" s="709"/>
      <c r="X83" s="709"/>
      <c r="Y83" s="709"/>
      <c r="Z83" s="709"/>
      <c r="AA83" s="709"/>
      <c r="AB83" s="709"/>
      <c r="AC83" s="709"/>
      <c r="AD83" s="709"/>
      <c r="AE83" s="709"/>
      <c r="AF83" s="741" t="s">
        <v>338</v>
      </c>
      <c r="AG83" s="741"/>
      <c r="AH83" s="408"/>
      <c r="AI83" s="455"/>
      <c r="AJ83" s="455"/>
      <c r="AK83" s="455"/>
      <c r="AL83" s="455"/>
      <c r="AM83" s="455"/>
      <c r="AN83" s="455"/>
      <c r="AO83" s="455"/>
      <c r="AP83" s="455"/>
      <c r="AQ83" s="455"/>
      <c r="AR83" s="455"/>
      <c r="AS83" s="455"/>
      <c r="AT83" s="455"/>
      <c r="AU83" s="587"/>
    </row>
    <row r="84" spans="1:47" s="554" customFormat="1" ht="50" customHeight="1" thickBot="1">
      <c r="A84" s="596" t="s">
        <v>334</v>
      </c>
      <c r="B84" s="600" t="s">
        <v>266</v>
      </c>
      <c r="C84" s="588"/>
      <c r="D84" s="588"/>
      <c r="E84" s="588"/>
      <c r="F84" s="588"/>
      <c r="G84" s="588"/>
      <c r="H84" s="588"/>
      <c r="I84" s="588"/>
      <c r="J84" s="588"/>
      <c r="K84" s="588"/>
      <c r="L84" s="588"/>
      <c r="M84" s="588"/>
      <c r="N84" s="588"/>
      <c r="O84" s="588"/>
      <c r="P84" s="588"/>
      <c r="Q84" s="588"/>
      <c r="R84" s="746" t="s">
        <v>63</v>
      </c>
      <c r="S84" s="746"/>
      <c r="T84" s="747"/>
      <c r="U84" s="747"/>
      <c r="V84" s="747"/>
      <c r="W84" s="742" t="s">
        <v>64</v>
      </c>
      <c r="X84" s="743"/>
      <c r="Y84" s="743"/>
      <c r="Z84" s="743"/>
      <c r="AA84" s="743"/>
      <c r="AB84" s="743"/>
      <c r="AC84" s="743"/>
      <c r="AD84" s="743"/>
      <c r="AE84" s="744" t="s">
        <v>338</v>
      </c>
      <c r="AF84" s="745"/>
      <c r="AG84" s="589"/>
      <c r="AH84" s="589"/>
      <c r="AI84" s="589"/>
      <c r="AJ84" s="589"/>
      <c r="AK84" s="735"/>
      <c r="AL84" s="735"/>
      <c r="AM84" s="590"/>
      <c r="AN84" s="590"/>
      <c r="AO84" s="589"/>
      <c r="AP84" s="589"/>
      <c r="AQ84" s="588"/>
      <c r="AR84" s="588"/>
      <c r="AS84" s="588"/>
      <c r="AT84" s="588"/>
      <c r="AU84" s="591"/>
    </row>
    <row r="85" spans="1:47" ht="23.25" customHeight="1">
      <c r="A85" s="242"/>
      <c r="B85" s="242"/>
      <c r="C85" s="242"/>
      <c r="D85" s="242"/>
      <c r="E85" s="242"/>
      <c r="F85" s="242"/>
      <c r="G85" s="242"/>
      <c r="H85" s="242"/>
      <c r="I85" s="242"/>
      <c r="J85" s="242"/>
      <c r="K85" s="242"/>
      <c r="L85" s="242"/>
      <c r="M85" s="242"/>
      <c r="N85" s="242"/>
      <c r="O85" s="242"/>
      <c r="P85" s="242"/>
      <c r="Q85" s="242"/>
      <c r="R85" s="242"/>
      <c r="S85" s="242"/>
      <c r="T85" s="242"/>
      <c r="U85" s="242"/>
      <c r="V85" s="242"/>
      <c r="W85" s="242"/>
      <c r="X85"/>
      <c r="Y85" s="242"/>
      <c r="Z85" s="242"/>
      <c r="AA85" s="242"/>
      <c r="AB85" s="242"/>
      <c r="AC85" s="242"/>
      <c r="AD85" s="242"/>
      <c r="AE85" s="242"/>
      <c r="AF85" s="242"/>
      <c r="AG85" s="407"/>
      <c r="AH85" s="242"/>
      <c r="AI85" s="242"/>
      <c r="AJ85" s="242"/>
      <c r="AK85" s="407"/>
      <c r="AL85" s="407"/>
      <c r="AM85" s="242"/>
      <c r="AN85" s="242"/>
      <c r="AO85" s="242"/>
      <c r="AP85" s="242"/>
      <c r="AQ85" s="242"/>
      <c r="AR85" s="242"/>
      <c r="AS85" s="242"/>
      <c r="AT85" s="242"/>
    </row>
    <row r="86" spans="1:47" ht="50" customHeight="1">
      <c r="A86" s="683"/>
      <c r="B86" s="242"/>
      <c r="C86" s="242"/>
      <c r="D86" s="242"/>
      <c r="E86" s="242"/>
      <c r="F86" s="242"/>
      <c r="G86" s="242"/>
      <c r="H86" s="242"/>
      <c r="I86" s="242"/>
      <c r="J86" s="242"/>
      <c r="K86" s="242"/>
      <c r="L86" s="242"/>
      <c r="M86" s="242"/>
      <c r="N86" s="242"/>
      <c r="O86" s="242"/>
      <c r="P86" s="242"/>
      <c r="Q86" s="242"/>
      <c r="R86" s="242"/>
      <c r="S86" s="242"/>
      <c r="T86" s="242"/>
      <c r="U86" s="242"/>
      <c r="V86" s="242"/>
      <c r="W86" s="242"/>
      <c r="X86" s="242"/>
      <c r="Y86" s="242"/>
      <c r="Z86" s="242"/>
      <c r="AA86" s="242"/>
      <c r="AB86" s="242"/>
      <c r="AC86" s="242"/>
      <c r="AD86" s="242"/>
      <c r="AE86" s="242"/>
      <c r="AF86" s="242"/>
      <c r="AG86" s="242"/>
      <c r="AH86" s="242"/>
      <c r="AI86" s="242"/>
      <c r="AJ86" s="242"/>
      <c r="AK86" s="242"/>
      <c r="AL86" s="242"/>
      <c r="AM86" s="242"/>
      <c r="AN86" s="242"/>
      <c r="AO86" s="242"/>
      <c r="AP86" s="242"/>
      <c r="AQ86" s="242"/>
      <c r="AR86" s="242"/>
      <c r="AS86" s="242"/>
      <c r="AT86" s="242"/>
    </row>
    <row r="87" spans="1:47" ht="50" customHeight="1">
      <c r="A87" s="683"/>
      <c r="B87" s="242"/>
      <c r="C87" s="242"/>
      <c r="D87" s="242"/>
      <c r="E87" s="242"/>
      <c r="F87" s="242"/>
      <c r="G87" s="242"/>
      <c r="H87" s="242"/>
      <c r="I87" s="242"/>
      <c r="J87" s="242"/>
      <c r="K87" s="242"/>
      <c r="L87" s="242"/>
      <c r="M87" s="242"/>
      <c r="N87" s="242"/>
      <c r="O87" s="242"/>
      <c r="P87" s="242"/>
      <c r="Q87" s="242"/>
      <c r="R87" s="242"/>
      <c r="S87" s="242"/>
      <c r="T87" s="242"/>
      <c r="U87" s="242"/>
      <c r="V87" s="242"/>
      <c r="W87" s="242"/>
      <c r="X87" s="242"/>
      <c r="Y87" s="242"/>
      <c r="Z87" s="242"/>
      <c r="AA87" s="242"/>
      <c r="AB87" s="242"/>
      <c r="AC87" s="242"/>
      <c r="AD87" s="242"/>
      <c r="AE87" s="242"/>
      <c r="AF87" s="242"/>
      <c r="AG87" s="242"/>
      <c r="AH87" s="242"/>
      <c r="AI87" s="242"/>
      <c r="AJ87" s="242"/>
      <c r="AK87" s="242"/>
      <c r="AL87" s="242"/>
      <c r="AM87" s="242"/>
      <c r="AN87" s="242"/>
      <c r="AO87" s="242"/>
      <c r="AP87" s="242"/>
      <c r="AQ87" s="242"/>
      <c r="AR87" s="242"/>
      <c r="AS87" s="242"/>
      <c r="AT87" s="242"/>
    </row>
    <row r="88" spans="1:47" ht="50" customHeight="1"/>
    <row r="89" spans="1:47" ht="50" customHeight="1"/>
    <row r="90" spans="1:47" ht="50" customHeight="1"/>
  </sheetData>
  <mergeCells count="90">
    <mergeCell ref="M21:M22"/>
    <mergeCell ref="M23:M25"/>
    <mergeCell ref="M26:M29"/>
    <mergeCell ref="M30:M34"/>
    <mergeCell ref="F18:F20"/>
    <mergeCell ref="G18:G20"/>
    <mergeCell ref="H16:H17"/>
    <mergeCell ref="M11:M13"/>
    <mergeCell ref="M14:M15"/>
    <mergeCell ref="M16:M17"/>
    <mergeCell ref="M18:M20"/>
    <mergeCell ref="F21:F22"/>
    <mergeCell ref="G21:G22"/>
    <mergeCell ref="F23:F25"/>
    <mergeCell ref="G23:G25"/>
    <mergeCell ref="F30:F34"/>
    <mergeCell ref="G30:G34"/>
    <mergeCell ref="F26:F29"/>
    <mergeCell ref="G26:G29"/>
    <mergeCell ref="F11:F13"/>
    <mergeCell ref="G11:G13"/>
    <mergeCell ref="F14:F15"/>
    <mergeCell ref="G14:G15"/>
    <mergeCell ref="F16:F17"/>
    <mergeCell ref="G16:G17"/>
    <mergeCell ref="J11:J12"/>
    <mergeCell ref="A79:A81"/>
    <mergeCell ref="A82:A83"/>
    <mergeCell ref="N82:R82"/>
    <mergeCell ref="O83:S83"/>
    <mergeCell ref="G79:K79"/>
    <mergeCell ref="A30:A34"/>
    <mergeCell ref="B30:B34"/>
    <mergeCell ref="E30:E34"/>
    <mergeCell ref="E23:E25"/>
    <mergeCell ref="A26:A29"/>
    <mergeCell ref="B26:B29"/>
    <mergeCell ref="E26:E29"/>
    <mergeCell ref="Q76:R76"/>
    <mergeCell ref="E11:E13"/>
    <mergeCell ref="C76:G76"/>
    <mergeCell ref="E16:E17"/>
    <mergeCell ref="E18:E20"/>
    <mergeCell ref="P11:P12"/>
    <mergeCell ref="N15:N16"/>
    <mergeCell ref="E21:E22"/>
    <mergeCell ref="H11:H12"/>
    <mergeCell ref="P15:P16"/>
    <mergeCell ref="O15:O16"/>
    <mergeCell ref="O11:O12"/>
    <mergeCell ref="J15:J16"/>
    <mergeCell ref="A76:A78"/>
    <mergeCell ref="C77:F77"/>
    <mergeCell ref="C78:H78"/>
    <mergeCell ref="I78:P78"/>
    <mergeCell ref="N76:O76"/>
    <mergeCell ref="H76:M76"/>
    <mergeCell ref="G77:L77"/>
    <mergeCell ref="AK84:AL84"/>
    <mergeCell ref="AB82:AC82"/>
    <mergeCell ref="S82:AA82"/>
    <mergeCell ref="T83:AE83"/>
    <mergeCell ref="AF83:AG83"/>
    <mergeCell ref="W84:AD84"/>
    <mergeCell ref="AE84:AF84"/>
    <mergeCell ref="R84:V84"/>
    <mergeCell ref="N11:N12"/>
    <mergeCell ref="A18:A20"/>
    <mergeCell ref="B18:B20"/>
    <mergeCell ref="A23:A25"/>
    <mergeCell ref="B23:B25"/>
    <mergeCell ref="A1:G1"/>
    <mergeCell ref="B3:C3"/>
    <mergeCell ref="B4:C4"/>
    <mergeCell ref="B5:C5"/>
    <mergeCell ref="B2:C2"/>
    <mergeCell ref="A11:A13"/>
    <mergeCell ref="B11:B13"/>
    <mergeCell ref="B6:C6"/>
    <mergeCell ref="B21:B22"/>
    <mergeCell ref="A21:A22"/>
    <mergeCell ref="A16:A17"/>
    <mergeCell ref="B16:B17"/>
    <mergeCell ref="T79:U79"/>
    <mergeCell ref="L79:S79"/>
    <mergeCell ref="P80:Y80"/>
    <mergeCell ref="X81:Y81"/>
    <mergeCell ref="P81:W81"/>
    <mergeCell ref="K80:O80"/>
    <mergeCell ref="K81:O81"/>
  </mergeCells>
  <phoneticPr fontId="167" type="noConversion"/>
  <conditionalFormatting sqref="D74:AU74">
    <cfRule type="cellIs" dxfId="376" priority="1" operator="equal">
      <formula>#REF!</formula>
    </cfRule>
    <cfRule type="cellIs" dxfId="375" priority="2" operator="equal">
      <formula>#REF!</formula>
    </cfRule>
    <cfRule type="cellIs" dxfId="374" priority="3" operator="equal">
      <formula>#REF!</formula>
    </cfRule>
    <cfRule type="cellIs" dxfId="373" priority="4" operator="equal">
      <formula>#REF!</formula>
    </cfRule>
  </conditionalFormatting>
  <conditionalFormatting sqref="G74:AU74">
    <cfRule type="cellIs" dxfId="372" priority="5" operator="equal">
      <formula>#REF!</formula>
    </cfRule>
    <cfRule type="cellIs" dxfId="371" priority="6" operator="equal">
      <formula>#REF!</formula>
    </cfRule>
    <cfRule type="cellIs" dxfId="370" priority="7" operator="equal">
      <formula>#REF!</formula>
    </cfRule>
    <cfRule type="cellIs" dxfId="369" priority="8" operator="equal">
      <formula>#REF!</formula>
    </cfRule>
  </conditionalFormatting>
  <printOptions horizontalCentered="1" verticalCentered="1"/>
  <pageMargins left="0.7" right="0.7" top="0.75" bottom="0.75" header="0.3" footer="0.3"/>
  <pageSetup scale="21"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241EA-A337-4485-A947-6D8E3C7D9046}">
  <sheetPr>
    <tabColor rgb="FFFF0000"/>
  </sheetPr>
  <dimension ref="A2:AB68"/>
  <sheetViews>
    <sheetView tabSelected="1" zoomScale="70" zoomScaleNormal="70" workbookViewId="0">
      <selection activeCell="A2" sqref="A2"/>
    </sheetView>
  </sheetViews>
  <sheetFormatPr defaultRowHeight="17.5"/>
  <cols>
    <col min="1" max="1" width="10.90625" style="242" bestFit="1" customWidth="1"/>
    <col min="2" max="2" width="3" style="242" bestFit="1" customWidth="1"/>
    <col min="3" max="3" width="25.6328125" style="242" bestFit="1" customWidth="1"/>
    <col min="4" max="4" width="25.6328125" style="242" customWidth="1"/>
    <col min="5" max="5" width="21.54296875" style="242" customWidth="1"/>
    <col min="6" max="6" width="27.453125" style="242" bestFit="1" customWidth="1"/>
    <col min="7" max="7" width="25.36328125" style="242" customWidth="1"/>
    <col min="8" max="8" width="31.26953125" style="242" bestFit="1" customWidth="1"/>
    <col min="9" max="9" width="25.36328125" style="242" hidden="1" customWidth="1"/>
    <col min="10" max="11" width="23.08984375" style="242" hidden="1" customWidth="1"/>
    <col min="12" max="12" width="26.90625" style="242" hidden="1" customWidth="1"/>
    <col min="13" max="13" width="16.54296875" style="242" bestFit="1" customWidth="1"/>
    <col min="14" max="14" width="21.54296875" style="242" customWidth="1"/>
    <col min="15" max="15" width="27.453125" style="242" bestFit="1" customWidth="1"/>
    <col min="16" max="16" width="25.36328125" style="242" customWidth="1"/>
    <col min="17" max="17" width="31.26953125" style="242" bestFit="1" customWidth="1"/>
    <col min="18" max="18" width="20.1796875" style="242" customWidth="1"/>
    <col min="19" max="19" width="14.36328125" style="242" customWidth="1"/>
    <col min="20" max="20" width="16.54296875" style="242" customWidth="1"/>
    <col min="21" max="22" width="14.36328125" style="242" customWidth="1"/>
    <col min="23" max="23" width="16.54296875" style="242" customWidth="1"/>
    <col min="24" max="24" width="18.54296875" style="242" customWidth="1"/>
    <col min="25" max="25" width="26" style="242" customWidth="1"/>
    <col min="26" max="26" width="33" style="242" customWidth="1"/>
    <col min="27" max="28" width="37.1796875" style="242" bestFit="1" customWidth="1"/>
    <col min="29" max="16384" width="8.7265625" style="242"/>
  </cols>
  <sheetData>
    <row r="2" spans="1:28">
      <c r="C2" s="555" t="s">
        <v>259</v>
      </c>
      <c r="D2" s="555" t="s">
        <v>327</v>
      </c>
      <c r="E2" s="555" t="s">
        <v>293</v>
      </c>
      <c r="F2" s="555" t="s">
        <v>290</v>
      </c>
      <c r="G2" s="555" t="s">
        <v>312</v>
      </c>
      <c r="H2" s="555" t="s">
        <v>343</v>
      </c>
      <c r="I2" s="555" t="s">
        <v>364</v>
      </c>
      <c r="J2" s="555" t="s">
        <v>295</v>
      </c>
      <c r="K2" s="555" t="s">
        <v>294</v>
      </c>
      <c r="L2" s="555" t="s">
        <v>284</v>
      </c>
      <c r="M2" s="555" t="s">
        <v>102</v>
      </c>
      <c r="N2" s="244" t="s">
        <v>291</v>
      </c>
      <c r="O2" s="244" t="s">
        <v>344</v>
      </c>
      <c r="P2" s="244" t="s">
        <v>292</v>
      </c>
      <c r="Q2" s="244" t="s">
        <v>365</v>
      </c>
      <c r="R2" s="555" t="s">
        <v>205</v>
      </c>
      <c r="S2" s="555" t="s">
        <v>0</v>
      </c>
      <c r="T2" s="555" t="s">
        <v>204</v>
      </c>
      <c r="U2" s="555" t="s">
        <v>285</v>
      </c>
      <c r="V2" s="555" t="s">
        <v>190</v>
      </c>
      <c r="W2" s="555" t="s">
        <v>16</v>
      </c>
      <c r="X2" s="555" t="s">
        <v>267</v>
      </c>
      <c r="Y2" s="555" t="s">
        <v>260</v>
      </c>
      <c r="Z2" s="555" t="s">
        <v>261</v>
      </c>
      <c r="AA2" s="555" t="s">
        <v>336</v>
      </c>
      <c r="AB2" s="555" t="s">
        <v>337</v>
      </c>
    </row>
    <row r="3" spans="1:28">
      <c r="A3" s="242" t="s">
        <v>265</v>
      </c>
      <c r="B3" s="244" t="s">
        <v>194</v>
      </c>
      <c r="C3" s="243" t="s">
        <v>303</v>
      </c>
      <c r="D3" s="243" t="s">
        <v>329</v>
      </c>
      <c r="E3" s="245" t="s">
        <v>288</v>
      </c>
      <c r="F3" s="245" t="s">
        <v>288</v>
      </c>
      <c r="G3" s="245" t="s">
        <v>288</v>
      </c>
      <c r="H3" s="245" t="s">
        <v>288</v>
      </c>
      <c r="I3" s="245" t="s">
        <v>288</v>
      </c>
      <c r="J3" s="245" t="s">
        <v>0</v>
      </c>
      <c r="K3" s="245" t="s">
        <v>288</v>
      </c>
      <c r="L3" s="245" t="s">
        <v>288</v>
      </c>
      <c r="M3" s="246">
        <f>SUM(N3:W3)</f>
        <v>116638.8</v>
      </c>
      <c r="N3" s="246">
        <v>0</v>
      </c>
      <c r="O3" s="246"/>
      <c r="P3" s="246"/>
      <c r="Q3" s="246"/>
      <c r="R3" s="246"/>
      <c r="S3" s="246">
        <v>116638.8</v>
      </c>
      <c r="T3" s="246"/>
      <c r="U3" s="246"/>
      <c r="V3" s="246"/>
      <c r="W3" s="246"/>
      <c r="Y3" s="246" t="str">
        <f>IF(N3&gt;0,"O","X")</f>
        <v>X</v>
      </c>
      <c r="Z3" s="246" t="str">
        <f>IF(Y3="O",IF(W3&gt;0,"O","X"),"X")</f>
        <v>X</v>
      </c>
    </row>
    <row r="4" spans="1:28">
      <c r="B4" s="244" t="s">
        <v>194</v>
      </c>
      <c r="C4" s="243" t="s">
        <v>306</v>
      </c>
      <c r="D4" s="243" t="s">
        <v>329</v>
      </c>
      <c r="E4" s="245" t="s">
        <v>291</v>
      </c>
      <c r="F4" s="245" t="s">
        <v>288</v>
      </c>
      <c r="G4" s="245" t="s">
        <v>288</v>
      </c>
      <c r="H4" s="245" t="s">
        <v>288</v>
      </c>
      <c r="I4" s="245" t="s">
        <v>288</v>
      </c>
      <c r="J4" s="245" t="s">
        <v>0</v>
      </c>
      <c r="K4" s="245" t="s">
        <v>288</v>
      </c>
      <c r="L4" s="245" t="s">
        <v>288</v>
      </c>
      <c r="M4" s="246">
        <f>SUM(N4:W4)</f>
        <v>153188.79999999999</v>
      </c>
      <c r="N4" s="246">
        <v>94373.7</v>
      </c>
      <c r="O4" s="246"/>
      <c r="P4" s="246"/>
      <c r="Q4" s="246"/>
      <c r="R4" s="246"/>
      <c r="S4" s="246">
        <v>58815.1</v>
      </c>
      <c r="T4" s="246"/>
      <c r="U4" s="246"/>
      <c r="V4" s="246"/>
      <c r="W4" s="246"/>
      <c r="Y4" s="246" t="str">
        <f>IF(N4&gt;0,"O","X")</f>
        <v>O</v>
      </c>
      <c r="Z4" s="246" t="str">
        <f>IF(Y4="O",IF(W4&gt;0,"O","X"),"X")</f>
        <v>X</v>
      </c>
    </row>
    <row r="5" spans="1:28">
      <c r="B5" s="244" t="s">
        <v>194</v>
      </c>
      <c r="C5" s="243" t="s">
        <v>304</v>
      </c>
      <c r="D5" s="243" t="s">
        <v>329</v>
      </c>
      <c r="E5" s="245" t="s">
        <v>291</v>
      </c>
      <c r="F5" s="245" t="s">
        <v>288</v>
      </c>
      <c r="G5" s="245" t="s">
        <v>288</v>
      </c>
      <c r="H5" s="245" t="s">
        <v>288</v>
      </c>
      <c r="I5" s="245" t="s">
        <v>288</v>
      </c>
      <c r="J5" s="245" t="s">
        <v>0</v>
      </c>
      <c r="K5" s="245" t="s">
        <v>288</v>
      </c>
      <c r="L5" s="245" t="s">
        <v>288</v>
      </c>
      <c r="M5" s="246">
        <f>SUM(N5:W5)</f>
        <v>99006.3</v>
      </c>
      <c r="N5" s="246">
        <v>56624.4</v>
      </c>
      <c r="O5" s="246"/>
      <c r="P5" s="246"/>
      <c r="Q5" s="246"/>
      <c r="R5" s="246"/>
      <c r="S5" s="246">
        <v>42381.9</v>
      </c>
      <c r="T5" s="246"/>
      <c r="U5" s="246"/>
      <c r="V5" s="246"/>
      <c r="W5" s="246"/>
      <c r="Y5" s="246" t="str">
        <f>IF(N5&gt;0,"O","X")</f>
        <v>O</v>
      </c>
      <c r="Z5" s="246" t="str">
        <f>IF(Y5="O",IF(W5&gt;0,"O","X"),"X")</f>
        <v>X</v>
      </c>
    </row>
    <row r="6" spans="1:28">
      <c r="B6" s="245"/>
      <c r="C6" s="243" t="s">
        <v>194</v>
      </c>
      <c r="D6" s="243"/>
      <c r="E6" s="245"/>
      <c r="F6" s="245"/>
      <c r="G6" s="245"/>
      <c r="H6" s="245"/>
      <c r="I6" s="245"/>
      <c r="J6" s="245"/>
      <c r="K6" s="245"/>
      <c r="L6" s="245"/>
      <c r="M6" s="246">
        <f>SUM(M3:M5)</f>
        <v>368833.89999999997</v>
      </c>
      <c r="N6" s="246">
        <f t="shared" ref="N6:W6" si="0">SUM(N3:N5)</f>
        <v>150998.1</v>
      </c>
      <c r="O6" s="246"/>
      <c r="P6" s="246">
        <f t="shared" si="0"/>
        <v>0</v>
      </c>
      <c r="Q6" s="246"/>
      <c r="R6" s="246">
        <f t="shared" si="0"/>
        <v>0</v>
      </c>
      <c r="S6" s="246">
        <f t="shared" si="0"/>
        <v>217835.8</v>
      </c>
      <c r="T6" s="246">
        <f t="shared" si="0"/>
        <v>0</v>
      </c>
      <c r="U6" s="246">
        <f t="shared" si="0"/>
        <v>0</v>
      </c>
      <c r="V6" s="246">
        <f t="shared" si="0"/>
        <v>0</v>
      </c>
      <c r="W6" s="246">
        <f t="shared" si="0"/>
        <v>0</v>
      </c>
      <c r="Y6" s="246"/>
      <c r="Z6" s="246"/>
    </row>
    <row r="7" spans="1:28">
      <c r="B7" s="245"/>
      <c r="C7" s="243"/>
      <c r="D7" s="243"/>
      <c r="E7" s="245"/>
      <c r="F7" s="245"/>
      <c r="G7" s="245"/>
      <c r="H7" s="245"/>
      <c r="I7" s="245"/>
      <c r="J7" s="245"/>
      <c r="K7" s="245"/>
      <c r="L7" s="245"/>
      <c r="M7" s="246"/>
      <c r="N7" s="246"/>
      <c r="O7" s="246"/>
      <c r="P7" s="246"/>
      <c r="Q7" s="246"/>
      <c r="R7" s="246"/>
      <c r="S7" s="246"/>
      <c r="T7" s="246"/>
      <c r="U7" s="246"/>
      <c r="V7" s="246"/>
      <c r="W7" s="246"/>
      <c r="Y7" s="246"/>
      <c r="Z7" s="246"/>
    </row>
    <row r="8" spans="1:28">
      <c r="B8" s="244" t="s">
        <v>195</v>
      </c>
      <c r="C8" s="243" t="s">
        <v>305</v>
      </c>
      <c r="D8" s="243" t="s">
        <v>328</v>
      </c>
      <c r="E8" s="245" t="s">
        <v>291</v>
      </c>
      <c r="F8" s="245" t="s">
        <v>288</v>
      </c>
      <c r="G8" s="245" t="s">
        <v>292</v>
      </c>
      <c r="H8" s="245" t="s">
        <v>288</v>
      </c>
      <c r="I8" s="245" t="s">
        <v>288</v>
      </c>
      <c r="J8" s="245" t="s">
        <v>0</v>
      </c>
      <c r="K8" s="245" t="s">
        <v>288</v>
      </c>
      <c r="L8" s="245" t="s">
        <v>288</v>
      </c>
      <c r="M8" s="246">
        <f>SUM(N8:W8)</f>
        <v>720441.4</v>
      </c>
      <c r="N8" s="246">
        <v>483272.86000000004</v>
      </c>
      <c r="O8" s="246"/>
      <c r="P8" s="246">
        <v>207116.94</v>
      </c>
      <c r="Q8" s="246"/>
      <c r="R8" s="246"/>
      <c r="S8" s="246">
        <v>30051.599999999999</v>
      </c>
      <c r="T8" s="246"/>
      <c r="U8" s="246"/>
      <c r="V8" s="246"/>
      <c r="W8" s="246"/>
      <c r="Y8" s="246" t="str">
        <f>IF(N8&gt;0,"O","X")</f>
        <v>O</v>
      </c>
      <c r="Z8" s="246" t="str">
        <f>IF(Y8="O",IF(W8&gt;0,"O","X"),"X")</f>
        <v>X</v>
      </c>
    </row>
    <row r="9" spans="1:28">
      <c r="B9" s="245"/>
      <c r="C9" s="243" t="s">
        <v>195</v>
      </c>
      <c r="D9" s="243"/>
      <c r="E9" s="245"/>
      <c r="F9" s="245"/>
      <c r="G9" s="245"/>
      <c r="H9" s="245"/>
      <c r="I9" s="245"/>
      <c r="J9" s="245"/>
      <c r="K9" s="245"/>
      <c r="L9" s="245"/>
      <c r="M9" s="246">
        <f>SUM(M8)</f>
        <v>720441.4</v>
      </c>
      <c r="N9" s="246">
        <f>SUM(N8)</f>
        <v>483272.86000000004</v>
      </c>
      <c r="O9" s="246">
        <f>SUM(O8)</f>
        <v>0</v>
      </c>
      <c r="P9" s="246">
        <f>SUM(P8)</f>
        <v>207116.94</v>
      </c>
      <c r="Q9" s="246">
        <f>SUM(Q8)</f>
        <v>0</v>
      </c>
      <c r="R9" s="246">
        <f t="shared" ref="R9:W9" si="1">SUM(R8)</f>
        <v>0</v>
      </c>
      <c r="S9" s="246">
        <f t="shared" si="1"/>
        <v>30051.599999999999</v>
      </c>
      <c r="T9" s="246">
        <f t="shared" si="1"/>
        <v>0</v>
      </c>
      <c r="U9" s="246">
        <f t="shared" si="1"/>
        <v>0</v>
      </c>
      <c r="V9" s="246">
        <f t="shared" si="1"/>
        <v>0</v>
      </c>
      <c r="W9" s="246">
        <f t="shared" si="1"/>
        <v>0</v>
      </c>
      <c r="Y9" s="246"/>
      <c r="Z9" s="246"/>
    </row>
    <row r="10" spans="1:28">
      <c r="B10" s="245"/>
      <c r="C10" s="243"/>
      <c r="D10" s="243"/>
      <c r="E10" s="245"/>
      <c r="F10" s="245"/>
      <c r="G10" s="245"/>
      <c r="H10" s="245"/>
      <c r="I10" s="245"/>
      <c r="J10" s="245"/>
      <c r="K10" s="245"/>
      <c r="L10" s="245"/>
      <c r="M10" s="246"/>
      <c r="N10" s="246"/>
      <c r="O10" s="246"/>
      <c r="P10" s="246"/>
      <c r="Q10" s="246"/>
      <c r="R10" s="246"/>
      <c r="S10" s="246"/>
      <c r="T10" s="246"/>
      <c r="U10" s="246"/>
      <c r="V10" s="246"/>
      <c r="W10" s="246"/>
      <c r="Y10" s="246"/>
      <c r="Z10" s="246"/>
    </row>
    <row r="11" spans="1:28">
      <c r="B11" s="245" t="s">
        <v>196</v>
      </c>
      <c r="C11" s="243" t="s">
        <v>264</v>
      </c>
      <c r="D11" s="243" t="s">
        <v>328</v>
      </c>
      <c r="E11" s="245" t="s">
        <v>288</v>
      </c>
      <c r="F11" s="245" t="s">
        <v>288</v>
      </c>
      <c r="G11" s="245" t="s">
        <v>288</v>
      </c>
      <c r="H11" s="245" t="s">
        <v>288</v>
      </c>
      <c r="I11" s="245" t="s">
        <v>288</v>
      </c>
      <c r="J11" s="245" t="s">
        <v>0</v>
      </c>
      <c r="K11" s="245" t="s">
        <v>288</v>
      </c>
      <c r="L11" s="245" t="s">
        <v>190</v>
      </c>
      <c r="M11" s="246">
        <f>SUM(N11:W11)</f>
        <v>630836.30000000005</v>
      </c>
      <c r="N11" s="246"/>
      <c r="O11" s="246"/>
      <c r="P11" s="246"/>
      <c r="Q11" s="246"/>
      <c r="R11" s="246"/>
      <c r="S11" s="246">
        <v>290254.09999999998</v>
      </c>
      <c r="T11" s="246"/>
      <c r="U11" s="246"/>
      <c r="V11" s="246">
        <v>207772.5</v>
      </c>
      <c r="W11" s="246">
        <v>132809.70000000001</v>
      </c>
      <c r="X11" s="242" t="s">
        <v>269</v>
      </c>
      <c r="Y11" s="246" t="str">
        <f>IF(N11&gt;0,"O","X")</f>
        <v>X</v>
      </c>
      <c r="Z11" s="246" t="str">
        <f>IF(Y11="O",IF(W11&gt;0,"O","X"),"X")</f>
        <v>X</v>
      </c>
    </row>
    <row r="12" spans="1:28">
      <c r="B12" s="245"/>
      <c r="C12" s="243" t="s">
        <v>196</v>
      </c>
      <c r="D12" s="243"/>
      <c r="E12" s="245"/>
      <c r="F12" s="245"/>
      <c r="G12" s="245"/>
      <c r="H12" s="245"/>
      <c r="I12" s="245"/>
      <c r="J12" s="245"/>
      <c r="K12" s="245"/>
      <c r="L12" s="245"/>
      <c r="M12" s="246">
        <f>SUM(M11)</f>
        <v>630836.30000000005</v>
      </c>
      <c r="N12" s="246">
        <f t="shared" ref="N12:W12" si="2">SUM(N11)</f>
        <v>0</v>
      </c>
      <c r="O12" s="246"/>
      <c r="P12" s="246">
        <f t="shared" si="2"/>
        <v>0</v>
      </c>
      <c r="Q12" s="246"/>
      <c r="R12" s="246">
        <f t="shared" si="2"/>
        <v>0</v>
      </c>
      <c r="S12" s="246">
        <f t="shared" si="2"/>
        <v>290254.09999999998</v>
      </c>
      <c r="T12" s="246">
        <f t="shared" si="2"/>
        <v>0</v>
      </c>
      <c r="U12" s="246">
        <f t="shared" si="2"/>
        <v>0</v>
      </c>
      <c r="V12" s="246">
        <f t="shared" si="2"/>
        <v>207772.5</v>
      </c>
      <c r="W12" s="246">
        <f t="shared" si="2"/>
        <v>132809.70000000001</v>
      </c>
      <c r="Y12" s="246"/>
      <c r="Z12" s="246"/>
    </row>
    <row r="13" spans="1:28">
      <c r="B13" s="245"/>
      <c r="C13" s="243"/>
      <c r="D13" s="243"/>
      <c r="E13" s="245"/>
      <c r="F13" s="245"/>
      <c r="G13" s="245"/>
      <c r="H13" s="245"/>
      <c r="I13" s="245"/>
      <c r="J13" s="245"/>
      <c r="K13" s="245"/>
      <c r="L13" s="245"/>
      <c r="M13" s="246"/>
      <c r="N13" s="246"/>
      <c r="O13" s="246"/>
      <c r="P13" s="614"/>
      <c r="Q13" s="246"/>
      <c r="R13" s="246"/>
      <c r="S13" s="246"/>
      <c r="T13" s="246"/>
      <c r="U13" s="246"/>
      <c r="V13" s="246"/>
      <c r="W13" s="246"/>
      <c r="Y13" s="246"/>
      <c r="Z13" s="246"/>
    </row>
    <row r="14" spans="1:28">
      <c r="B14" s="244" t="s">
        <v>197</v>
      </c>
      <c r="C14" s="243" t="s">
        <v>244</v>
      </c>
      <c r="D14" s="243" t="s">
        <v>329</v>
      </c>
      <c r="E14" s="245" t="s">
        <v>288</v>
      </c>
      <c r="F14" s="245" t="s">
        <v>344</v>
      </c>
      <c r="G14" s="245" t="s">
        <v>288</v>
      </c>
      <c r="H14" s="245" t="s">
        <v>365</v>
      </c>
      <c r="I14" s="245" t="s">
        <v>288</v>
      </c>
      <c r="J14" s="245" t="s">
        <v>288</v>
      </c>
      <c r="K14" s="245" t="s">
        <v>288</v>
      </c>
      <c r="L14" s="245" t="s">
        <v>288</v>
      </c>
      <c r="M14" s="246">
        <f>SUM(N14:W14)</f>
        <v>278773.7</v>
      </c>
      <c r="N14" s="246"/>
      <c r="O14" s="248">
        <v>192352.59000000003</v>
      </c>
      <c r="P14" s="246"/>
      <c r="Q14" s="248">
        <v>21372.510000000006</v>
      </c>
      <c r="R14" s="246"/>
      <c r="S14" s="246"/>
      <c r="T14" s="246"/>
      <c r="U14" s="246"/>
      <c r="V14" s="246"/>
      <c r="W14" s="246">
        <v>65048.6</v>
      </c>
      <c r="X14" s="242" t="s">
        <v>79</v>
      </c>
      <c r="Y14" s="246" t="str">
        <f>IF(N14&gt;0,"O","X")</f>
        <v>X</v>
      </c>
      <c r="Z14" s="246" t="str">
        <f>IF(Y14="O",IF(W14&gt;0,"O","X"),"X")</f>
        <v>X</v>
      </c>
    </row>
    <row r="15" spans="1:28">
      <c r="B15" s="244" t="s">
        <v>197</v>
      </c>
      <c r="C15" s="243" t="s">
        <v>245</v>
      </c>
      <c r="D15" s="243" t="s">
        <v>329</v>
      </c>
      <c r="E15" s="245" t="s">
        <v>288</v>
      </c>
      <c r="F15" s="245" t="s">
        <v>344</v>
      </c>
      <c r="G15" s="245" t="s">
        <v>288</v>
      </c>
      <c r="H15" s="245" t="s">
        <v>365</v>
      </c>
      <c r="I15" s="245" t="s">
        <v>288</v>
      </c>
      <c r="J15" s="245" t="s">
        <v>288</v>
      </c>
      <c r="K15" s="245" t="s">
        <v>288</v>
      </c>
      <c r="L15" s="245" t="s">
        <v>288</v>
      </c>
      <c r="M15" s="246">
        <f>SUM(N15:W15)</f>
        <v>257407.7</v>
      </c>
      <c r="N15" s="246"/>
      <c r="O15" s="246">
        <v>153721.89000000001</v>
      </c>
      <c r="P15" s="246"/>
      <c r="Q15" s="246">
        <v>17080.210000000003</v>
      </c>
      <c r="R15" s="246"/>
      <c r="S15" s="246"/>
      <c r="T15" s="246"/>
      <c r="U15" s="246"/>
      <c r="V15" s="246"/>
      <c r="W15" s="246">
        <v>86605.6</v>
      </c>
      <c r="X15" s="242" t="s">
        <v>79</v>
      </c>
      <c r="Y15" s="246" t="str">
        <f>IF(N15&gt;0,"O","X")</f>
        <v>X</v>
      </c>
      <c r="Z15" s="246" t="str">
        <f>IF(Y15="O",IF(W15&gt;0,"O","X"),"X")</f>
        <v>X</v>
      </c>
    </row>
    <row r="16" spans="1:28">
      <c r="C16" s="243" t="s">
        <v>197</v>
      </c>
      <c r="D16" s="243"/>
      <c r="M16" s="248">
        <f>SUM(M14:M15)</f>
        <v>536181.4</v>
      </c>
      <c r="N16" s="248">
        <f t="shared" ref="N16:W16" si="3">SUM(N14:N15)</f>
        <v>0</v>
      </c>
      <c r="O16" s="248">
        <f t="shared" si="3"/>
        <v>346074.48000000004</v>
      </c>
      <c r="P16" s="248">
        <f t="shared" si="3"/>
        <v>0</v>
      </c>
      <c r="Q16" s="248">
        <f t="shared" si="3"/>
        <v>38452.720000000008</v>
      </c>
      <c r="R16" s="248">
        <f t="shared" si="3"/>
        <v>0</v>
      </c>
      <c r="S16" s="248">
        <f t="shared" si="3"/>
        <v>0</v>
      </c>
      <c r="T16" s="248">
        <f t="shared" si="3"/>
        <v>0</v>
      </c>
      <c r="U16" s="248">
        <f t="shared" si="3"/>
        <v>0</v>
      </c>
      <c r="V16" s="248">
        <f t="shared" si="3"/>
        <v>0</v>
      </c>
      <c r="W16" s="248">
        <f t="shared" si="3"/>
        <v>151654.20000000001</v>
      </c>
      <c r="Y16" s="248"/>
      <c r="Z16" s="248"/>
    </row>
    <row r="17" spans="2:26">
      <c r="C17" s="243"/>
      <c r="D17" s="243"/>
      <c r="M17" s="248"/>
      <c r="Y17" s="248"/>
      <c r="Z17" s="248"/>
    </row>
    <row r="18" spans="2:26">
      <c r="B18" s="244" t="s">
        <v>199</v>
      </c>
      <c r="C18" s="243" t="s">
        <v>286</v>
      </c>
      <c r="D18" s="243" t="s">
        <v>328</v>
      </c>
      <c r="E18" s="245" t="s">
        <v>288</v>
      </c>
      <c r="F18" s="245" t="s">
        <v>288</v>
      </c>
      <c r="G18" s="245" t="s">
        <v>288</v>
      </c>
      <c r="H18" s="245" t="s">
        <v>288</v>
      </c>
      <c r="I18" s="245" t="s">
        <v>288</v>
      </c>
      <c r="J18" s="245" t="s">
        <v>288</v>
      </c>
      <c r="K18" s="245" t="s">
        <v>288</v>
      </c>
      <c r="L18" s="245" t="s">
        <v>285</v>
      </c>
      <c r="M18" s="246">
        <f>SUM(N18:W18)</f>
        <v>148526.1</v>
      </c>
      <c r="N18" s="246"/>
      <c r="O18" s="246"/>
      <c r="P18" s="246"/>
      <c r="Q18" s="246"/>
      <c r="R18" s="246"/>
      <c r="S18" s="246">
        <v>30691.4</v>
      </c>
      <c r="T18" s="246"/>
      <c r="U18" s="246">
        <v>117834.7</v>
      </c>
      <c r="V18" s="246"/>
      <c r="W18" s="246"/>
      <c r="Y18" s="246" t="str">
        <f>IF(N18&gt;0,"O","X")</f>
        <v>X</v>
      </c>
      <c r="Z18" s="246" t="str">
        <f>IF(Y18="O",IF(W18&gt;0,"O","X"),"X")</f>
        <v>X</v>
      </c>
    </row>
    <row r="19" spans="2:26">
      <c r="B19" s="244" t="s">
        <v>199</v>
      </c>
      <c r="C19" s="243" t="s">
        <v>287</v>
      </c>
      <c r="D19" s="243" t="s">
        <v>328</v>
      </c>
      <c r="E19" s="245" t="s">
        <v>288</v>
      </c>
      <c r="F19" s="245" t="s">
        <v>288</v>
      </c>
      <c r="G19" s="245" t="s">
        <v>288</v>
      </c>
      <c r="H19" s="245" t="s">
        <v>288</v>
      </c>
      <c r="I19" s="245" t="s">
        <v>288</v>
      </c>
      <c r="J19" s="245" t="s">
        <v>288</v>
      </c>
      <c r="K19" s="245" t="s">
        <v>288</v>
      </c>
      <c r="L19" s="245" t="s">
        <v>285</v>
      </c>
      <c r="M19" s="246">
        <f>SUM(N19:W19)</f>
        <v>327104.19999999995</v>
      </c>
      <c r="N19" s="246"/>
      <c r="O19" s="246"/>
      <c r="P19" s="246"/>
      <c r="Q19" s="246"/>
      <c r="R19" s="246"/>
      <c r="S19" s="246">
        <v>93051.9</v>
      </c>
      <c r="T19" s="246"/>
      <c r="U19" s="246">
        <v>234052.3</v>
      </c>
      <c r="V19" s="246"/>
      <c r="W19" s="246"/>
      <c r="Y19" s="246" t="str">
        <f>IF(N19&gt;0,"O","X")</f>
        <v>X</v>
      </c>
      <c r="Z19" s="246" t="str">
        <f>IF(Y19="O",IF(W19&gt;0,"O","X"),"X")</f>
        <v>X</v>
      </c>
    </row>
    <row r="20" spans="2:26">
      <c r="B20" s="244" t="s">
        <v>199</v>
      </c>
      <c r="C20" s="243" t="s">
        <v>307</v>
      </c>
      <c r="D20" s="243" t="s">
        <v>328</v>
      </c>
      <c r="E20" s="245" t="s">
        <v>288</v>
      </c>
      <c r="F20" s="245" t="s">
        <v>288</v>
      </c>
      <c r="G20" s="245" t="s">
        <v>288</v>
      </c>
      <c r="H20" s="245" t="s">
        <v>288</v>
      </c>
      <c r="I20" s="245" t="s">
        <v>288</v>
      </c>
      <c r="J20" s="245" t="s">
        <v>204</v>
      </c>
      <c r="K20" s="245" t="s">
        <v>0</v>
      </c>
      <c r="L20" s="245" t="s">
        <v>288</v>
      </c>
      <c r="M20" s="246">
        <f>SUM(N20:W20)</f>
        <v>800233.5</v>
      </c>
      <c r="N20" s="246"/>
      <c r="O20" s="246"/>
      <c r="P20" s="246"/>
      <c r="Q20" s="246"/>
      <c r="R20" s="246"/>
      <c r="S20" s="246">
        <v>94576.9</v>
      </c>
      <c r="T20" s="246">
        <v>536410</v>
      </c>
      <c r="U20" s="246"/>
      <c r="V20" s="246"/>
      <c r="W20" s="246">
        <v>169246.6</v>
      </c>
      <c r="X20" s="242" t="s">
        <v>269</v>
      </c>
      <c r="Y20" s="246" t="str">
        <f>IF(N20&gt;0,"O","X")</f>
        <v>X</v>
      </c>
      <c r="Z20" s="246" t="str">
        <f>IF(Y20="O",IF(W20&gt;0,"O","X"),"X")</f>
        <v>X</v>
      </c>
    </row>
    <row r="21" spans="2:26">
      <c r="B21" s="245"/>
      <c r="C21" s="247" t="s">
        <v>199</v>
      </c>
      <c r="D21" s="247"/>
      <c r="E21" s="245"/>
      <c r="F21" s="245"/>
      <c r="G21" s="245"/>
      <c r="H21" s="245"/>
      <c r="I21" s="245"/>
      <c r="J21" s="245"/>
      <c r="K21" s="245"/>
      <c r="L21" s="245"/>
      <c r="M21" s="246">
        <f>SUM(M18:M20)</f>
        <v>1275863.7999999998</v>
      </c>
      <c r="N21" s="246">
        <f t="shared" ref="N21:W21" si="4">SUM(N18:N20)</f>
        <v>0</v>
      </c>
      <c r="O21" s="246"/>
      <c r="P21" s="246">
        <f t="shared" si="4"/>
        <v>0</v>
      </c>
      <c r="Q21" s="246"/>
      <c r="R21" s="246">
        <f t="shared" si="4"/>
        <v>0</v>
      </c>
      <c r="S21" s="246">
        <f t="shared" si="4"/>
        <v>218320.19999999998</v>
      </c>
      <c r="T21" s="246">
        <f t="shared" si="4"/>
        <v>536410</v>
      </c>
      <c r="U21" s="246">
        <f t="shared" si="4"/>
        <v>351887</v>
      </c>
      <c r="V21" s="246">
        <f t="shared" si="4"/>
        <v>0</v>
      </c>
      <c r="W21" s="246">
        <f t="shared" si="4"/>
        <v>169246.6</v>
      </c>
      <c r="X21" s="242" t="s">
        <v>269</v>
      </c>
      <c r="Y21" s="246"/>
      <c r="Z21" s="246"/>
    </row>
    <row r="22" spans="2:26">
      <c r="B22" s="245"/>
      <c r="C22" s="243"/>
      <c r="D22" s="243"/>
      <c r="E22" s="245"/>
      <c r="F22" s="245"/>
      <c r="G22" s="245"/>
      <c r="H22" s="245"/>
      <c r="I22" s="245"/>
      <c r="J22" s="245"/>
      <c r="K22" s="245"/>
      <c r="L22" s="245"/>
      <c r="M22" s="246"/>
      <c r="N22" s="246">
        <v>0</v>
      </c>
      <c r="O22" s="246"/>
      <c r="P22" s="246"/>
      <c r="Q22" s="246"/>
      <c r="R22" s="246"/>
      <c r="S22" s="246"/>
      <c r="T22" s="246"/>
      <c r="U22" s="246"/>
      <c r="V22" s="246"/>
      <c r="W22" s="246"/>
      <c r="Y22" s="246"/>
      <c r="Z22" s="246"/>
    </row>
    <row r="23" spans="2:26">
      <c r="B23" s="244" t="s">
        <v>200</v>
      </c>
      <c r="C23" s="243" t="s">
        <v>246</v>
      </c>
      <c r="D23" s="243" t="s">
        <v>329</v>
      </c>
      <c r="E23" s="245" t="s">
        <v>291</v>
      </c>
      <c r="F23" s="245" t="s">
        <v>288</v>
      </c>
      <c r="G23" s="245" t="s">
        <v>292</v>
      </c>
      <c r="H23" s="245" t="s">
        <v>288</v>
      </c>
      <c r="I23" s="245" t="s">
        <v>288</v>
      </c>
      <c r="J23" s="245" t="s">
        <v>288</v>
      </c>
      <c r="K23" s="245" t="s">
        <v>288</v>
      </c>
      <c r="L23" s="245" t="s">
        <v>288</v>
      </c>
      <c r="M23" s="246">
        <f>SUM(N23:W23)</f>
        <v>331467</v>
      </c>
      <c r="N23" s="246">
        <v>203070.90999999997</v>
      </c>
      <c r="O23" s="246"/>
      <c r="P23" s="246">
        <v>87030.39</v>
      </c>
      <c r="Q23" s="246"/>
      <c r="R23" s="246"/>
      <c r="S23" s="246"/>
      <c r="T23" s="246"/>
      <c r="U23" s="246"/>
      <c r="V23" s="246"/>
      <c r="W23" s="246">
        <v>41365.699999999997</v>
      </c>
      <c r="X23" s="242" t="s">
        <v>79</v>
      </c>
      <c r="Y23" s="246" t="str">
        <f>IF(N23&gt;0,"O","X")</f>
        <v>O</v>
      </c>
      <c r="Z23" s="246" t="str">
        <f>IF(Y23="O",IF(W23&gt;0,"O","X"),"X")</f>
        <v>O</v>
      </c>
    </row>
    <row r="24" spans="2:26">
      <c r="B24" s="244" t="s">
        <v>200</v>
      </c>
      <c r="C24" s="243" t="s">
        <v>247</v>
      </c>
      <c r="D24" s="243" t="s">
        <v>329</v>
      </c>
      <c r="E24" s="245" t="s">
        <v>291</v>
      </c>
      <c r="F24" s="245" t="s">
        <v>288</v>
      </c>
      <c r="G24" s="245" t="s">
        <v>292</v>
      </c>
      <c r="H24" s="245" t="s">
        <v>288</v>
      </c>
      <c r="I24" s="245" t="s">
        <v>288</v>
      </c>
      <c r="J24" s="245" t="s">
        <v>288</v>
      </c>
      <c r="K24" s="245" t="s">
        <v>288</v>
      </c>
      <c r="L24" s="245" t="s">
        <v>288</v>
      </c>
      <c r="M24" s="246">
        <f>SUM(N24:W24)</f>
        <v>287959</v>
      </c>
      <c r="N24" s="246">
        <v>170400.15999999997</v>
      </c>
      <c r="O24" s="246"/>
      <c r="P24" s="246">
        <v>73028.639999999999</v>
      </c>
      <c r="Q24" s="246"/>
      <c r="R24" s="246"/>
      <c r="S24" s="246"/>
      <c r="T24" s="246"/>
      <c r="U24" s="246"/>
      <c r="V24" s="246"/>
      <c r="W24" s="246">
        <v>44530.2</v>
      </c>
      <c r="X24" s="242" t="s">
        <v>79</v>
      </c>
      <c r="Y24" s="246" t="str">
        <f>IF(N24&gt;0,"O","X")</f>
        <v>O</v>
      </c>
      <c r="Z24" s="246" t="str">
        <f>IF(Y24="O",IF(W24&gt;0,"O","X"),"X")</f>
        <v>O</v>
      </c>
    </row>
    <row r="25" spans="2:26">
      <c r="B25" s="244"/>
      <c r="C25" s="243" t="s">
        <v>200</v>
      </c>
      <c r="D25" s="243"/>
      <c r="E25" s="245"/>
      <c r="F25" s="245"/>
      <c r="G25" s="245"/>
      <c r="H25" s="245"/>
      <c r="I25" s="245"/>
      <c r="J25" s="245"/>
      <c r="K25" s="245"/>
      <c r="L25" s="245"/>
      <c r="M25" s="246">
        <f>SUM(M23:M24)</f>
        <v>619426</v>
      </c>
      <c r="N25" s="246">
        <f>SUM(N23:N24)</f>
        <v>373471.06999999995</v>
      </c>
      <c r="O25" s="246"/>
      <c r="P25" s="246">
        <f>SUM(P23:P24)</f>
        <v>160059.03</v>
      </c>
      <c r="Q25" s="246"/>
      <c r="R25" s="246">
        <f t="shared" ref="R25:W25" si="5">SUM(R23:R24)</f>
        <v>0</v>
      </c>
      <c r="S25" s="246">
        <f t="shared" si="5"/>
        <v>0</v>
      </c>
      <c r="T25" s="246">
        <f t="shared" si="5"/>
        <v>0</v>
      </c>
      <c r="U25" s="246">
        <f t="shared" si="5"/>
        <v>0</v>
      </c>
      <c r="V25" s="246">
        <f t="shared" si="5"/>
        <v>0</v>
      </c>
      <c r="W25" s="246">
        <f t="shared" si="5"/>
        <v>85895.9</v>
      </c>
      <c r="Y25" s="246"/>
      <c r="Z25" s="246"/>
    </row>
    <row r="26" spans="2:26">
      <c r="B26" s="244"/>
      <c r="C26" s="243"/>
      <c r="D26" s="243"/>
      <c r="E26" s="245"/>
      <c r="F26" s="245"/>
      <c r="G26" s="245"/>
      <c r="H26" s="245"/>
      <c r="I26" s="245"/>
      <c r="J26" s="245"/>
      <c r="K26" s="245"/>
      <c r="L26" s="245"/>
      <c r="M26" s="246"/>
      <c r="N26" s="246"/>
      <c r="O26" s="246"/>
      <c r="P26" s="246"/>
      <c r="Q26" s="246"/>
      <c r="R26" s="246"/>
      <c r="S26" s="246"/>
      <c r="T26" s="246"/>
      <c r="U26" s="246"/>
      <c r="V26" s="246"/>
      <c r="W26" s="246"/>
      <c r="Y26" s="246"/>
      <c r="Z26" s="246"/>
    </row>
    <row r="27" spans="2:26">
      <c r="B27" s="244" t="s">
        <v>201</v>
      </c>
      <c r="C27" s="243" t="s">
        <v>249</v>
      </c>
      <c r="D27" s="243" t="s">
        <v>329</v>
      </c>
      <c r="E27" s="245" t="s">
        <v>291</v>
      </c>
      <c r="F27" s="245" t="s">
        <v>288</v>
      </c>
      <c r="G27" s="245" t="s">
        <v>292</v>
      </c>
      <c r="H27" s="245" t="s">
        <v>288</v>
      </c>
      <c r="I27" s="245" t="s">
        <v>288</v>
      </c>
      <c r="J27" s="245" t="s">
        <v>288</v>
      </c>
      <c r="K27" s="245" t="s">
        <v>288</v>
      </c>
      <c r="L27" s="245" t="s">
        <v>288</v>
      </c>
      <c r="M27" s="246">
        <f>SUM(N27:W27)</f>
        <v>180158.1</v>
      </c>
      <c r="N27" s="246">
        <v>106999.9</v>
      </c>
      <c r="O27" s="246"/>
      <c r="P27" s="246">
        <v>45857.1</v>
      </c>
      <c r="Q27" s="246"/>
      <c r="R27" s="246"/>
      <c r="S27" s="246"/>
      <c r="T27" s="246"/>
      <c r="U27" s="246"/>
      <c r="V27" s="246"/>
      <c r="W27" s="246">
        <v>27301.1</v>
      </c>
      <c r="X27" s="242" t="s">
        <v>79</v>
      </c>
      <c r="Y27" s="246" t="str">
        <f>IF(N27&gt;0,"O","X")</f>
        <v>O</v>
      </c>
      <c r="Z27" s="246" t="str">
        <f>IF(Y27="O",IF(W27&gt;0,"O","X"),"X")</f>
        <v>O</v>
      </c>
    </row>
    <row r="28" spans="2:26">
      <c r="B28" s="244" t="s">
        <v>201</v>
      </c>
      <c r="C28" s="243" t="s">
        <v>250</v>
      </c>
      <c r="D28" s="243" t="s">
        <v>329</v>
      </c>
      <c r="E28" s="245" t="s">
        <v>291</v>
      </c>
      <c r="F28" s="245" t="s">
        <v>288</v>
      </c>
      <c r="G28" s="245" t="s">
        <v>292</v>
      </c>
      <c r="H28" s="245" t="s">
        <v>288</v>
      </c>
      <c r="I28" s="245" t="s">
        <v>288</v>
      </c>
      <c r="J28" s="245" t="s">
        <v>288</v>
      </c>
      <c r="K28" s="245" t="s">
        <v>288</v>
      </c>
      <c r="L28" s="245" t="s">
        <v>288</v>
      </c>
      <c r="M28" s="246">
        <f>SUM(N28:W28)</f>
        <v>108759.8</v>
      </c>
      <c r="N28" s="246">
        <v>64787.8</v>
      </c>
      <c r="O28" s="246"/>
      <c r="P28" s="246">
        <v>27766.2</v>
      </c>
      <c r="Q28" s="246"/>
      <c r="R28" s="246"/>
      <c r="S28" s="246"/>
      <c r="T28" s="246"/>
      <c r="U28" s="246"/>
      <c r="V28" s="246"/>
      <c r="W28" s="246">
        <v>16205.8</v>
      </c>
      <c r="X28" s="242" t="s">
        <v>79</v>
      </c>
      <c r="Y28" s="246" t="str">
        <f>IF(N28&gt;0,"O","X")</f>
        <v>O</v>
      </c>
      <c r="Z28" s="246" t="str">
        <f>IF(Y28="O",IF(W28&gt;0,"O","X"),"X")</f>
        <v>O</v>
      </c>
    </row>
    <row r="29" spans="2:26">
      <c r="B29" s="244" t="s">
        <v>201</v>
      </c>
      <c r="C29" s="243" t="s">
        <v>386</v>
      </c>
      <c r="D29" s="243" t="s">
        <v>329</v>
      </c>
      <c r="E29" s="245" t="s">
        <v>291</v>
      </c>
      <c r="F29" s="245" t="s">
        <v>288</v>
      </c>
      <c r="G29" s="245" t="s">
        <v>292</v>
      </c>
      <c r="H29" s="245" t="s">
        <v>288</v>
      </c>
      <c r="I29" s="245" t="s">
        <v>288</v>
      </c>
      <c r="J29" s="245" t="s">
        <v>288</v>
      </c>
      <c r="K29" s="245" t="s">
        <v>288</v>
      </c>
      <c r="L29" s="245" t="s">
        <v>288</v>
      </c>
      <c r="M29" s="246">
        <f>SUM(N29:W29)</f>
        <v>394970.1</v>
      </c>
      <c r="N29" s="246">
        <v>247422.21</v>
      </c>
      <c r="O29" s="246"/>
      <c r="P29" s="246">
        <v>106038.09</v>
      </c>
      <c r="Q29" s="246"/>
      <c r="R29" s="246"/>
      <c r="S29" s="246"/>
      <c r="T29" s="246"/>
      <c r="U29" s="246"/>
      <c r="V29" s="246"/>
      <c r="W29" s="246">
        <v>41509.800000000003</v>
      </c>
      <c r="X29" s="242" t="s">
        <v>79</v>
      </c>
      <c r="Y29" s="246" t="str">
        <f>IF(N29&gt;0,"O","X")</f>
        <v>O</v>
      </c>
      <c r="Z29" s="246" t="str">
        <f>IF(Y29="O",IF(W29&gt;0,"O","X"),"X")</f>
        <v>O</v>
      </c>
    </row>
    <row r="30" spans="2:26">
      <c r="B30" s="244"/>
      <c r="C30" s="243" t="s">
        <v>201</v>
      </c>
      <c r="D30" s="243"/>
      <c r="E30" s="245"/>
      <c r="F30" s="245"/>
      <c r="G30" s="245"/>
      <c r="H30" s="245"/>
      <c r="I30" s="245"/>
      <c r="J30" s="245"/>
      <c r="K30" s="245"/>
      <c r="L30" s="245"/>
      <c r="M30" s="246">
        <f>SUM(M27:M29)</f>
        <v>683888</v>
      </c>
      <c r="N30" s="246">
        <f t="shared" ref="N30:W30" si="6">SUM(N27:N29)</f>
        <v>419209.91000000003</v>
      </c>
      <c r="O30" s="246"/>
      <c r="P30" s="246">
        <f t="shared" si="6"/>
        <v>179661.39</v>
      </c>
      <c r="Q30" s="246"/>
      <c r="R30" s="246">
        <f t="shared" si="6"/>
        <v>0</v>
      </c>
      <c r="S30" s="246">
        <f t="shared" si="6"/>
        <v>0</v>
      </c>
      <c r="T30" s="246">
        <f t="shared" si="6"/>
        <v>0</v>
      </c>
      <c r="U30" s="246">
        <f t="shared" si="6"/>
        <v>0</v>
      </c>
      <c r="V30" s="246">
        <f t="shared" si="6"/>
        <v>0</v>
      </c>
      <c r="W30" s="246">
        <f t="shared" si="6"/>
        <v>85016.7</v>
      </c>
      <c r="Y30" s="246"/>
      <c r="Z30" s="246"/>
    </row>
    <row r="31" spans="2:26">
      <c r="B31" s="244"/>
      <c r="C31" s="243"/>
      <c r="D31" s="243"/>
      <c r="E31" s="245"/>
      <c r="F31" s="245"/>
      <c r="G31" s="245"/>
      <c r="H31" s="245"/>
      <c r="I31" s="245"/>
      <c r="J31" s="245"/>
      <c r="K31" s="245"/>
      <c r="L31" s="245"/>
      <c r="M31" s="246"/>
      <c r="N31" s="246"/>
      <c r="O31" s="246"/>
      <c r="P31" s="246"/>
      <c r="Q31" s="246"/>
      <c r="R31" s="246"/>
      <c r="S31" s="246"/>
      <c r="T31" s="246"/>
      <c r="U31" s="246"/>
      <c r="V31" s="246"/>
      <c r="W31" s="246"/>
      <c r="Y31" s="246"/>
      <c r="Z31" s="246"/>
    </row>
    <row r="32" spans="2:26">
      <c r="B32" s="244" t="s">
        <v>198</v>
      </c>
      <c r="C32" s="243" t="s">
        <v>308</v>
      </c>
      <c r="D32" s="243" t="s">
        <v>328</v>
      </c>
      <c r="E32" s="245" t="s">
        <v>288</v>
      </c>
      <c r="F32" s="245" t="s">
        <v>288</v>
      </c>
      <c r="G32" s="245" t="s">
        <v>288</v>
      </c>
      <c r="H32" s="245" t="s">
        <v>288</v>
      </c>
      <c r="I32" s="245" t="s">
        <v>288</v>
      </c>
      <c r="J32" s="245" t="s">
        <v>204</v>
      </c>
      <c r="K32" s="245" t="s">
        <v>288</v>
      </c>
      <c r="L32" s="245" t="s">
        <v>288</v>
      </c>
      <c r="M32" s="246">
        <f>SUM(N32:W32)</f>
        <v>226826.2</v>
      </c>
      <c r="N32" s="246">
        <v>0</v>
      </c>
      <c r="O32" s="246"/>
      <c r="P32" s="246"/>
      <c r="Q32" s="246"/>
      <c r="R32" s="246"/>
      <c r="S32" s="246"/>
      <c r="T32" s="246">
        <v>160109.9</v>
      </c>
      <c r="U32" s="246"/>
      <c r="V32" s="246"/>
      <c r="W32" s="246">
        <v>66716.3</v>
      </c>
      <c r="X32" s="242" t="s">
        <v>269</v>
      </c>
      <c r="Y32" s="246" t="str">
        <f>IF(N32&gt;0,"O","X")</f>
        <v>X</v>
      </c>
      <c r="Z32" s="246" t="str">
        <f>IF(Y32="O",IF(W32&gt;0,"O","X"),"X")</f>
        <v>X</v>
      </c>
    </row>
    <row r="33" spans="2:26">
      <c r="B33" s="244" t="s">
        <v>198</v>
      </c>
      <c r="C33" s="243" t="s">
        <v>309</v>
      </c>
      <c r="D33" s="243" t="s">
        <v>328</v>
      </c>
      <c r="E33" s="245" t="s">
        <v>288</v>
      </c>
      <c r="F33" s="245" t="s">
        <v>288</v>
      </c>
      <c r="G33" s="245" t="s">
        <v>288</v>
      </c>
      <c r="H33" s="245" t="s">
        <v>288</v>
      </c>
      <c r="I33" s="245" t="s">
        <v>288</v>
      </c>
      <c r="J33" s="245" t="s">
        <v>204</v>
      </c>
      <c r="K33" s="245" t="s">
        <v>288</v>
      </c>
      <c r="L33" s="245" t="s">
        <v>288</v>
      </c>
      <c r="M33" s="246">
        <f>SUM(N33:W33)</f>
        <v>216281.40000000002</v>
      </c>
      <c r="N33" s="246">
        <v>0</v>
      </c>
      <c r="O33" s="246"/>
      <c r="P33" s="246"/>
      <c r="Q33" s="246"/>
      <c r="R33" s="246"/>
      <c r="S33" s="246"/>
      <c r="T33" s="246">
        <v>152078.6</v>
      </c>
      <c r="U33" s="246"/>
      <c r="V33" s="246"/>
      <c r="W33" s="246">
        <v>64202.8</v>
      </c>
      <c r="X33" s="242" t="s">
        <v>269</v>
      </c>
      <c r="Y33" s="246" t="str">
        <f>IF(N33&gt;0,"O","X")</f>
        <v>X</v>
      </c>
      <c r="Z33" s="246" t="str">
        <f>IF(Y33="O",IF(W33&gt;0,"O","X"),"X")</f>
        <v>X</v>
      </c>
    </row>
    <row r="34" spans="2:26">
      <c r="B34" s="244" t="s">
        <v>198</v>
      </c>
      <c r="C34" s="243" t="s">
        <v>310</v>
      </c>
      <c r="D34" s="243" t="s">
        <v>328</v>
      </c>
      <c r="E34" s="245" t="s">
        <v>288</v>
      </c>
      <c r="F34" s="245" t="s">
        <v>288</v>
      </c>
      <c r="G34" s="245" t="s">
        <v>288</v>
      </c>
      <c r="H34" s="245" t="s">
        <v>288</v>
      </c>
      <c r="I34" s="245" t="s">
        <v>288</v>
      </c>
      <c r="J34" s="245" t="s">
        <v>204</v>
      </c>
      <c r="K34" s="245" t="s">
        <v>288</v>
      </c>
      <c r="L34" s="245" t="s">
        <v>288</v>
      </c>
      <c r="M34" s="246">
        <f>SUM(N34:W34)</f>
        <v>143384.29999999999</v>
      </c>
      <c r="N34" s="246">
        <v>0</v>
      </c>
      <c r="O34" s="246"/>
      <c r="P34" s="246"/>
      <c r="Q34" s="246"/>
      <c r="R34" s="246"/>
      <c r="S34" s="246"/>
      <c r="T34" s="246">
        <v>126895.5</v>
      </c>
      <c r="U34" s="246"/>
      <c r="V34" s="246"/>
      <c r="W34" s="246">
        <v>16488.8</v>
      </c>
      <c r="X34" s="242" t="s">
        <v>269</v>
      </c>
      <c r="Y34" s="246" t="str">
        <f>IF(N34&gt;0,"O","X")</f>
        <v>X</v>
      </c>
      <c r="Z34" s="246" t="str">
        <f>IF(Y34="O",IF(W34&gt;0,"O","X"),"X")</f>
        <v>X</v>
      </c>
    </row>
    <row r="35" spans="2:26">
      <c r="B35" s="244" t="s">
        <v>198</v>
      </c>
      <c r="C35" s="243" t="s">
        <v>311</v>
      </c>
      <c r="D35" s="243" t="s">
        <v>328</v>
      </c>
      <c r="E35" s="245" t="s">
        <v>288</v>
      </c>
      <c r="F35" s="245" t="s">
        <v>288</v>
      </c>
      <c r="G35" s="245" t="s">
        <v>288</v>
      </c>
      <c r="H35" s="245" t="s">
        <v>288</v>
      </c>
      <c r="I35" s="245" t="s">
        <v>288</v>
      </c>
      <c r="J35" s="245" t="s">
        <v>204</v>
      </c>
      <c r="K35" s="245" t="s">
        <v>288</v>
      </c>
      <c r="L35" s="245" t="s">
        <v>288</v>
      </c>
      <c r="M35" s="246">
        <f>SUM(N35:W35)</f>
        <v>198699.69999999998</v>
      </c>
      <c r="N35" s="246">
        <v>0</v>
      </c>
      <c r="O35" s="246"/>
      <c r="P35" s="246"/>
      <c r="Q35" s="246"/>
      <c r="R35" s="246"/>
      <c r="S35" s="246"/>
      <c r="T35" s="246">
        <v>174869.8</v>
      </c>
      <c r="U35" s="246"/>
      <c r="V35" s="246"/>
      <c r="W35" s="246">
        <v>23829.9</v>
      </c>
      <c r="X35" s="242" t="s">
        <v>269</v>
      </c>
      <c r="Y35" s="246" t="str">
        <f>IF(N35&gt;0,"O","X")</f>
        <v>X</v>
      </c>
      <c r="Z35" s="246" t="str">
        <f>IF(Y35="O",IF(W35&gt;0,"O","X"),"X")</f>
        <v>X</v>
      </c>
    </row>
    <row r="36" spans="2:26">
      <c r="B36" s="245"/>
      <c r="C36" s="243" t="s">
        <v>198</v>
      </c>
      <c r="D36" s="243"/>
      <c r="E36" s="245"/>
      <c r="F36" s="245"/>
      <c r="G36" s="245"/>
      <c r="H36" s="245"/>
      <c r="I36" s="245"/>
      <c r="J36" s="245"/>
      <c r="K36" s="245"/>
      <c r="L36" s="245"/>
      <c r="M36" s="246">
        <f>SUM(M32:M35)</f>
        <v>785191.6</v>
      </c>
      <c r="N36" s="246">
        <f t="shared" ref="N36:W36" si="7">SUM(N32:N35)</f>
        <v>0</v>
      </c>
      <c r="O36" s="246"/>
      <c r="P36" s="246">
        <f t="shared" si="7"/>
        <v>0</v>
      </c>
      <c r="Q36" s="246"/>
      <c r="R36" s="246">
        <f t="shared" si="7"/>
        <v>0</v>
      </c>
      <c r="S36" s="246">
        <f t="shared" si="7"/>
        <v>0</v>
      </c>
      <c r="T36" s="246">
        <f t="shared" si="7"/>
        <v>613953.80000000005</v>
      </c>
      <c r="U36" s="246">
        <f t="shared" si="7"/>
        <v>0</v>
      </c>
      <c r="V36" s="246">
        <f t="shared" si="7"/>
        <v>0</v>
      </c>
      <c r="W36" s="246">
        <f t="shared" si="7"/>
        <v>171237.8</v>
      </c>
      <c r="Y36" s="246"/>
      <c r="Z36" s="246"/>
    </row>
    <row r="37" spans="2:26">
      <c r="B37" s="245"/>
      <c r="C37" s="243"/>
      <c r="D37" s="243"/>
      <c r="E37" s="245"/>
      <c r="F37" s="245"/>
      <c r="G37" s="245"/>
      <c r="H37" s="245"/>
      <c r="I37" s="245"/>
      <c r="J37" s="245"/>
      <c r="K37" s="245"/>
      <c r="L37" s="245"/>
      <c r="M37" s="246"/>
      <c r="N37" s="246"/>
      <c r="O37" s="246"/>
      <c r="P37" s="246"/>
      <c r="Q37" s="246"/>
      <c r="R37" s="246"/>
      <c r="S37" s="246"/>
      <c r="T37" s="246"/>
      <c r="U37" s="246"/>
      <c r="V37" s="246"/>
      <c r="W37" s="246"/>
      <c r="Y37" s="246"/>
      <c r="Z37" s="246"/>
    </row>
    <row r="38" spans="2:26">
      <c r="B38" s="244"/>
      <c r="C38" s="243"/>
      <c r="D38" s="243"/>
      <c r="E38" s="245"/>
      <c r="F38" s="245"/>
      <c r="G38" s="245"/>
      <c r="H38" s="245"/>
      <c r="I38" s="245"/>
      <c r="J38" s="245"/>
      <c r="K38" s="245"/>
      <c r="L38" s="245"/>
      <c r="M38" s="246"/>
      <c r="N38" s="246"/>
      <c r="O38" s="246"/>
      <c r="P38" s="246"/>
      <c r="Q38" s="246"/>
      <c r="R38" s="246"/>
      <c r="S38" s="246"/>
      <c r="T38" s="246"/>
      <c r="U38" s="246"/>
      <c r="V38" s="246"/>
      <c r="W38" s="246"/>
      <c r="Y38" s="246"/>
      <c r="Z38" s="246"/>
    </row>
    <row r="39" spans="2:26">
      <c r="B39" s="244" t="s">
        <v>266</v>
      </c>
      <c r="C39" s="243" t="s">
        <v>191</v>
      </c>
      <c r="D39" s="243" t="s">
        <v>329</v>
      </c>
      <c r="E39" s="245" t="s">
        <v>288</v>
      </c>
      <c r="F39" s="245" t="s">
        <v>288</v>
      </c>
      <c r="G39" s="245" t="s">
        <v>288</v>
      </c>
      <c r="H39" s="245" t="s">
        <v>288</v>
      </c>
      <c r="I39" s="245" t="s">
        <v>205</v>
      </c>
      <c r="J39" s="245" t="s">
        <v>288</v>
      </c>
      <c r="K39" s="245" t="s">
        <v>288</v>
      </c>
      <c r="L39" s="245" t="s">
        <v>288</v>
      </c>
      <c r="M39" s="246">
        <f>SUM(N39:W39)</f>
        <v>41710.1</v>
      </c>
      <c r="N39" s="246">
        <v>0</v>
      </c>
      <c r="O39" s="246"/>
      <c r="P39" s="246"/>
      <c r="Q39" s="246"/>
      <c r="R39" s="246">
        <v>31707.5</v>
      </c>
      <c r="S39" s="246"/>
      <c r="T39" s="246"/>
      <c r="U39" s="246"/>
      <c r="V39" s="246"/>
      <c r="W39" s="246">
        <v>10002.6</v>
      </c>
      <c r="X39" s="242" t="s">
        <v>79</v>
      </c>
      <c r="Y39" s="246" t="str">
        <f>IF(N39&gt;0,"O","X")</f>
        <v>X</v>
      </c>
      <c r="Z39" s="246" t="str">
        <f>IF(Y39="O",IF(W39&gt;0,"O","X"),"X")</f>
        <v>X</v>
      </c>
    </row>
    <row r="40" spans="2:26">
      <c r="B40" s="244" t="s">
        <v>266</v>
      </c>
      <c r="C40" s="243" t="s">
        <v>192</v>
      </c>
      <c r="D40" s="243" t="s">
        <v>329</v>
      </c>
      <c r="E40" s="245" t="s">
        <v>288</v>
      </c>
      <c r="F40" s="245" t="s">
        <v>288</v>
      </c>
      <c r="G40" s="245" t="s">
        <v>288</v>
      </c>
      <c r="H40" s="245" t="s">
        <v>288</v>
      </c>
      <c r="I40" s="245" t="s">
        <v>205</v>
      </c>
      <c r="J40" s="245" t="s">
        <v>288</v>
      </c>
      <c r="K40" s="245" t="s">
        <v>288</v>
      </c>
      <c r="L40" s="245" t="s">
        <v>288</v>
      </c>
      <c r="M40" s="246">
        <f>SUM(N40:W40)</f>
        <v>84767.6</v>
      </c>
      <c r="N40" s="246">
        <v>0</v>
      </c>
      <c r="O40" s="246"/>
      <c r="P40" s="246"/>
      <c r="Q40" s="246"/>
      <c r="R40" s="246">
        <v>74487.600000000006</v>
      </c>
      <c r="S40" s="246"/>
      <c r="T40" s="246"/>
      <c r="U40" s="246"/>
      <c r="V40" s="246"/>
      <c r="W40" s="246">
        <v>10280</v>
      </c>
      <c r="X40" s="242" t="s">
        <v>79</v>
      </c>
      <c r="Y40" s="246" t="str">
        <f>IF(N40&gt;0,"O","X")</f>
        <v>X</v>
      </c>
      <c r="Z40" s="246" t="str">
        <f>IF(Y40="O",IF(W40&gt;0,"O","X"),"X")</f>
        <v>X</v>
      </c>
    </row>
    <row r="41" spans="2:26">
      <c r="B41" s="244" t="s">
        <v>266</v>
      </c>
      <c r="C41" s="243" t="s">
        <v>193</v>
      </c>
      <c r="D41" s="243" t="s">
        <v>329</v>
      </c>
      <c r="E41" s="245" t="s">
        <v>288</v>
      </c>
      <c r="F41" s="245" t="s">
        <v>288</v>
      </c>
      <c r="G41" s="245" t="s">
        <v>288</v>
      </c>
      <c r="H41" s="245" t="s">
        <v>288</v>
      </c>
      <c r="I41" s="245" t="s">
        <v>205</v>
      </c>
      <c r="J41" s="245" t="s">
        <v>288</v>
      </c>
      <c r="K41" s="245" t="s">
        <v>288</v>
      </c>
      <c r="L41" s="245" t="s">
        <v>288</v>
      </c>
      <c r="M41" s="246">
        <f>SUM(N41:W41)</f>
        <v>86268.7</v>
      </c>
      <c r="N41" s="246">
        <v>0</v>
      </c>
      <c r="O41" s="246"/>
      <c r="P41" s="246"/>
      <c r="Q41" s="246"/>
      <c r="R41" s="246">
        <v>71507.7</v>
      </c>
      <c r="S41" s="246"/>
      <c r="T41" s="246"/>
      <c r="U41" s="246"/>
      <c r="V41" s="246"/>
      <c r="W41" s="246">
        <v>14761</v>
      </c>
      <c r="X41" s="242" t="s">
        <v>79</v>
      </c>
      <c r="Y41" s="246" t="str">
        <f>IF(N41&gt;0,"O","X")</f>
        <v>X</v>
      </c>
      <c r="Z41" s="246" t="str">
        <f>IF(Y41="O",IF(W41&gt;0,"O","X"),"X")</f>
        <v>X</v>
      </c>
    </row>
    <row r="42" spans="2:26">
      <c r="B42" s="244" t="s">
        <v>266</v>
      </c>
      <c r="C42" s="243" t="s">
        <v>248</v>
      </c>
      <c r="D42" s="243" t="s">
        <v>329</v>
      </c>
      <c r="E42" s="245" t="s">
        <v>291</v>
      </c>
      <c r="F42" s="245" t="s">
        <v>288</v>
      </c>
      <c r="G42" s="245" t="s">
        <v>288</v>
      </c>
      <c r="H42" s="245" t="s">
        <v>288</v>
      </c>
      <c r="I42" s="245" t="s">
        <v>288</v>
      </c>
      <c r="J42" s="245" t="s">
        <v>288</v>
      </c>
      <c r="K42" s="245" t="s">
        <v>288</v>
      </c>
      <c r="L42" s="245" t="s">
        <v>288</v>
      </c>
      <c r="M42" s="246">
        <f>SUM(N42:W42)</f>
        <v>183024</v>
      </c>
      <c r="N42" s="246">
        <v>130654</v>
      </c>
      <c r="O42" s="246"/>
      <c r="P42" s="246"/>
      <c r="Q42" s="246"/>
      <c r="R42" s="246"/>
      <c r="S42" s="246"/>
      <c r="T42" s="246"/>
      <c r="U42" s="246"/>
      <c r="V42" s="246"/>
      <c r="W42" s="246">
        <v>52370</v>
      </c>
      <c r="X42" s="242" t="s">
        <v>79</v>
      </c>
      <c r="Y42" s="246" t="str">
        <f>IF(N42&gt;0,"O","X")</f>
        <v>O</v>
      </c>
      <c r="Z42" s="246" t="str">
        <f>IF(Y42="O",IF(W42&gt;0,"O","X"),"X")</f>
        <v>O</v>
      </c>
    </row>
    <row r="43" spans="2:26">
      <c r="B43" s="244" t="s">
        <v>266</v>
      </c>
      <c r="C43" s="243" t="s">
        <v>262</v>
      </c>
      <c r="D43" s="243" t="s">
        <v>328</v>
      </c>
      <c r="E43" s="245" t="s">
        <v>288</v>
      </c>
      <c r="F43" s="245" t="s">
        <v>288</v>
      </c>
      <c r="G43" s="245" t="s">
        <v>288</v>
      </c>
      <c r="H43" s="245" t="s">
        <v>288</v>
      </c>
      <c r="I43" s="245" t="s">
        <v>288</v>
      </c>
      <c r="J43" s="245" t="s">
        <v>288</v>
      </c>
      <c r="K43" s="245" t="s">
        <v>288</v>
      </c>
      <c r="L43" s="245" t="s">
        <v>288</v>
      </c>
      <c r="M43" s="246">
        <f>SUM(N43:W43)</f>
        <v>107645.5</v>
      </c>
      <c r="N43" s="246"/>
      <c r="O43" s="246"/>
      <c r="P43" s="246"/>
      <c r="Q43" s="246"/>
      <c r="R43" s="246"/>
      <c r="S43" s="246"/>
      <c r="T43" s="246"/>
      <c r="U43" s="246"/>
      <c r="V43" s="246"/>
      <c r="W43" s="246">
        <v>107645.5</v>
      </c>
      <c r="X43" s="242" t="s">
        <v>269</v>
      </c>
      <c r="Y43" s="246" t="str">
        <f>IF(N43&gt;0,"O","X")</f>
        <v>X</v>
      </c>
      <c r="Z43" s="246" t="str">
        <f>IF(Y43="O",IF(W43&gt;0,"O","X"),"X")</f>
        <v>X</v>
      </c>
    </row>
    <row r="44" spans="2:26">
      <c r="B44" s="245"/>
      <c r="C44" s="243" t="s">
        <v>266</v>
      </c>
      <c r="D44" s="243"/>
      <c r="E44" s="245"/>
      <c r="F44" s="245"/>
      <c r="G44" s="245"/>
      <c r="H44" s="245"/>
      <c r="I44" s="245"/>
      <c r="J44" s="245"/>
      <c r="K44" s="245"/>
      <c r="L44" s="245"/>
      <c r="M44" s="246">
        <f>SUM(M39:M43)</f>
        <v>503415.9</v>
      </c>
      <c r="N44" s="246">
        <f t="shared" ref="N44:W44" si="8">SUM(N39:N43)</f>
        <v>130654</v>
      </c>
      <c r="O44" s="246">
        <f t="shared" si="8"/>
        <v>0</v>
      </c>
      <c r="P44" s="246">
        <f t="shared" si="8"/>
        <v>0</v>
      </c>
      <c r="Q44" s="246">
        <f t="shared" si="8"/>
        <v>0</v>
      </c>
      <c r="R44" s="246">
        <f t="shared" si="8"/>
        <v>177702.8</v>
      </c>
      <c r="S44" s="246">
        <f t="shared" si="8"/>
        <v>0</v>
      </c>
      <c r="T44" s="246">
        <f t="shared" si="8"/>
        <v>0</v>
      </c>
      <c r="U44" s="246">
        <f t="shared" si="8"/>
        <v>0</v>
      </c>
      <c r="V44" s="246">
        <f t="shared" si="8"/>
        <v>0</v>
      </c>
      <c r="W44" s="246">
        <f t="shared" si="8"/>
        <v>195059.1</v>
      </c>
      <c r="Y44" s="246"/>
      <c r="Z44" s="246"/>
    </row>
    <row r="45" spans="2:26">
      <c r="B45" s="245"/>
      <c r="C45" s="243"/>
      <c r="D45" s="243"/>
      <c r="E45" s="245"/>
      <c r="F45" s="245"/>
      <c r="G45" s="245"/>
      <c r="H45" s="245"/>
      <c r="I45" s="245"/>
      <c r="J45" s="245"/>
      <c r="K45" s="245"/>
      <c r="L45" s="245"/>
      <c r="M45" s="248">
        <f t="shared" ref="M45:W45" si="9">SUM(M6,M9,M12,M16,M21,M25,M44,M30,M36)</f>
        <v>6124078.2999999998</v>
      </c>
      <c r="N45" s="248">
        <f t="shared" si="9"/>
        <v>1557605.94</v>
      </c>
      <c r="O45" s="248">
        <f t="shared" si="9"/>
        <v>346074.48000000004</v>
      </c>
      <c r="P45" s="248">
        <f t="shared" si="9"/>
        <v>546837.36</v>
      </c>
      <c r="Q45" s="248">
        <f t="shared" si="9"/>
        <v>38452.720000000008</v>
      </c>
      <c r="R45" s="248">
        <f t="shared" si="9"/>
        <v>177702.8</v>
      </c>
      <c r="S45" s="248">
        <f t="shared" si="9"/>
        <v>756461.7</v>
      </c>
      <c r="T45" s="248">
        <f t="shared" si="9"/>
        <v>1150363.8</v>
      </c>
      <c r="U45" s="248">
        <f t="shared" si="9"/>
        <v>351887</v>
      </c>
      <c r="V45" s="248">
        <f t="shared" si="9"/>
        <v>207772.5</v>
      </c>
      <c r="W45" s="248">
        <f t="shared" si="9"/>
        <v>990920</v>
      </c>
    </row>
    <row r="46" spans="2:26">
      <c r="M46" s="248"/>
      <c r="N46" s="248"/>
      <c r="O46" s="248">
        <f>SUM(N45:O45)</f>
        <v>1903680.42</v>
      </c>
      <c r="P46" s="403"/>
      <c r="Q46" s="248">
        <f>SUM(P45:Q45)</f>
        <v>585290.07999999996</v>
      </c>
    </row>
    <row r="47" spans="2:26">
      <c r="O47" s="248">
        <f>SUM(O46:Q46)</f>
        <v>2488970.5</v>
      </c>
      <c r="P47" s="404"/>
      <c r="Q47" s="404"/>
    </row>
    <row r="48" spans="2:26">
      <c r="N48" s="246"/>
      <c r="O48" s="248"/>
      <c r="P48" s="404"/>
      <c r="Q48" s="404"/>
      <c r="R48" s="246"/>
      <c r="S48" s="404"/>
      <c r="U48" s="246"/>
    </row>
    <row r="49" spans="2:26">
      <c r="D49" s="455"/>
      <c r="E49" s="847"/>
      <c r="F49" s="847"/>
      <c r="O49" s="248"/>
      <c r="R49" s="246"/>
      <c r="S49" s="404"/>
      <c r="U49" s="246"/>
    </row>
    <row r="50" spans="2:26">
      <c r="D50" s="867"/>
      <c r="E50" s="847"/>
      <c r="F50" s="847"/>
    </row>
    <row r="51" spans="2:26">
      <c r="B51" s="245"/>
      <c r="C51" s="243"/>
      <c r="D51" s="868"/>
      <c r="E51" s="866"/>
      <c r="F51" s="866"/>
      <c r="G51" s="245"/>
      <c r="H51" s="245"/>
      <c r="I51" s="245"/>
      <c r="J51" s="245"/>
      <c r="K51" s="245"/>
      <c r="L51" s="245"/>
      <c r="N51" s="246"/>
      <c r="O51" s="246"/>
      <c r="P51" s="246"/>
      <c r="Q51" s="246"/>
      <c r="R51" s="246"/>
      <c r="S51" s="246"/>
      <c r="T51" s="246"/>
      <c r="U51" s="246"/>
      <c r="V51" s="246"/>
      <c r="W51" s="246"/>
    </row>
    <row r="52" spans="2:26">
      <c r="C52" s="243"/>
      <c r="D52" s="868"/>
      <c r="E52" s="847"/>
      <c r="F52" s="847"/>
      <c r="M52" s="248"/>
      <c r="N52"/>
      <c r="O52"/>
      <c r="P52" s="248"/>
      <c r="Q52" s="248"/>
      <c r="R52" s="248"/>
      <c r="S52" s="248"/>
      <c r="T52" s="248"/>
      <c r="U52" s="248"/>
      <c r="V52" s="248"/>
      <c r="W52" s="248"/>
      <c r="Y52" s="248"/>
      <c r="Z52" s="248"/>
    </row>
    <row r="53" spans="2:26">
      <c r="D53" s="868"/>
      <c r="E53" s="847"/>
      <c r="F53" s="847"/>
      <c r="N53"/>
      <c r="O53"/>
    </row>
    <row r="54" spans="2:26">
      <c r="D54" s="868"/>
      <c r="E54" s="847"/>
      <c r="F54" s="847"/>
      <c r="N54"/>
      <c r="O54"/>
    </row>
    <row r="55" spans="2:26">
      <c r="D55" s="867"/>
      <c r="E55" s="847"/>
      <c r="F55" s="847"/>
    </row>
    <row r="56" spans="2:26">
      <c r="D56" s="868"/>
      <c r="E56" s="847"/>
      <c r="F56" s="847"/>
    </row>
    <row r="57" spans="2:26">
      <c r="D57" s="868"/>
      <c r="E57" s="847"/>
      <c r="F57" s="847"/>
    </row>
    <row r="58" spans="2:26">
      <c r="D58" s="847"/>
      <c r="E58" s="847"/>
      <c r="F58" s="847"/>
    </row>
    <row r="59" spans="2:26">
      <c r="D59" s="847"/>
      <c r="E59" s="847"/>
      <c r="F59" s="847"/>
    </row>
    <row r="60" spans="2:26">
      <c r="D60" s="847"/>
      <c r="E60" s="847"/>
      <c r="F60" s="847"/>
    </row>
    <row r="61" spans="2:26">
      <c r="D61" s="847"/>
      <c r="E61" s="847"/>
      <c r="F61" s="847"/>
    </row>
    <row r="62" spans="2:26">
      <c r="D62" s="847"/>
      <c r="E62" s="847"/>
      <c r="F62" s="847"/>
    </row>
    <row r="63" spans="2:26">
      <c r="D63" s="847"/>
      <c r="E63" s="847"/>
      <c r="F63" s="847"/>
    </row>
    <row r="64" spans="2:26">
      <c r="D64" s="847"/>
      <c r="E64" s="848"/>
      <c r="F64" s="847"/>
    </row>
    <row r="65" spans="4:17">
      <c r="D65" s="847"/>
      <c r="E65" s="847"/>
      <c r="F65" s="847"/>
    </row>
    <row r="66" spans="4:17">
      <c r="D66" s="847"/>
      <c r="E66" s="847"/>
      <c r="F66" s="847"/>
    </row>
    <row r="67" spans="4:17">
      <c r="D67" s="847"/>
      <c r="E67" s="847"/>
      <c r="F67" s="847"/>
      <c r="O67" s="246"/>
      <c r="P67" s="404"/>
      <c r="Q67" s="404"/>
    </row>
    <row r="68" spans="4:17">
      <c r="O68" s="246"/>
      <c r="P68" s="404"/>
      <c r="Q68" s="404"/>
    </row>
  </sheetData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17EB2C-E829-42FE-AB93-76355DCBC99E}">
  <sheetPr>
    <tabColor theme="6" tint="-0.249977111117893"/>
    <pageSetUpPr fitToPage="1"/>
  </sheetPr>
  <dimension ref="A1:AC164"/>
  <sheetViews>
    <sheetView showGridLines="0" zoomScale="70" zoomScaleNormal="70" zoomScaleSheetLayoutView="90" workbookViewId="0">
      <selection activeCell="B30" sqref="B30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194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23420360.859669335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268123662.81963924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114149334</v>
      </c>
      <c r="C7" s="637" t="s">
        <v>381</v>
      </c>
      <c r="D7" s="545">
        <f>SUM(E131,K131,Q131,W131)</f>
        <v>0</v>
      </c>
      <c r="E7" s="26"/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11414933.4</v>
      </c>
      <c r="C8" s="637" t="s">
        <v>321</v>
      </c>
      <c r="D8" s="545">
        <f>SUM(E130:E131,K130:K131,Q130:Q131,W130:W131)</f>
        <v>268123662.81963924</v>
      </c>
      <c r="E8" s="26"/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Program'!$C$39</f>
        <v>5297619.0476190476</v>
      </c>
      <c r="C11" s="25" t="s">
        <v>103</v>
      </c>
      <c r="D11" s="354">
        <f>IF(B31&lt;0,B31,0)</f>
        <v>0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6278213.3700000001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2511285.3480000002</v>
      </c>
      <c r="C13" s="25" t="s">
        <v>104</v>
      </c>
      <c r="D13" s="354">
        <f>B27+D11</f>
        <v>194149450.55870333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Assumptions!$H$14</f>
        <v>0.5</v>
      </c>
      <c r="D14" s="355">
        <f>C14*B$27</f>
        <v>97074725.279351667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5022570.6960000005</v>
      </c>
      <c r="C15" s="382">
        <f>1-C14</f>
        <v>0.5</v>
      </c>
      <c r="D15" s="356">
        <f>C15*B$27</f>
        <v>97074725.279351667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3766928.0219999999</v>
      </c>
      <c r="C16" s="383" t="s">
        <v>105</v>
      </c>
      <c r="D16" s="93">
        <f>D14+D15</f>
        <v>194149450.55870333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6278213.3700000001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 t="shared" si="0"/>
        <v>3619669.4480651291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1883464.0109999999</v>
      </c>
      <c r="C19" s="385" t="s">
        <v>108</v>
      </c>
      <c r="D19" s="130">
        <f>D6</f>
        <v>268123662.81963924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2400000</v>
      </c>
      <c r="C20" s="386">
        <v>0.02</v>
      </c>
      <c r="D20" s="131">
        <f>-C20*D19</f>
        <v>-5362473.2563927844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4879241.8457644442</v>
      </c>
      <c r="C21" s="387" t="s">
        <v>109</v>
      </c>
      <c r="D21" s="94">
        <f>D19+D20</f>
        <v>262761189.56324646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11436379.5</v>
      </c>
      <c r="C22" s="385" t="s">
        <v>110</v>
      </c>
      <c r="D22" s="130">
        <f>-D14</f>
        <v>-97074725.279351667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1470391.6500000004</v>
      </c>
      <c r="C23" s="388" t="s">
        <v>111</v>
      </c>
      <c r="D23" s="132">
        <f>-D15</f>
        <v>-97074725.279351667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>SUM(C150,I150,O150,U150)</f>
        <v>1694276.2796036149</v>
      </c>
      <c r="C24" s="389" t="s">
        <v>112</v>
      </c>
      <c r="D24" s="95">
        <f>ROUND(D21+D22+D23,-2)</f>
        <v>68611700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 thickBot="1">
      <c r="A25" s="642" t="s">
        <v>58</v>
      </c>
      <c r="B25" s="396">
        <f>SUM(C151,I151,O151,U151)</f>
        <v>7906622.6381502049</v>
      </c>
      <c r="C25" s="390" t="s">
        <v>113</v>
      </c>
      <c r="D25" s="378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>SUM(C152,I152,O152,U152)</f>
        <v>4140307.9325008378</v>
      </c>
      <c r="C26" s="391"/>
      <c r="D26" s="129" t="s">
        <v>107</v>
      </c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>SUM(B7:B26)</f>
        <v>194149450.55870333</v>
      </c>
      <c r="C27" s="392" t="s">
        <v>114</v>
      </c>
      <c r="D27" s="357">
        <f>(D24+D15)/D15</f>
        <v>1.70679262601626</v>
      </c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>D5/B27</f>
        <v>0.12063058016529343</v>
      </c>
      <c r="C28" s="393" t="s">
        <v>115</v>
      </c>
      <c r="D28" s="358">
        <f>'A DRAW'!B37</f>
        <v>0.41391634880242067</v>
      </c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>(D8/B27)-1</f>
        <v>0.38101685092623505</v>
      </c>
      <c r="C29" s="393" t="s">
        <v>116</v>
      </c>
      <c r="D29" s="358">
        <f>'A DRAW'!B42</f>
        <v>0.29478991415976585</v>
      </c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0.3</v>
      </c>
      <c r="B30" s="120">
        <f>D8/(1+A30)</f>
        <v>206248971.39972249</v>
      </c>
      <c r="C30" s="392" t="s">
        <v>117</v>
      </c>
      <c r="D30" s="359">
        <f>D5/D14</f>
        <v>0.24126116033058687</v>
      </c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0.3</v>
      </c>
      <c r="B31" s="120">
        <f>ROUND((D8/(1+A31))-B27,0)</f>
        <v>12099521</v>
      </c>
      <c r="C31" s="394"/>
      <c r="D31" s="360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303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116638.8</v>
      </c>
      <c r="E34" s="230"/>
      <c r="G34" s="515" t="s">
        <v>259</v>
      </c>
      <c r="H34" s="516" t="s">
        <v>306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153188.79999999999</v>
      </c>
      <c r="K34" s="230"/>
      <c r="L34" s="328"/>
      <c r="M34" s="515" t="s">
        <v>259</v>
      </c>
      <c r="N34" s="516" t="s">
        <v>304</v>
      </c>
      <c r="O34" s="319" t="s">
        <v>203</v>
      </c>
      <c r="P34" s="320">
        <f>IFERROR(INDEX('Building Configuration'!$B$2:$Z$45,MATCH(N$34,'Building Configuration'!$C$2:$C$45,0),MATCH("Total",'Building Configuration'!$B$2:$Z$2,0)),0)</f>
        <v>99006.3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-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0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Multifamily-Market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94373.7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Multifamily-Market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56624.4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-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0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Retail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116638.8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Retail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58815.1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Retail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42381.9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NO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0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NO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0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NO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0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0</v>
      </c>
      <c r="C44" s="460">
        <v>1</v>
      </c>
      <c r="D44" s="322"/>
      <c r="E44" s="231"/>
      <c r="F44" s="223"/>
      <c r="G44" s="6" t="s">
        <v>315</v>
      </c>
      <c r="H44" s="459">
        <v>0.8</v>
      </c>
      <c r="I44" s="460">
        <v>0.2</v>
      </c>
      <c r="J44" s="322"/>
      <c r="K44" s="231"/>
      <c r="L44" s="212"/>
      <c r="M44" s="6" t="s">
        <v>315</v>
      </c>
      <c r="N44" s="459">
        <v>0.8</v>
      </c>
      <c r="O44" s="460">
        <v>0.2</v>
      </c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-</v>
      </c>
      <c r="C46" s="510" t="s">
        <v>298</v>
      </c>
      <c r="D46" s="308">
        <f>D$35*E$46</f>
        <v>0</v>
      </c>
      <c r="E46" s="303">
        <f>Assumptions!$C$44</f>
        <v>0.75</v>
      </c>
      <c r="F46" s="296"/>
      <c r="G46" s="301" t="s">
        <v>293</v>
      </c>
      <c r="H46" s="302" t="str">
        <f>H$35</f>
        <v>Multifamily-Market</v>
      </c>
      <c r="I46" s="510" t="s">
        <v>298</v>
      </c>
      <c r="J46" s="308">
        <f>J$35*K$46</f>
        <v>70780.274999999994</v>
      </c>
      <c r="K46" s="303">
        <f>Assumptions!$C$44</f>
        <v>0.75</v>
      </c>
      <c r="L46" s="212"/>
      <c r="M46" s="301" t="s">
        <v>293</v>
      </c>
      <c r="N46" s="302" t="str">
        <f>N$35</f>
        <v>Multifamily-Market</v>
      </c>
      <c r="O46" s="510" t="s">
        <v>298</v>
      </c>
      <c r="P46" s="308">
        <f>P$35*Q$46</f>
        <v>42468.3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0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>
        <v>84</v>
      </c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>
        <v>50</v>
      </c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0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0</v>
      </c>
      <c r="F49" s="296"/>
      <c r="G49" s="109" t="s">
        <v>72</v>
      </c>
      <c r="H49" s="255">
        <f>H$47*INDEX(Assumptions!$C$52:$C$55,MATCH(G49,Assumptions!$A$52:$A$55,0))</f>
        <v>25.2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436907.51999999996</v>
      </c>
      <c r="L49" s="330"/>
      <c r="M49" s="109" t="s">
        <v>72</v>
      </c>
      <c r="N49" s="255">
        <f>N$47*INDEX(Assumptions!$C$52:$C$55,MATCH(M49,Assumptions!$A$52:$A$55,0))</f>
        <v>15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260064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0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0</v>
      </c>
      <c r="F50" s="296"/>
      <c r="G50" s="106" t="s">
        <v>73</v>
      </c>
      <c r="H50" s="255">
        <f>H$47*INDEX(Assumptions!$C$52:$C$55,MATCH(G50,Assumptions!$A$52:$A$55,0))</f>
        <v>37.800000000000004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769890.96800000011</v>
      </c>
      <c r="L50" s="330"/>
      <c r="M50" s="106" t="s">
        <v>73</v>
      </c>
      <c r="N50" s="255">
        <f>N$47*INDEX(Assumptions!$C$52:$C$55,MATCH(M50,Assumptions!$A$52:$A$55,0))</f>
        <v>22.5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458268.43333333335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0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0</v>
      </c>
      <c r="F51" s="297"/>
      <c r="G51" s="109" t="s">
        <v>74</v>
      </c>
      <c r="H51" s="255">
        <f>H$47*INDEX(Assumptions!$C$52:$C$55,MATCH(G51,Assumptions!$A$52:$A$55,0))</f>
        <v>16.8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492111.1751111112</v>
      </c>
      <c r="L51" s="330"/>
      <c r="M51" s="109" t="s">
        <v>74</v>
      </c>
      <c r="N51" s="255">
        <f>N$47*INDEX(Assumptions!$C$52:$C$55,MATCH(M51,Assumptions!$A$52:$A$55,0))</f>
        <v>10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292923.31851851853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0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0</v>
      </c>
      <c r="F52" s="223"/>
      <c r="G52" s="109" t="s">
        <v>75</v>
      </c>
      <c r="H52" s="255">
        <f>H$47*INDEX(Assumptions!$C$52:$C$55,MATCH(G52,Assumptions!$A$52:$A$55,0))</f>
        <v>4.2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257190.79680000004</v>
      </c>
      <c r="L52" s="330"/>
      <c r="M52" s="109" t="s">
        <v>75</v>
      </c>
      <c r="N52" s="255">
        <f>N$47*INDEX(Assumptions!$C$52:$C$55,MATCH(M52,Assumptions!$A$52:$A$55,0))</f>
        <v>2.5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153089.76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0</v>
      </c>
      <c r="C53" s="9">
        <f>SUMPRODUCT(B49:B52,C49:C52)</f>
        <v>0</v>
      </c>
      <c r="D53" s="225"/>
      <c r="E53" s="226">
        <f>SUM(E49:E52)</f>
        <v>0</v>
      </c>
      <c r="F53" s="297"/>
      <c r="G53" s="7" t="s">
        <v>76</v>
      </c>
      <c r="H53" s="8">
        <f>SUM(H49:H52)</f>
        <v>84</v>
      </c>
      <c r="I53" s="9">
        <f>SUMPRODUCT(H49:H52,I49:I52)</f>
        <v>70249.666666666672</v>
      </c>
      <c r="J53" s="225"/>
      <c r="K53" s="226">
        <f>SUM(K49:K52)</f>
        <v>1956100.4599111115</v>
      </c>
      <c r="L53" s="327"/>
      <c r="M53" s="7" t="s">
        <v>76</v>
      </c>
      <c r="N53" s="8">
        <f>SUM(N49:N52)</f>
        <v>50</v>
      </c>
      <c r="O53" s="9">
        <f>SUMPRODUCT(N49:N52,O49:O52)</f>
        <v>41815.277777777781</v>
      </c>
      <c r="P53" s="225"/>
      <c r="Q53" s="226">
        <f>SUM(Q49:Q52)</f>
        <v>1164345.5118518518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0</v>
      </c>
      <c r="D54" s="227">
        <f>IFERROR((E53/12)/C53,0)</f>
        <v>0</v>
      </c>
      <c r="E54" s="228"/>
      <c r="F54" s="317"/>
      <c r="G54" s="10" t="s">
        <v>77</v>
      </c>
      <c r="H54" s="224"/>
      <c r="I54" s="11">
        <f>IFERROR(I53/H53,0)</f>
        <v>836.30555555555566</v>
      </c>
      <c r="J54" s="227">
        <f>IFERROR((K53/12)/I53,0)</f>
        <v>2.320414877307972</v>
      </c>
      <c r="K54" s="228"/>
      <c r="L54" s="216"/>
      <c r="M54" s="10" t="s">
        <v>77</v>
      </c>
      <c r="N54" s="224"/>
      <c r="O54" s="11">
        <f>IFERROR(O53/N53,0)</f>
        <v>836.30555555555566</v>
      </c>
      <c r="P54" s="227">
        <f>IFERROR((Q53/12)/O53,0)</f>
        <v>2.320414877307972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-</v>
      </c>
      <c r="C62" s="510" t="s">
        <v>298</v>
      </c>
      <c r="D62" s="308">
        <f>D$37*E$62</f>
        <v>0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0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0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0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0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0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0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0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0</v>
      </c>
      <c r="C69" s="9">
        <f>SUMPRODUCT(B65:B68,C65:C68)</f>
        <v>0</v>
      </c>
      <c r="D69" s="225"/>
      <c r="E69" s="226">
        <f>SUM(E65:E68)</f>
        <v>0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0</v>
      </c>
      <c r="D70" s="227">
        <f>IFERROR((E69/12)/C69,0)</f>
        <v>0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-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-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Retail</v>
      </c>
      <c r="C87" s="311"/>
      <c r="D87" s="312"/>
      <c r="E87" s="326"/>
      <c r="F87" s="211"/>
      <c r="G87" s="301" t="s">
        <v>299</v>
      </c>
      <c r="H87" s="313" t="str">
        <f>H$40</f>
        <v>Retail</v>
      </c>
      <c r="I87" s="311"/>
      <c r="J87" s="312"/>
      <c r="K87" s="326"/>
      <c r="L87" s="331"/>
      <c r="M87" s="301" t="s">
        <v>299</v>
      </c>
      <c r="N87" s="313" t="str">
        <f>N$40</f>
        <v>Retail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116638.8</v>
      </c>
      <c r="C89" s="218">
        <f>IFERROR(B89*INDEX(Assumptions!$C$46:$C$47,MATCH(A89,Assumptions!$A$46:$A$47,0)),0)</f>
        <v>87479.1</v>
      </c>
      <c r="D89" s="219">
        <f>IF(C89&gt;0,INDEX(Assumptions!$F$5:$F$6,MATCH(A89,Assumptions!$E$5:$E$6,0)),0)</f>
        <v>15</v>
      </c>
      <c r="E89" s="220">
        <f>C89*D89*12</f>
        <v>15746238</v>
      </c>
      <c r="G89" s="217" t="s">
        <v>0</v>
      </c>
      <c r="H89" s="194">
        <f>IFERROR(IF(H$87=G89,J$40,0),0)</f>
        <v>58815.1</v>
      </c>
      <c r="I89" s="218">
        <f>IFERROR(H89*INDEX(Assumptions!$C$46:$C$47,MATCH(G89,Assumptions!$A$46:$A$47,0)),0)</f>
        <v>44111.324999999997</v>
      </c>
      <c r="J89" s="219">
        <f>IF(I89&gt;0,INDEX(Assumptions!$F$5:$F$6,MATCH(G89,Assumptions!$E$5:$E$6,0)),0)</f>
        <v>15</v>
      </c>
      <c r="K89" s="220">
        <f>I89*J89*12</f>
        <v>7940038.5</v>
      </c>
      <c r="L89" s="332"/>
      <c r="M89" s="217" t="s">
        <v>0</v>
      </c>
      <c r="N89" s="194">
        <f>IFERROR(IF(N$87=M89,P$40,0),0)</f>
        <v>42381.9</v>
      </c>
      <c r="O89" s="218">
        <f>IFERROR(N89*INDEX(Assumptions!$C$46:$C$47,MATCH(M89,Assumptions!$A$46:$A$47,0)),0)</f>
        <v>31786.425000000003</v>
      </c>
      <c r="P89" s="219">
        <f>IF(O89&gt;0,INDEX(Assumptions!$F$5:$F$6,MATCH(M89,Assumptions!$E$5:$E$6,0)),0)</f>
        <v>15</v>
      </c>
      <c r="Q89" s="220">
        <f>O89*P89*12</f>
        <v>5721556.5000000009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116638.8</v>
      </c>
      <c r="C91" s="191">
        <f>SUM(C89:C90)</f>
        <v>87479.1</v>
      </c>
      <c r="D91" s="188">
        <f>IF(B91=0,0,E91/B91)</f>
        <v>135</v>
      </c>
      <c r="E91" s="189">
        <f>SUM(E89:E90)</f>
        <v>15746238</v>
      </c>
      <c r="G91" s="12" t="s">
        <v>76</v>
      </c>
      <c r="H91" s="191">
        <f>SUM(H89:H90)</f>
        <v>58815.1</v>
      </c>
      <c r="I91" s="191">
        <f>SUM(I89:I90)</f>
        <v>44111.324999999997</v>
      </c>
      <c r="J91" s="188">
        <f>IF(H91=0,0,K91/H91)</f>
        <v>135</v>
      </c>
      <c r="K91" s="189">
        <f>SUM(K89:K90)</f>
        <v>7940038.5</v>
      </c>
      <c r="L91" s="332"/>
      <c r="M91" s="12" t="s">
        <v>76</v>
      </c>
      <c r="N91" s="191">
        <f>SUM(N89:N90)</f>
        <v>42381.9</v>
      </c>
      <c r="O91" s="191">
        <f>SUM(O89:O90)</f>
        <v>31786.425000000003</v>
      </c>
      <c r="P91" s="188">
        <f>IF(N91=0,0,Q91/N91)</f>
        <v>135.00000000000003</v>
      </c>
      <c r="Q91" s="189">
        <f>SUM(Q89:Q90)</f>
        <v>5721556.5000000009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0</v>
      </c>
      <c r="C103" s="295">
        <f>IF(B103=0,0,IFERROR((B103/Assumptions!$C$82)-1,0))</f>
        <v>0</v>
      </c>
      <c r="D103" s="334"/>
      <c r="E103" s="187"/>
      <c r="G103" s="341"/>
      <c r="H103" s="335">
        <f>J43</f>
        <v>0</v>
      </c>
      <c r="I103" s="295">
        <f>IF(H103=0,0,IFERROR((H103/Assumptions!$C$82)-1,0))</f>
        <v>0</v>
      </c>
      <c r="J103" s="334"/>
      <c r="K103" s="187"/>
      <c r="M103" s="341"/>
      <c r="N103" s="335">
        <f>P43</f>
        <v>0</v>
      </c>
      <c r="O103" s="295">
        <f>IF(N103=0,0,IFERROR((N103/Assumptions!$C$82)-1,0))</f>
        <v>0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0</v>
      </c>
      <c r="C104" s="333">
        <f>IF(B104=0,0,IFERROR((B104/Assumptions!$C$82)-1,0))</f>
        <v>0</v>
      </c>
      <c r="D104" s="118">
        <f>Assumptions!$C85</f>
        <v>250</v>
      </c>
      <c r="E104" s="220">
        <f>IF(B$56&gt;0,0,IF(C104&lt;0,0,C104*D104*12))</f>
        <v>0</v>
      </c>
      <c r="G104" s="461" t="s">
        <v>79</v>
      </c>
      <c r="H104" s="336">
        <f>H$103*H44</f>
        <v>0</v>
      </c>
      <c r="I104" s="333">
        <f>IF(H104=0,0,IFERROR((H104/Assumptions!$C$82)-1,0))</f>
        <v>0</v>
      </c>
      <c r="J104" s="118">
        <f>Assumptions!$C85</f>
        <v>250</v>
      </c>
      <c r="K104" s="220">
        <f>IF(H$56&gt;0,0,IF(I104&lt;0,0,I104*J104*12))</f>
        <v>0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Retail Buildings</v>
      </c>
      <c r="D107" s="256"/>
      <c r="E107" s="281"/>
      <c r="F107" s="13"/>
      <c r="G107" s="259" t="s">
        <v>81</v>
      </c>
      <c r="H107" s="260"/>
      <c r="I107" s="256" t="str">
        <f>H34</f>
        <v>Multifamily+Retail 1</v>
      </c>
      <c r="J107" s="256"/>
      <c r="K107" s="281"/>
      <c r="L107" s="13"/>
      <c r="M107" s="259" t="s">
        <v>81</v>
      </c>
      <c r="N107" s="260"/>
      <c r="O107" s="256" t="str">
        <f>N34</f>
        <v>Multifamily+Retail 2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0</v>
      </c>
      <c r="F109" s="13"/>
      <c r="G109" s="112" t="s">
        <v>268</v>
      </c>
      <c r="H109" s="113"/>
      <c r="I109" s="114"/>
      <c r="J109" s="262"/>
      <c r="K109" s="14">
        <f>SUM(K53,K69,K85)</f>
        <v>1956100.4599111115</v>
      </c>
      <c r="L109" s="13"/>
      <c r="M109" s="112" t="s">
        <v>268</v>
      </c>
      <c r="N109" s="113"/>
      <c r="O109" s="114"/>
      <c r="P109" s="262"/>
      <c r="Q109" s="14">
        <f>SUM(Q53,Q69,Q85)</f>
        <v>1164345.5118518518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15746238</v>
      </c>
      <c r="F110" s="13"/>
      <c r="G110" s="275" t="s">
        <v>313</v>
      </c>
      <c r="H110" s="113"/>
      <c r="I110" s="114"/>
      <c r="J110" s="277"/>
      <c r="K110" s="276">
        <f>SUM(K91,K96)</f>
        <v>7940038.5</v>
      </c>
      <c r="L110" s="13"/>
      <c r="M110" s="275" t="s">
        <v>313</v>
      </c>
      <c r="N110" s="113"/>
      <c r="O110" s="114"/>
      <c r="P110" s="277"/>
      <c r="Q110" s="276">
        <f>SUM(Q91,Q96)</f>
        <v>5721556.5000000009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15746238</v>
      </c>
      <c r="F112" s="13"/>
      <c r="G112" s="284" t="s">
        <v>275</v>
      </c>
      <c r="H112" s="273"/>
      <c r="I112" s="273"/>
      <c r="J112" s="267"/>
      <c r="K112" s="285">
        <f>SUM(K109:K111)</f>
        <v>9896138.9599111117</v>
      </c>
      <c r="L112" s="13"/>
      <c r="M112" s="284" t="s">
        <v>275</v>
      </c>
      <c r="N112" s="273"/>
      <c r="O112" s="273"/>
      <c r="P112" s="267"/>
      <c r="Q112" s="285">
        <f>SUM(Q109:Q111)</f>
        <v>6885902.0118518528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115"/>
      <c r="C115" s="116"/>
      <c r="D115" s="116"/>
      <c r="E115" s="289">
        <f>E104</f>
        <v>0</v>
      </c>
      <c r="F115" s="13"/>
      <c r="G115" s="288" t="s">
        <v>270</v>
      </c>
      <c r="H115" s="272"/>
      <c r="I115" s="116"/>
      <c r="J115" s="116"/>
      <c r="K115" s="289">
        <f>K104</f>
        <v>0</v>
      </c>
      <c r="L115" s="13"/>
      <c r="M115" s="288" t="s">
        <v>270</v>
      </c>
      <c r="N115" s="272"/>
      <c r="O115" s="116"/>
      <c r="P115" s="116"/>
      <c r="Q115" s="289">
        <f>Q104</f>
        <v>0</v>
      </c>
      <c r="R115" s="13"/>
      <c r="S115" s="288" t="s">
        <v>270</v>
      </c>
      <c r="T115" s="272"/>
      <c r="U115" s="116"/>
      <c r="V115" s="116"/>
      <c r="W115" s="289">
        <f>W104</f>
        <v>0</v>
      </c>
    </row>
    <row r="116" spans="1:25" ht="12.5">
      <c r="A116" s="288" t="s">
        <v>271</v>
      </c>
      <c r="B116" s="115"/>
      <c r="C116" s="116"/>
      <c r="D116" s="116"/>
      <c r="E116" s="289">
        <f>E105</f>
        <v>0</v>
      </c>
      <c r="F116" s="13"/>
      <c r="G116" s="288" t="s">
        <v>271</v>
      </c>
      <c r="H116" s="272"/>
      <c r="I116" s="116"/>
      <c r="J116" s="116"/>
      <c r="K116" s="289">
        <f>K105</f>
        <v>0</v>
      </c>
      <c r="L116" s="13"/>
      <c r="M116" s="288" t="s">
        <v>271</v>
      </c>
      <c r="N116" s="272"/>
      <c r="O116" s="116"/>
      <c r="P116" s="116"/>
      <c r="Q116" s="289">
        <f>Q105</f>
        <v>0</v>
      </c>
      <c r="R116" s="13"/>
      <c r="S116" s="288" t="s">
        <v>271</v>
      </c>
      <c r="T116" s="272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1102236.6600000001</v>
      </c>
      <c r="F117" s="13"/>
      <c r="G117" s="288" t="s">
        <v>85</v>
      </c>
      <c r="H117" s="116"/>
      <c r="I117" s="116"/>
      <c r="J117" s="116"/>
      <c r="K117" s="289">
        <f>Assumptions!$H$17*K112</f>
        <v>692729.72719377792</v>
      </c>
      <c r="L117" s="13"/>
      <c r="M117" s="288" t="s">
        <v>85</v>
      </c>
      <c r="N117" s="116"/>
      <c r="O117" s="116"/>
      <c r="P117" s="116"/>
      <c r="Q117" s="289">
        <f>Assumptions!$H$17*Q112</f>
        <v>482013.14082962973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1102236.6600000001</v>
      </c>
      <c r="F118" s="13"/>
      <c r="G118" s="264" t="s">
        <v>86</v>
      </c>
      <c r="H118" s="249"/>
      <c r="I118" s="268"/>
      <c r="J118" s="280"/>
      <c r="K118" s="250">
        <f>SUM(K115:K117)</f>
        <v>692729.72719377792</v>
      </c>
      <c r="L118" s="13"/>
      <c r="M118" s="264" t="s">
        <v>86</v>
      </c>
      <c r="N118" s="249"/>
      <c r="O118" s="268"/>
      <c r="P118" s="280"/>
      <c r="Q118" s="250">
        <f>SUM(Q115:Q117)</f>
        <v>482013.14082962973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-787311.9</v>
      </c>
      <c r="F119" s="13"/>
      <c r="G119" s="70">
        <v>0.05</v>
      </c>
      <c r="H119" s="251"/>
      <c r="I119" s="269"/>
      <c r="J119" s="279"/>
      <c r="K119" s="258">
        <f>-G119*K112</f>
        <v>-494806.94799555559</v>
      </c>
      <c r="L119" s="13"/>
      <c r="M119" s="70">
        <v>0.05</v>
      </c>
      <c r="N119" s="251"/>
      <c r="O119" s="269"/>
      <c r="P119" s="279"/>
      <c r="Q119" s="258">
        <f>-M119*Q112</f>
        <v>-344295.10059259267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16061162.76</v>
      </c>
      <c r="F120" s="13"/>
      <c r="G120" s="117" t="s">
        <v>87</v>
      </c>
      <c r="H120" s="15"/>
      <c r="I120" s="270"/>
      <c r="J120" s="278"/>
      <c r="K120" s="271">
        <f>K112+K118+K119</f>
        <v>10094061.739109334</v>
      </c>
      <c r="L120" s="13"/>
      <c r="M120" s="117" t="s">
        <v>87</v>
      </c>
      <c r="N120" s="15"/>
      <c r="O120" s="270"/>
      <c r="P120" s="278"/>
      <c r="Q120" s="271">
        <f>Q112+Q118+Q119</f>
        <v>7023620.0520888902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-4723871.3999999994</v>
      </c>
      <c r="F122" s="13"/>
      <c r="G122" s="290" t="s">
        <v>89</v>
      </c>
      <c r="H122" s="274"/>
      <c r="I122" s="17"/>
      <c r="J122" s="17"/>
      <c r="K122" s="291">
        <f>-0.3*K112</f>
        <v>-2968841.6879733335</v>
      </c>
      <c r="L122" s="13"/>
      <c r="M122" s="290" t="s">
        <v>89</v>
      </c>
      <c r="N122" s="274"/>
      <c r="O122" s="17"/>
      <c r="P122" s="17"/>
      <c r="Q122" s="291">
        <f>-0.3*Q112</f>
        <v>-2065770.6035555557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11337291.359999999</v>
      </c>
      <c r="F123" s="13"/>
      <c r="G123" s="292" t="s">
        <v>90</v>
      </c>
      <c r="H123" s="261"/>
      <c r="I123" s="261"/>
      <c r="J123" s="261"/>
      <c r="K123" s="293">
        <f>K120+K122</f>
        <v>7125220.0511360001</v>
      </c>
      <c r="L123" s="13"/>
      <c r="M123" s="292" t="s">
        <v>90</v>
      </c>
      <c r="N123" s="261"/>
      <c r="O123" s="261"/>
      <c r="P123" s="261"/>
      <c r="Q123" s="293">
        <f>Q120+Q122</f>
        <v>4957849.4485333348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Retail Buildings</v>
      </c>
      <c r="D125" s="256"/>
      <c r="E125" s="281"/>
      <c r="F125" s="13"/>
      <c r="G125" s="259" t="s">
        <v>355</v>
      </c>
      <c r="H125" s="260"/>
      <c r="I125" s="256" t="str">
        <f>H34</f>
        <v>Multifamily+Retail 1</v>
      </c>
      <c r="J125" s="256"/>
      <c r="K125" s="281"/>
      <c r="L125" s="13"/>
      <c r="M125" s="259" t="s">
        <v>355</v>
      </c>
      <c r="N125" s="260"/>
      <c r="O125" s="256" t="str">
        <f>N34</f>
        <v>Multifamily+Retail 2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Assumptions!$H$8</f>
        <v>0.09</v>
      </c>
      <c r="D130" s="521" t="s">
        <v>356</v>
      </c>
      <c r="E130" s="346">
        <f>E123/C130</f>
        <v>125969904</v>
      </c>
      <c r="F130" s="13"/>
      <c r="G130" s="522" t="s">
        <v>317</v>
      </c>
      <c r="H130" s="523" t="s">
        <v>91</v>
      </c>
      <c r="I130" s="524">
        <f>Assumptions!H6</f>
        <v>8.5000000000000006E-2</v>
      </c>
      <c r="J130" s="521" t="s">
        <v>356</v>
      </c>
      <c r="K130" s="346">
        <f>K123/I130</f>
        <v>83826118.248658821</v>
      </c>
      <c r="L130" s="13"/>
      <c r="M130" s="522" t="s">
        <v>317</v>
      </c>
      <c r="N130" s="523" t="s">
        <v>91</v>
      </c>
      <c r="O130" s="524">
        <f>Assumptions!H6</f>
        <v>8.5000000000000006E-2</v>
      </c>
      <c r="P130" s="521" t="s">
        <v>356</v>
      </c>
      <c r="Q130" s="346">
        <f>Q123/O130</f>
        <v>58327640.570980407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Assumptions!$F$12</f>
        <v>330</v>
      </c>
      <c r="C133" s="395">
        <f>B133*D34</f>
        <v>38490804</v>
      </c>
      <c r="F133" s="13"/>
      <c r="G133" s="88" t="s">
        <v>94</v>
      </c>
      <c r="H133" s="531">
        <f>Assumptions!$F$13</f>
        <v>300</v>
      </c>
      <c r="I133" s="395">
        <f>H133*J34</f>
        <v>45956640</v>
      </c>
      <c r="L133" s="13"/>
      <c r="M133" s="88" t="s">
        <v>94</v>
      </c>
      <c r="N133" s="531">
        <f>Assumptions!$F$13</f>
        <v>300</v>
      </c>
      <c r="O133" s="395">
        <f>N133*P34</f>
        <v>29701890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3849080.4000000004</v>
      </c>
      <c r="E134" s="211"/>
      <c r="G134" s="19" t="s">
        <v>34</v>
      </c>
      <c r="H134" s="624">
        <f>Assumptions!$F$22</f>
        <v>0.1</v>
      </c>
      <c r="I134" s="532">
        <f>H134*I133</f>
        <v>4595664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2970189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2116994.2200000002</v>
      </c>
      <c r="D138" s="603"/>
      <c r="G138" s="19" t="s">
        <v>36</v>
      </c>
      <c r="H138" s="626">
        <f>Assumptions!$F$23</f>
        <v>0.05</v>
      </c>
      <c r="I138" s="398">
        <f>H138*(I$133+I$134)</f>
        <v>2527615.2000000002</v>
      </c>
      <c r="M138" s="19" t="s">
        <v>36</v>
      </c>
      <c r="N138" s="626">
        <f>Assumptions!$F$23</f>
        <v>0.05</v>
      </c>
      <c r="O138" s="398">
        <f>N138*(O$133+O$134)</f>
        <v>1633603.9500000002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846797.68799999997</v>
      </c>
      <c r="G139" s="397" t="s">
        <v>41</v>
      </c>
      <c r="H139" s="626">
        <f>Assumptions!$F$25</f>
        <v>0.02</v>
      </c>
      <c r="I139" s="398">
        <f>H139*(I$133+I$134)</f>
        <v>1011046.0800000001</v>
      </c>
      <c r="M139" s="397" t="s">
        <v>41</v>
      </c>
      <c r="N139" s="626">
        <f>Assumptions!$F$25</f>
        <v>0.02</v>
      </c>
      <c r="O139" s="398">
        <f>N139*(O$133+O$134)</f>
        <v>653441.57999999996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1693595.3759999999</v>
      </c>
      <c r="G141" s="397" t="s">
        <v>45</v>
      </c>
      <c r="H141" s="626">
        <f>Assumptions!$F$27</f>
        <v>0.04</v>
      </c>
      <c r="I141" s="398">
        <f>H141*(I$133+I$134)</f>
        <v>2022092.1600000001</v>
      </c>
      <c r="M141" s="397" t="s">
        <v>45</v>
      </c>
      <c r="N141" s="626">
        <f>Assumptions!$F$27</f>
        <v>0.04</v>
      </c>
      <c r="O141" s="398">
        <f>N141*(O$133+O$134)</f>
        <v>1306883.1599999999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1270196.5319999999</v>
      </c>
      <c r="G142" s="397" t="s">
        <v>47</v>
      </c>
      <c r="H142" s="626">
        <f>Assumptions!$F$28</f>
        <v>0.03</v>
      </c>
      <c r="I142" s="398">
        <f>H142*(I$133+I$134)</f>
        <v>1516569.1199999999</v>
      </c>
      <c r="M142" s="397" t="s">
        <v>47</v>
      </c>
      <c r="N142" s="626">
        <f>Assumptions!$F$28</f>
        <v>0.03</v>
      </c>
      <c r="O142" s="398">
        <f>N142*(O$133+O$134)</f>
        <v>980162.37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2116994.2200000002</v>
      </c>
      <c r="G143" s="397" t="s">
        <v>48</v>
      </c>
      <c r="H143" s="626">
        <f>Assumptions!$F$29</f>
        <v>0.05</v>
      </c>
      <c r="I143" s="398">
        <f>H143*(I$133+I$134)</f>
        <v>2527615.2000000002</v>
      </c>
      <c r="M143" s="397" t="s">
        <v>48</v>
      </c>
      <c r="N143" s="626">
        <f>Assumptions!$F$29</f>
        <v>0.05</v>
      </c>
      <c r="O143" s="398">
        <f>N143*(O$133+O$134)</f>
        <v>1633603.9500000002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1700593.7039999999</v>
      </c>
      <c r="G144" s="397" t="s">
        <v>96</v>
      </c>
      <c r="H144" s="627">
        <f>Assumptions!$F$30*Assumptions!$F$31</f>
        <v>1.35E-2</v>
      </c>
      <c r="I144" s="398">
        <f>H144*K130</f>
        <v>1131652.5963568941</v>
      </c>
      <c r="M144" s="397" t="s">
        <v>96</v>
      </c>
      <c r="N144" s="627">
        <f>Assumptions!$F$30*Assumptions!$F$31</f>
        <v>1.35E-2</v>
      </c>
      <c r="O144" s="398">
        <f>N144*Q130</f>
        <v>787423.14770823554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635098.26599999995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758284.55999999994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490081.185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800000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2361935.6999999997</v>
      </c>
      <c r="G147" s="397" t="s">
        <v>54</v>
      </c>
      <c r="H147" s="628">
        <v>6</v>
      </c>
      <c r="I147" s="398">
        <f>-H147*(K122/12)</f>
        <v>1484420.8439866668</v>
      </c>
      <c r="M147" s="397" t="s">
        <v>54</v>
      </c>
      <c r="N147" s="628">
        <v>6</v>
      </c>
      <c r="O147" s="398">
        <f>-N147*(Q122/12)</f>
        <v>1032885.3017777778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70</v>
      </c>
      <c r="C148" s="398">
        <f>B148*SUM(C91,C96)</f>
        <v>6123537</v>
      </c>
      <c r="G148" s="397" t="s">
        <v>55</v>
      </c>
      <c r="H148" s="629">
        <v>70</v>
      </c>
      <c r="I148" s="398">
        <f>H148*SUM(I91,I96)</f>
        <v>3087792.75</v>
      </c>
      <c r="M148" s="397" t="s">
        <v>55</v>
      </c>
      <c r="N148" s="629">
        <v>70</v>
      </c>
      <c r="O148" s="398">
        <f>N148*SUM(O91,O96)</f>
        <v>2225049.75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787311.9</v>
      </c>
      <c r="G149" s="397" t="s">
        <v>316</v>
      </c>
      <c r="H149" s="630">
        <v>0.05</v>
      </c>
      <c r="I149" s="399">
        <f>H149*SUM(K91,K96)</f>
        <v>397001.92500000005</v>
      </c>
      <c r="J149" s="223"/>
      <c r="M149" s="397" t="s">
        <v>316</v>
      </c>
      <c r="N149" s="630">
        <v>0.05</v>
      </c>
      <c r="O149" s="399">
        <f>N149*SUM(Q91,Q96)</f>
        <v>286077.82500000007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v>611385.16384690569</v>
      </c>
      <c r="D150" s="635"/>
      <c r="G150" s="397" t="s">
        <v>57</v>
      </c>
      <c r="H150" s="631">
        <v>1.4999999999999999E-2</v>
      </c>
      <c r="I150" s="399">
        <v>653718.83445875521</v>
      </c>
      <c r="J150" s="635"/>
      <c r="M150" s="397" t="s">
        <v>57</v>
      </c>
      <c r="N150" s="631">
        <v>1.4999999999999999E-2</v>
      </c>
      <c r="O150" s="399">
        <v>429172.28129795409</v>
      </c>
      <c r="P150" s="635"/>
      <c r="S150" s="397" t="s">
        <v>57</v>
      </c>
      <c r="T150" s="631">
        <v>1.4999999999999999E-2</v>
      </c>
      <c r="U150" s="399">
        <v>0</v>
      </c>
      <c r="V150" s="635"/>
    </row>
    <row r="151" spans="1:23" ht="13">
      <c r="A151" s="536" t="s">
        <v>58</v>
      </c>
      <c r="B151" s="632">
        <v>7.0000000000000007E-2</v>
      </c>
      <c r="C151" s="622">
        <v>2853130.7646188936</v>
      </c>
      <c r="D151" s="635"/>
      <c r="G151" s="536" t="s">
        <v>58</v>
      </c>
      <c r="H151" s="632">
        <v>7.0000000000000007E-2</v>
      </c>
      <c r="I151" s="622">
        <v>3050687.8941408582</v>
      </c>
      <c r="J151" s="635"/>
      <c r="M151" s="536" t="s">
        <v>58</v>
      </c>
      <c r="N151" s="632">
        <v>7.0000000000000007E-2</v>
      </c>
      <c r="O151" s="622">
        <v>2002803.9793904526</v>
      </c>
      <c r="P151" s="635"/>
      <c r="S151" s="536" t="s">
        <v>58</v>
      </c>
      <c r="T151" s="632">
        <v>7.0000000000000007E-2</v>
      </c>
      <c r="U151" s="622"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1674229.9374126059</v>
      </c>
      <c r="D152" s="634"/>
      <c r="G152" s="105" t="s">
        <v>97</v>
      </c>
      <c r="H152" s="633">
        <f>7%</f>
        <v>7.0000000000000007E-2</v>
      </c>
      <c r="I152" s="399">
        <f>H152*SUM(I138:I151)</f>
        <v>1467794.8014760225</v>
      </c>
      <c r="J152" s="223"/>
      <c r="M152" s="105" t="s">
        <v>97</v>
      </c>
      <c r="N152" s="633">
        <f>7%</f>
        <v>7.0000000000000007E-2</v>
      </c>
      <c r="O152" s="399">
        <f>N152*SUM(O138:O151)</f>
        <v>998283.1936122094</v>
      </c>
      <c r="S152" s="105" t="s">
        <v>97</v>
      </c>
      <c r="T152" s="633">
        <f>7%</f>
        <v>7.0000000000000007E-2</v>
      </c>
      <c r="U152" s="399">
        <v>0</v>
      </c>
    </row>
    <row r="153" spans="1:23" ht="14" thickTop="1" thickBot="1">
      <c r="A153" s="538" t="s">
        <v>98</v>
      </c>
      <c r="B153" s="539"/>
      <c r="C153" s="540">
        <f>SUM(C133:C152)</f>
        <v>67931684.871878415</v>
      </c>
      <c r="G153" s="538" t="s">
        <v>98</v>
      </c>
      <c r="H153" s="539"/>
      <c r="I153" s="540">
        <f>SUM(I133:I152)</f>
        <v>72988595.965419173</v>
      </c>
      <c r="M153" s="538" t="s">
        <v>98</v>
      </c>
      <c r="N153" s="539"/>
      <c r="O153" s="540">
        <f>SUM(O133:O152)</f>
        <v>47931550.673786633</v>
      </c>
      <c r="S153" s="538" t="s">
        <v>98</v>
      </c>
      <c r="T153" s="539"/>
      <c r="U153" s="540">
        <f>SUM(U133:U152)</f>
        <v>0</v>
      </c>
    </row>
    <row r="154" spans="1:23" ht="13">
      <c r="A154" s="537" t="s">
        <v>99</v>
      </c>
      <c r="B154" s="401">
        <f>E123/C153</f>
        <v>0.16689253889966862</v>
      </c>
      <c r="C154" s="535"/>
      <c r="G154" s="537" t="s">
        <v>99</v>
      </c>
      <c r="H154" s="401">
        <f>K123/I153</f>
        <v>9.7621004444472595E-2</v>
      </c>
      <c r="I154" s="535"/>
      <c r="M154" s="537" t="s">
        <v>99</v>
      </c>
      <c r="N154" s="401">
        <f>Q123/O153</f>
        <v>0.10343603281845712</v>
      </c>
      <c r="O154" s="535"/>
      <c r="S154" s="537" t="s">
        <v>99</v>
      </c>
      <c r="T154" s="401">
        <v>0</v>
      </c>
      <c r="U154" s="535"/>
    </row>
    <row r="155" spans="1:23" ht="13">
      <c r="A155" s="400" t="s">
        <v>100</v>
      </c>
      <c r="B155" s="401">
        <f>((E130+E131)/C153)-1</f>
        <v>0.85436154332965164</v>
      </c>
      <c r="C155" s="535"/>
      <c r="G155" s="400" t="s">
        <v>100</v>
      </c>
      <c r="H155" s="401">
        <f>((K130+K131)/I153)-1</f>
        <v>0.1484824052290894</v>
      </c>
      <c r="I155" s="535"/>
      <c r="M155" s="400" t="s">
        <v>100</v>
      </c>
      <c r="N155" s="401">
        <f>((Q130+Q131)/O153)-1</f>
        <v>0.21689450374655439</v>
      </c>
      <c r="O155" s="535"/>
      <c r="S155" s="400" t="s">
        <v>100</v>
      </c>
      <c r="T155" s="401">
        <v>0</v>
      </c>
      <c r="U155" s="535"/>
    </row>
    <row r="156" spans="1:23" ht="13.5" thickBot="1">
      <c r="A156" s="119">
        <v>0.3</v>
      </c>
      <c r="B156" s="120">
        <f>((E130+E131)/(1+A156))</f>
        <v>96899926.153846145</v>
      </c>
      <c r="C156" s="535"/>
      <c r="G156" s="119">
        <v>0.3</v>
      </c>
      <c r="H156" s="120">
        <f>((K130+K131)/(1+G156))</f>
        <v>64481629.422045246</v>
      </c>
      <c r="I156" s="535"/>
      <c r="M156" s="119">
        <v>0.3</v>
      </c>
      <c r="N156" s="775">
        <f>((Q130+Q131)/(1+M156))</f>
        <v>44867415.823831081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0.3</v>
      </c>
      <c r="B157" s="120">
        <f>ROUND(((E130+E131)/(1+A157))-C153,0)</f>
        <v>28968241</v>
      </c>
      <c r="C157" s="535"/>
      <c r="G157" s="402">
        <v>0.3</v>
      </c>
      <c r="H157" s="120">
        <f>ROUND(((K130+K131)/(1+G157))-I153,0)</f>
        <v>-8506967</v>
      </c>
      <c r="I157" s="535"/>
      <c r="M157" s="774">
        <v>0.3</v>
      </c>
      <c r="N157" s="777">
        <f>ROUND(((Q130+Q131)/(1+M157))-O153,0)</f>
        <v>-3064135</v>
      </c>
      <c r="O157" s="535"/>
      <c r="S157" s="402">
        <v>0.3</v>
      </c>
      <c r="T157" s="120">
        <f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Retail Buildings</v>
      </c>
      <c r="G158" s="644" t="s">
        <v>101</v>
      </c>
      <c r="H158" s="645"/>
      <c r="I158" s="646" t="str">
        <f>H34</f>
        <v>Multifamily+Retail 1</v>
      </c>
      <c r="M158" s="254" t="s">
        <v>101</v>
      </c>
      <c r="N158" s="776"/>
      <c r="O158" s="121" t="str">
        <f>N34</f>
        <v>Multifamily+Retail 2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0</v>
      </c>
      <c r="C160" s="648">
        <f>IFERROR(B160/#REF!,0)</f>
        <v>0</v>
      </c>
      <c r="G160" s="647" t="s">
        <v>103</v>
      </c>
      <c r="H160" s="91">
        <f>IF(H157&lt;0,H157,0)</f>
        <v>-8506967</v>
      </c>
      <c r="I160" s="648">
        <f>IFERROR(H160/#REF!,0)</f>
        <v>0</v>
      </c>
      <c r="M160" s="24" t="s">
        <v>103</v>
      </c>
      <c r="N160" s="91">
        <f>IF(N157&lt;0,N157,0)</f>
        <v>-3064135</v>
      </c>
      <c r="O160" s="125">
        <f>IFERROR(N160/#REF!,0)</f>
        <v>0</v>
      </c>
      <c r="S160" s="647" t="s">
        <v>103</v>
      </c>
      <c r="T160" s="91">
        <f>IF(T157&lt;0,T157,0)</f>
        <v>0</v>
      </c>
      <c r="U160" s="648">
        <f>IFERROR(T160/#REF!,0)</f>
        <v>0</v>
      </c>
    </row>
    <row r="161" spans="1:23" ht="13">
      <c r="A161" s="647" t="s">
        <v>104</v>
      </c>
      <c r="B161" s="91">
        <f>C153+B160</f>
        <v>67931684.871878415</v>
      </c>
      <c r="C161" s="648">
        <f>IFERROR(B161/#REF!,0)</f>
        <v>0</v>
      </c>
      <c r="G161" s="647" t="s">
        <v>104</v>
      </c>
      <c r="H161" s="91">
        <f>I153+H160</f>
        <v>64481628.965419173</v>
      </c>
      <c r="I161" s="648">
        <f>IFERROR(H161/#REF!,0)</f>
        <v>0</v>
      </c>
      <c r="M161" s="25" t="s">
        <v>104</v>
      </c>
      <c r="N161" s="91">
        <f>O153+N160</f>
        <v>44867415.673786633</v>
      </c>
      <c r="O161" s="125">
        <f>IFERROR(N161/#REF!,0)</f>
        <v>0</v>
      </c>
      <c r="S161" s="647" t="s">
        <v>104</v>
      </c>
      <c r="T161" s="91">
        <f>U153+T160</f>
        <v>0</v>
      </c>
      <c r="U161" s="648">
        <f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33965842.435939208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36494297.982709587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>M162*O$153</f>
        <v>23965775.336893316</v>
      </c>
      <c r="O162" s="125">
        <f>IFERROR(N162/#REF!,0)</f>
        <v>0</v>
      </c>
      <c r="P162" s="21"/>
      <c r="Q162" s="347"/>
      <c r="R162" s="347"/>
      <c r="S162" s="126">
        <f>Assumptions!$H$14</f>
        <v>0.5</v>
      </c>
      <c r="T162" s="92">
        <f>S162*U$153</f>
        <v>0</v>
      </c>
      <c r="U162" s="648">
        <f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33965842.435939208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36494297.982709587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>M163*O$153</f>
        <v>23965775.336893316</v>
      </c>
      <c r="O163" s="241">
        <f>IFERROR(N163/#REF!,0)</f>
        <v>0</v>
      </c>
      <c r="P163" s="5"/>
      <c r="Q163" s="347"/>
      <c r="R163" s="347"/>
      <c r="S163" s="127">
        <f>1-S162</f>
        <v>0.5</v>
      </c>
      <c r="T163" s="240">
        <f>S163*U$153</f>
        <v>0</v>
      </c>
      <c r="U163" s="649">
        <f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67931684.871878415</v>
      </c>
      <c r="C164" s="652">
        <f>ROUND((C163+C162),-3)</f>
        <v>0</v>
      </c>
      <c r="D164" s="23"/>
      <c r="G164" s="650" t="s">
        <v>105</v>
      </c>
      <c r="H164" s="651">
        <f>H162+H163</f>
        <v>72988595.965419173</v>
      </c>
      <c r="I164" s="652">
        <f>ROUND((I163+I162),-3)</f>
        <v>0</v>
      </c>
      <c r="J164" s="23"/>
      <c r="M164" s="54" t="s">
        <v>105</v>
      </c>
      <c r="N164" s="128">
        <f>N162+N163</f>
        <v>47931550.673786633</v>
      </c>
      <c r="O164" s="93">
        <f>ROUND((O163+O162),-3)</f>
        <v>0</v>
      </c>
      <c r="P164" s="23"/>
      <c r="S164" s="650" t="s">
        <v>105</v>
      </c>
      <c r="T164" s="651">
        <f>T162+T163</f>
        <v>0</v>
      </c>
      <c r="U164" s="652">
        <f>ROUND((U163+U162),-3)</f>
        <v>0</v>
      </c>
      <c r="V164" s="23"/>
    </row>
  </sheetData>
  <mergeCells count="9">
    <mergeCell ref="T111:U111"/>
    <mergeCell ref="S113:W113"/>
    <mergeCell ref="D2:E2"/>
    <mergeCell ref="B111:C111"/>
    <mergeCell ref="A113:E113"/>
    <mergeCell ref="H111:I111"/>
    <mergeCell ref="N111:O111"/>
    <mergeCell ref="G113:K113"/>
    <mergeCell ref="M113:Q113"/>
  </mergeCells>
  <conditionalFormatting sqref="C47">
    <cfRule type="expression" dxfId="368" priority="66">
      <formula>C53&gt;D46</formula>
    </cfRule>
  </conditionalFormatting>
  <conditionalFormatting sqref="C63">
    <cfRule type="expression" dxfId="367" priority="63">
      <formula>C69&gt;D62</formula>
    </cfRule>
  </conditionalFormatting>
  <conditionalFormatting sqref="C79">
    <cfRule type="expression" dxfId="366" priority="53">
      <formula>C85&gt;D78</formula>
    </cfRule>
  </conditionalFormatting>
  <conditionalFormatting sqref="I79">
    <cfRule type="expression" dxfId="365" priority="12">
      <formula>I85&gt;J78</formula>
    </cfRule>
  </conditionalFormatting>
  <conditionalFormatting sqref="C56">
    <cfRule type="expression" dxfId="364" priority="88">
      <formula>C60&gt;D55</formula>
    </cfRule>
  </conditionalFormatting>
  <conditionalFormatting sqref="I47">
    <cfRule type="expression" dxfId="363" priority="14">
      <formula>I53&gt;J46</formula>
    </cfRule>
  </conditionalFormatting>
  <conditionalFormatting sqref="I63">
    <cfRule type="expression" dxfId="362" priority="13">
      <formula>I69&gt;J62</formula>
    </cfRule>
  </conditionalFormatting>
  <conditionalFormatting sqref="I56">
    <cfRule type="expression" dxfId="361" priority="15">
      <formula>I60&gt;J55</formula>
    </cfRule>
  </conditionalFormatting>
  <conditionalFormatting sqref="C72">
    <cfRule type="expression" dxfId="360" priority="31">
      <formula>C76&gt;D71</formula>
    </cfRule>
  </conditionalFormatting>
  <conditionalFormatting sqref="I72">
    <cfRule type="expression" dxfId="359" priority="11">
      <formula>I76&gt;J71</formula>
    </cfRule>
  </conditionalFormatting>
  <conditionalFormatting sqref="O47">
    <cfRule type="expression" dxfId="358" priority="9">
      <formula>O53&gt;P46</formula>
    </cfRule>
  </conditionalFormatting>
  <conditionalFormatting sqref="O63">
    <cfRule type="expression" dxfId="357" priority="8">
      <formula>O69&gt;P62</formula>
    </cfRule>
  </conditionalFormatting>
  <conditionalFormatting sqref="O79">
    <cfRule type="expression" dxfId="356" priority="7">
      <formula>O85&gt;P78</formula>
    </cfRule>
  </conditionalFormatting>
  <conditionalFormatting sqref="O56">
    <cfRule type="expression" dxfId="355" priority="10">
      <formula>O60&gt;P55</formula>
    </cfRule>
  </conditionalFormatting>
  <conditionalFormatting sqref="O72">
    <cfRule type="expression" dxfId="354" priority="6">
      <formula>O76&gt;P71</formula>
    </cfRule>
  </conditionalFormatting>
  <conditionalFormatting sqref="U47">
    <cfRule type="expression" dxfId="353" priority="4">
      <formula>U53&gt;V46</formula>
    </cfRule>
  </conditionalFormatting>
  <conditionalFormatting sqref="U63">
    <cfRule type="expression" dxfId="352" priority="3">
      <formula>U69&gt;V62</formula>
    </cfRule>
  </conditionalFormatting>
  <conditionalFormatting sqref="U79">
    <cfRule type="expression" dxfId="351" priority="2">
      <formula>U85&gt;V78</formula>
    </cfRule>
  </conditionalFormatting>
  <conditionalFormatting sqref="U56">
    <cfRule type="expression" dxfId="350" priority="5">
      <formula>U60&gt;V55</formula>
    </cfRule>
  </conditionalFormatting>
  <conditionalFormatting sqref="U72">
    <cfRule type="expression" dxfId="349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051FD3-7D1F-4274-8C1C-989D6A761064}">
  <sheetPr>
    <tabColor rgb="FF0070C0"/>
  </sheetPr>
  <dimension ref="A1:BX608"/>
  <sheetViews>
    <sheetView zoomScale="85" zoomScaleNormal="85" zoomScalePageLayoutView="125" workbookViewId="0">
      <pane xSplit="1" ySplit="3" topLeftCell="B4" activePane="bottomRight" state="frozen"/>
      <selection activeCell="A37" sqref="A37"/>
      <selection pane="topRight" activeCell="A37" sqref="A37"/>
      <selection pane="bottomLeft" activeCell="A37" sqref="A37"/>
      <selection pane="bottomRight" activeCell="A28" sqref="A28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bestFit="1" customWidth="1"/>
    <col min="4" max="4" width="19.54296875" style="5" bestFit="1" customWidth="1"/>
    <col min="5" max="6" width="17.6328125" style="5" customWidth="1"/>
    <col min="7" max="7" width="17.6328125" style="55" customWidth="1"/>
    <col min="8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tr">
        <f>'Development Program'!B63</f>
        <v>A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1/1/26 to 3/31/27</v>
      </c>
      <c r="D2" s="518" t="str">
        <f>INDEX('Development Program'!$B$62:$H$71,MATCH($A$1,'Development Program'!$B$62:$B$71,0),MATCH(D1,'Development Program'!$B$62:$H$62,0))</f>
        <v>4/1/27 to 9/30/28</v>
      </c>
      <c r="E2" s="518" t="str">
        <f>INDEX('Development Program'!$B$62:$H$71,MATCH($A$1,'Development Program'!$B$62:$B$71,0),MATCH(E1,'Development Program'!$B$62:$H$62,0))</f>
        <v>10/1/28 to 3/31/28</v>
      </c>
      <c r="G2" s="5"/>
      <c r="I2" s="601" t="s">
        <v>121</v>
      </c>
      <c r="J2" s="601" t="s">
        <v>122</v>
      </c>
      <c r="O2" s="601" t="s">
        <v>123</v>
      </c>
      <c r="P2" s="601" t="s">
        <v>124</v>
      </c>
      <c r="Q2" s="601" t="s">
        <v>125</v>
      </c>
      <c r="W2" s="99"/>
      <c r="X2" s="99"/>
      <c r="Y2" s="99"/>
      <c r="Z2" s="99"/>
      <c r="AA2" s="99"/>
      <c r="AB2" s="99"/>
      <c r="AC2" s="99"/>
      <c r="AD2" s="99"/>
      <c r="AE2" s="99"/>
      <c r="AF2" s="99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83">
        <v>46388</v>
      </c>
      <c r="J3" s="83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102">
        <f t="shared" si="0"/>
        <v>46873</v>
      </c>
      <c r="O3" s="83">
        <f t="shared" si="0"/>
        <v>46965</v>
      </c>
      <c r="P3" s="83">
        <f t="shared" si="0"/>
        <v>47057</v>
      </c>
      <c r="Q3" s="83">
        <f t="shared" si="0"/>
        <v>47149</v>
      </c>
      <c r="R3" s="102">
        <f t="shared" si="0"/>
        <v>47238</v>
      </c>
      <c r="S3" s="102">
        <f t="shared" si="0"/>
        <v>47330</v>
      </c>
      <c r="T3" s="102">
        <f t="shared" si="0"/>
        <v>47422</v>
      </c>
      <c r="U3" s="102">
        <f t="shared" si="0"/>
        <v>47514</v>
      </c>
      <c r="V3" s="102">
        <f>EOMONTH(U3,5)</f>
        <v>47664</v>
      </c>
      <c r="W3" s="100">
        <f t="shared" si="0"/>
        <v>47756</v>
      </c>
      <c r="X3" s="102">
        <f t="shared" si="0"/>
        <v>47848</v>
      </c>
      <c r="Y3" s="102">
        <f t="shared" si="0"/>
        <v>47938</v>
      </c>
      <c r="Z3" s="102">
        <f t="shared" si="0"/>
        <v>48029</v>
      </c>
      <c r="AA3" s="102">
        <f t="shared" si="0"/>
        <v>48121</v>
      </c>
      <c r="AB3" s="102">
        <f t="shared" si="0"/>
        <v>48213</v>
      </c>
      <c r="AC3" s="102">
        <f t="shared" si="0"/>
        <v>48304</v>
      </c>
      <c r="AD3" s="102">
        <f t="shared" si="0"/>
        <v>48395</v>
      </c>
      <c r="AE3" s="102">
        <f t="shared" si="0"/>
        <v>48487</v>
      </c>
      <c r="AF3" s="102">
        <f t="shared" si="0"/>
        <v>48579</v>
      </c>
      <c r="AG3" s="102">
        <f t="shared" si="0"/>
        <v>48669</v>
      </c>
      <c r="AH3" s="102">
        <f t="shared" si="0"/>
        <v>48760</v>
      </c>
      <c r="AI3" s="102">
        <f t="shared" si="0"/>
        <v>48852</v>
      </c>
      <c r="AJ3" s="102">
        <f t="shared" si="0"/>
        <v>48944</v>
      </c>
      <c r="AK3" s="102">
        <f t="shared" si="0"/>
        <v>49034</v>
      </c>
      <c r="AL3" s="102">
        <f>EOMONTH(AK3,3)</f>
        <v>49125</v>
      </c>
      <c r="AM3" s="102">
        <f t="shared" ref="AM3:AU3" si="1">EOMONTH(AL3,3)</f>
        <v>49217</v>
      </c>
      <c r="AN3" s="102">
        <f t="shared" si="1"/>
        <v>49309</v>
      </c>
      <c r="AO3" s="102">
        <f t="shared" si="1"/>
        <v>49399</v>
      </c>
      <c r="AP3" s="102">
        <f t="shared" si="1"/>
        <v>49490</v>
      </c>
      <c r="AQ3" s="102">
        <f t="shared" si="1"/>
        <v>49582</v>
      </c>
      <c r="AR3" s="102">
        <f t="shared" si="1"/>
        <v>49674</v>
      </c>
      <c r="AS3" s="102">
        <f>EOMONTH(AR3,3)</f>
        <v>49765</v>
      </c>
      <c r="AT3" s="102">
        <f t="shared" si="1"/>
        <v>49856</v>
      </c>
      <c r="AU3" s="102">
        <f t="shared" si="1"/>
        <v>49948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>
        <v>0</v>
      </c>
      <c r="D4" s="97">
        <v>0</v>
      </c>
      <c r="E4" s="97">
        <v>0</v>
      </c>
      <c r="F4" s="96">
        <f t="shared" ref="F4:G4" si="2">E4</f>
        <v>0</v>
      </c>
      <c r="G4" s="96">
        <f t="shared" si="2"/>
        <v>0</v>
      </c>
      <c r="H4" s="96">
        <v>0</v>
      </c>
      <c r="I4" s="96">
        <v>0</v>
      </c>
      <c r="J4" s="96">
        <v>0.1</v>
      </c>
      <c r="K4" s="96">
        <v>0.15</v>
      </c>
      <c r="L4" s="96">
        <v>0.3</v>
      </c>
      <c r="M4" s="96">
        <v>0.25</v>
      </c>
      <c r="N4" s="96">
        <v>0.15</v>
      </c>
      <c r="O4" s="96">
        <v>0.05</v>
      </c>
      <c r="P4" s="96"/>
      <c r="Q4" s="96"/>
      <c r="R4" s="96"/>
      <c r="S4" s="96"/>
      <c r="T4" s="96"/>
      <c r="U4" s="96"/>
      <c r="V4" s="96"/>
      <c r="W4" s="97"/>
      <c r="X4" s="97"/>
      <c r="Y4" s="97"/>
      <c r="Z4" s="97"/>
      <c r="AA4" s="97"/>
      <c r="AB4" s="97"/>
      <c r="AC4" s="97"/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'A Financial'!$A7</f>
        <v>Hard Costs for Construction</v>
      </c>
      <c r="B5" s="140">
        <f>'A Financial'!$B7</f>
        <v>114149334</v>
      </c>
      <c r="C5" s="141">
        <f>$B$5*C4</f>
        <v>0</v>
      </c>
      <c r="D5" s="141">
        <f t="shared" ref="D5:O5" si="3">$B$5*D4</f>
        <v>0</v>
      </c>
      <c r="E5" s="141">
        <f t="shared" si="3"/>
        <v>0</v>
      </c>
      <c r="F5" s="141">
        <f t="shared" si="3"/>
        <v>0</v>
      </c>
      <c r="G5" s="141">
        <f t="shared" si="3"/>
        <v>0</v>
      </c>
      <c r="H5" s="141">
        <f t="shared" si="3"/>
        <v>0</v>
      </c>
      <c r="I5" s="141">
        <f t="shared" si="3"/>
        <v>0</v>
      </c>
      <c r="J5" s="141">
        <f t="shared" si="3"/>
        <v>11414933.4</v>
      </c>
      <c r="K5" s="141">
        <f t="shared" si="3"/>
        <v>17122400.099999998</v>
      </c>
      <c r="L5" s="141">
        <f t="shared" si="3"/>
        <v>34244800.199999996</v>
      </c>
      <c r="M5" s="141">
        <f t="shared" si="3"/>
        <v>28537333.5</v>
      </c>
      <c r="N5" s="141">
        <f t="shared" si="3"/>
        <v>17122400.099999998</v>
      </c>
      <c r="O5" s="141">
        <f t="shared" si="3"/>
        <v>5707466.7000000002</v>
      </c>
      <c r="P5" s="141"/>
      <c r="Q5" s="141"/>
      <c r="R5" s="141"/>
      <c r="S5" s="141"/>
      <c r="T5" s="141"/>
      <c r="U5" s="141"/>
      <c r="V5" s="141"/>
      <c r="W5" s="142"/>
      <c r="X5" s="142"/>
      <c r="Y5" s="142"/>
      <c r="Z5" s="142"/>
      <c r="AA5" s="142"/>
      <c r="AB5" s="142"/>
      <c r="AC5" s="142"/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114149333.99999999</v>
      </c>
      <c r="AW5" s="142">
        <f t="shared" ref="AW5:AW24" si="4">B5</f>
        <v>114149334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'A Financial'!$A8</f>
        <v>Hard Cost Contingency</v>
      </c>
      <c r="B6" s="140">
        <f>'A Financial'!$B8</f>
        <v>11414933.4</v>
      </c>
      <c r="C6" s="141">
        <f t="shared" ref="C6:O6" si="5">$B6*C$4</f>
        <v>0</v>
      </c>
      <c r="D6" s="141">
        <f t="shared" si="5"/>
        <v>0</v>
      </c>
      <c r="E6" s="141">
        <f t="shared" si="5"/>
        <v>0</v>
      </c>
      <c r="F6" s="141">
        <f t="shared" si="5"/>
        <v>0</v>
      </c>
      <c r="G6" s="141">
        <f t="shared" si="5"/>
        <v>0</v>
      </c>
      <c r="H6" s="141">
        <f t="shared" si="5"/>
        <v>0</v>
      </c>
      <c r="I6" s="141">
        <f t="shared" si="5"/>
        <v>0</v>
      </c>
      <c r="J6" s="141">
        <f t="shared" si="5"/>
        <v>1141493.3400000001</v>
      </c>
      <c r="K6" s="141">
        <f t="shared" si="5"/>
        <v>1712240.01</v>
      </c>
      <c r="L6" s="141">
        <f t="shared" si="5"/>
        <v>3424480.02</v>
      </c>
      <c r="M6" s="141">
        <f t="shared" si="5"/>
        <v>2853733.35</v>
      </c>
      <c r="N6" s="141">
        <f t="shared" si="5"/>
        <v>1712240.01</v>
      </c>
      <c r="O6" s="141">
        <f t="shared" si="5"/>
        <v>570746.67000000004</v>
      </c>
      <c r="P6" s="141"/>
      <c r="Q6" s="141"/>
      <c r="R6" s="141"/>
      <c r="S6" s="141"/>
      <c r="T6" s="141"/>
      <c r="U6" s="141"/>
      <c r="V6" s="141"/>
      <c r="W6" s="142"/>
      <c r="X6" s="142"/>
      <c r="Y6" s="142"/>
      <c r="Z6" s="142"/>
      <c r="AA6" s="142"/>
      <c r="AB6" s="142"/>
      <c r="AC6" s="142"/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11414933.4</v>
      </c>
      <c r="AW6" s="142">
        <f t="shared" si="4"/>
        <v>11414933.4</v>
      </c>
      <c r="AX6" s="142">
        <f t="shared" ref="AX6:AX24" si="6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'A Financial'!$A9</f>
        <v>Demolition</v>
      </c>
      <c r="B7" s="140">
        <f>'A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2"/>
      <c r="X7" s="142"/>
      <c r="Y7" s="142"/>
      <c r="Z7" s="142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4"/>
        <v>0</v>
      </c>
      <c r="AX7" s="142">
        <f t="shared" si="6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'A Financial'!$A10</f>
        <v>Land Cost</v>
      </c>
      <c r="B8" s="140">
        <f>'A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6"/>
      <c r="N8" s="143"/>
      <c r="O8" s="143"/>
      <c r="P8" s="143"/>
      <c r="Q8" s="143"/>
      <c r="R8" s="143"/>
      <c r="S8" s="143"/>
      <c r="T8" s="143"/>
      <c r="U8" s="143"/>
      <c r="V8" s="143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4"/>
        <v>0</v>
      </c>
      <c r="AX8" s="142">
        <f t="shared" si="6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'A Financial'!$A11</f>
        <v>Infrastructure Cost less Subsidy</v>
      </c>
      <c r="B9" s="140">
        <f>'A Financial'!$B11</f>
        <v>5297619.0476190476</v>
      </c>
      <c r="C9" s="146"/>
      <c r="D9" s="143"/>
      <c r="E9" s="141"/>
      <c r="F9" s="141"/>
      <c r="G9" s="141"/>
      <c r="H9" s="144"/>
      <c r="I9" s="141"/>
      <c r="J9" s="141"/>
      <c r="K9" s="143"/>
      <c r="L9" s="141">
        <f>$B$9/2</f>
        <v>2648809.5238095238</v>
      </c>
      <c r="M9" s="141">
        <f>$B$9/2</f>
        <v>2648809.5238095238</v>
      </c>
      <c r="N9" s="143"/>
      <c r="O9" s="143"/>
      <c r="P9" s="143"/>
      <c r="Q9" s="143"/>
      <c r="R9" s="653"/>
      <c r="S9" s="654"/>
      <c r="T9" s="143"/>
      <c r="U9" s="143"/>
      <c r="V9" s="143"/>
      <c r="W9" s="147"/>
      <c r="X9" s="147"/>
      <c r="Y9" s="147"/>
      <c r="Z9" s="147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7">SUM(C9:AU9)</f>
        <v>5297619.0476190476</v>
      </c>
      <c r="AW9" s="142">
        <f t="shared" si="4"/>
        <v>5297619.0476190476</v>
      </c>
      <c r="AX9" s="142">
        <f t="shared" si="6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'A Financial'!$A12</f>
        <v>Municipal Fees and Allowances</v>
      </c>
      <c r="B10" s="140">
        <f>'A Financial'!$B12</f>
        <v>6278213.3700000001</v>
      </c>
      <c r="C10" s="148"/>
      <c r="D10" s="147"/>
      <c r="E10" s="149"/>
      <c r="F10" s="149"/>
      <c r="G10" s="149"/>
      <c r="H10" s="149"/>
      <c r="I10" s="149"/>
      <c r="J10" s="141">
        <f>B10</f>
        <v>6278213.3700000001</v>
      </c>
      <c r="K10" s="147"/>
      <c r="L10" s="147"/>
      <c r="M10" s="147"/>
      <c r="N10" s="147"/>
      <c r="O10" s="147"/>
      <c r="P10" s="141"/>
      <c r="Q10" s="141"/>
      <c r="R10" s="487"/>
      <c r="S10" s="487"/>
      <c r="T10" s="147"/>
      <c r="U10" s="144"/>
      <c r="V10" s="144"/>
      <c r="W10" s="150"/>
      <c r="X10" s="150"/>
      <c r="Y10" s="150"/>
      <c r="Z10" s="150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7"/>
        <v>6278213.3700000001</v>
      </c>
      <c r="AW10" s="142">
        <f t="shared" si="4"/>
        <v>6278213.3700000001</v>
      </c>
      <c r="AX10" s="142">
        <f t="shared" si="6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'A Financial'!$A13</f>
        <v>Legal</v>
      </c>
      <c r="B11" s="140">
        <f>'A Financial'!$B13</f>
        <v>2511285.3480000002</v>
      </c>
      <c r="C11" s="148"/>
      <c r="D11" s="148"/>
      <c r="E11" s="141">
        <f>$B$11/5</f>
        <v>502257.06960000005</v>
      </c>
      <c r="F11" s="141">
        <f t="shared" ref="F11:I11" si="8">$B$11/5</f>
        <v>502257.06960000005</v>
      </c>
      <c r="G11" s="141">
        <f t="shared" si="8"/>
        <v>502257.06960000005</v>
      </c>
      <c r="H11" s="141">
        <f t="shared" si="8"/>
        <v>502257.06960000005</v>
      </c>
      <c r="I11" s="141">
        <f t="shared" si="8"/>
        <v>502257.06960000005</v>
      </c>
      <c r="J11" s="141"/>
      <c r="K11" s="147"/>
      <c r="L11" s="147"/>
      <c r="M11" s="147"/>
      <c r="N11" s="147"/>
      <c r="O11" s="147"/>
      <c r="P11" s="147"/>
      <c r="Q11" s="147"/>
      <c r="R11" s="147"/>
      <c r="S11" s="147"/>
      <c r="T11" s="147"/>
      <c r="U11" s="143"/>
      <c r="V11" s="143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7"/>
        <v>2511285.3480000002</v>
      </c>
      <c r="AW11" s="142">
        <f t="shared" si="4"/>
        <v>2511285.3480000002</v>
      </c>
      <c r="AX11" s="142">
        <f t="shared" si="6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'A Financial'!$A14</f>
        <v>Land Closing Costs/commissions</v>
      </c>
      <c r="B12" s="140">
        <f>'A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2"/>
      <c r="X12" s="142"/>
      <c r="Y12" s="142"/>
      <c r="Z12" s="142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7"/>
        <v>0</v>
      </c>
      <c r="AW12" s="142">
        <f t="shared" si="4"/>
        <v>0</v>
      </c>
      <c r="AX12" s="142">
        <f t="shared" si="6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'A Financial'!$A15</f>
        <v xml:space="preserve">Design </v>
      </c>
      <c r="B13" s="140">
        <f>'A Financial'!$B15</f>
        <v>5022570.6960000005</v>
      </c>
      <c r="C13" s="141"/>
      <c r="D13" s="141">
        <f>$B$13/10</f>
        <v>502257.06960000005</v>
      </c>
      <c r="E13" s="141">
        <f t="shared" ref="E13:M13" si="9">$B$13/10</f>
        <v>502257.06960000005</v>
      </c>
      <c r="F13" s="141">
        <f t="shared" si="9"/>
        <v>502257.06960000005</v>
      </c>
      <c r="G13" s="141">
        <f t="shared" si="9"/>
        <v>502257.06960000005</v>
      </c>
      <c r="H13" s="141">
        <f t="shared" si="9"/>
        <v>502257.06960000005</v>
      </c>
      <c r="I13" s="141">
        <f t="shared" si="9"/>
        <v>502257.06960000005</v>
      </c>
      <c r="J13" s="141">
        <f t="shared" si="9"/>
        <v>502257.06960000005</v>
      </c>
      <c r="K13" s="141">
        <f t="shared" si="9"/>
        <v>502257.06960000005</v>
      </c>
      <c r="L13" s="141">
        <f t="shared" si="9"/>
        <v>502257.06960000005</v>
      </c>
      <c r="M13" s="141">
        <f t="shared" si="9"/>
        <v>502257.06960000005</v>
      </c>
      <c r="N13" s="141"/>
      <c r="O13" s="141"/>
      <c r="P13" s="141"/>
      <c r="Q13" s="141"/>
      <c r="R13" s="141"/>
      <c r="S13" s="141"/>
      <c r="T13" s="141"/>
      <c r="U13" s="141"/>
      <c r="V13" s="141"/>
      <c r="W13" s="142"/>
      <c r="X13" s="142"/>
      <c r="Y13" s="142"/>
      <c r="Z13" s="142"/>
      <c r="AA13" s="142"/>
      <c r="AB13" s="142"/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7"/>
        <v>5022570.6960000005</v>
      </c>
      <c r="AW13" s="142">
        <f t="shared" si="4"/>
        <v>5022570.6960000005</v>
      </c>
      <c r="AX13" s="142">
        <f t="shared" si="6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'A Financial'!$A16</f>
        <v>Developer Fee</v>
      </c>
      <c r="B14" s="140">
        <f>'A Financial'!$B16</f>
        <v>3766928.0219999999</v>
      </c>
      <c r="C14" s="141"/>
      <c r="D14" s="141"/>
      <c r="E14" s="141"/>
      <c r="F14" s="141"/>
      <c r="G14" s="141"/>
      <c r="H14" s="141"/>
      <c r="I14" s="141"/>
      <c r="J14" s="141">
        <f>$B$14/6</f>
        <v>627821.33699999994</v>
      </c>
      <c r="K14" s="141">
        <f t="shared" ref="K14:O14" si="10">$B$14/6</f>
        <v>627821.33699999994</v>
      </c>
      <c r="L14" s="141">
        <f t="shared" si="10"/>
        <v>627821.33699999994</v>
      </c>
      <c r="M14" s="141">
        <f t="shared" si="10"/>
        <v>627821.33699999994</v>
      </c>
      <c r="N14" s="141">
        <f t="shared" si="10"/>
        <v>627821.33699999994</v>
      </c>
      <c r="O14" s="141">
        <f t="shared" si="10"/>
        <v>627821.33699999994</v>
      </c>
      <c r="P14" s="141"/>
      <c r="Q14" s="141"/>
      <c r="R14" s="141"/>
      <c r="S14" s="141"/>
      <c r="T14" s="141"/>
      <c r="U14" s="141"/>
      <c r="V14" s="141"/>
      <c r="W14" s="142"/>
      <c r="X14" s="142"/>
      <c r="Y14" s="142"/>
      <c r="Z14" s="142"/>
      <c r="AA14" s="142"/>
      <c r="AB14" s="142"/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7"/>
        <v>3766928.0219999994</v>
      </c>
      <c r="AW14" s="142">
        <f t="shared" si="4"/>
        <v>3766928.0219999999</v>
      </c>
      <c r="AX14" s="142">
        <f t="shared" si="6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'A Financial'!$A17</f>
        <v>Construction Management Fee</v>
      </c>
      <c r="B15" s="140">
        <f>'A Financial'!$B17</f>
        <v>6278213.3700000001</v>
      </c>
      <c r="C15" s="141"/>
      <c r="D15" s="141"/>
      <c r="E15" s="141"/>
      <c r="F15" s="141"/>
      <c r="G15" s="141"/>
      <c r="H15" s="141"/>
      <c r="I15" s="141"/>
      <c r="J15" s="141">
        <f>$B$15/6</f>
        <v>1046368.895</v>
      </c>
      <c r="K15" s="141">
        <f t="shared" ref="K15:O15" si="11">$B$15/6</f>
        <v>1046368.895</v>
      </c>
      <c r="L15" s="141">
        <f t="shared" si="11"/>
        <v>1046368.895</v>
      </c>
      <c r="M15" s="141">
        <f t="shared" si="11"/>
        <v>1046368.895</v>
      </c>
      <c r="N15" s="141">
        <f t="shared" si="11"/>
        <v>1046368.895</v>
      </c>
      <c r="O15" s="141">
        <f t="shared" si="11"/>
        <v>1046368.895</v>
      </c>
      <c r="P15" s="141"/>
      <c r="Q15" s="141"/>
      <c r="R15" s="141"/>
      <c r="S15" s="141"/>
      <c r="T15" s="141"/>
      <c r="U15" s="141"/>
      <c r="V15" s="141"/>
      <c r="W15" s="142"/>
      <c r="X15" s="142"/>
      <c r="Y15" s="142"/>
      <c r="Z15" s="142"/>
      <c r="AA15" s="142"/>
      <c r="AB15" s="142"/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7"/>
        <v>6278213.3699999992</v>
      </c>
      <c r="AW15" s="142">
        <f t="shared" si="4"/>
        <v>6278213.3700000001</v>
      </c>
      <c r="AX15" s="142">
        <f t="shared" si="6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'A Financial'!$A18</f>
        <v>Taxes</v>
      </c>
      <c r="B16" s="140">
        <f>'A Financial'!$B18</f>
        <v>3619669.4480651291</v>
      </c>
      <c r="C16" s="145"/>
      <c r="D16" s="141"/>
      <c r="E16" s="141"/>
      <c r="F16" s="141"/>
      <c r="G16" s="144"/>
      <c r="H16" s="141"/>
      <c r="I16" s="141"/>
      <c r="J16" s="141">
        <f>$B$16/6</f>
        <v>603278.24134418822</v>
      </c>
      <c r="K16" s="141">
        <f t="shared" ref="K16:O16" si="12">$B$16/6</f>
        <v>603278.24134418822</v>
      </c>
      <c r="L16" s="141">
        <f t="shared" si="12"/>
        <v>603278.24134418822</v>
      </c>
      <c r="M16" s="141">
        <f t="shared" si="12"/>
        <v>603278.24134418822</v>
      </c>
      <c r="N16" s="141">
        <f t="shared" si="12"/>
        <v>603278.24134418822</v>
      </c>
      <c r="O16" s="141">
        <f t="shared" si="12"/>
        <v>603278.24134418822</v>
      </c>
      <c r="P16" s="141"/>
      <c r="Q16" s="98"/>
      <c r="R16" s="141"/>
      <c r="S16" s="98"/>
      <c r="T16" s="141"/>
      <c r="U16" s="141"/>
      <c r="V16" s="141"/>
      <c r="W16" s="142"/>
      <c r="X16" s="142"/>
      <c r="Y16" s="142"/>
      <c r="Z16" s="142"/>
      <c r="AA16" s="142"/>
      <c r="AB16" s="142"/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7"/>
        <v>3619669.4480651296</v>
      </c>
      <c r="AW16" s="142">
        <f t="shared" si="4"/>
        <v>3619669.4480651291</v>
      </c>
      <c r="AX16" s="142">
        <f t="shared" si="6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'A Financial'!$A19</f>
        <v>Insurance</v>
      </c>
      <c r="B17" s="140">
        <f>'A Financial'!$B19</f>
        <v>1883464.0109999999</v>
      </c>
      <c r="C17" s="145"/>
      <c r="D17" s="144"/>
      <c r="E17" s="144"/>
      <c r="F17" s="141"/>
      <c r="G17" s="141"/>
      <c r="H17" s="141"/>
      <c r="I17" s="141"/>
      <c r="J17" s="141">
        <f>B17</f>
        <v>1883464.0109999999</v>
      </c>
      <c r="K17" s="141"/>
      <c r="L17" s="145"/>
      <c r="M17" s="141"/>
      <c r="N17" s="141"/>
      <c r="O17" s="141"/>
      <c r="P17" s="141"/>
      <c r="Q17" s="141"/>
      <c r="R17" s="141"/>
      <c r="S17" s="141"/>
      <c r="T17" s="98"/>
      <c r="U17" s="141"/>
      <c r="V17" s="141"/>
      <c r="W17" s="142"/>
      <c r="X17" s="142"/>
      <c r="Y17" s="142"/>
      <c r="Z17" s="142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7"/>
        <v>1883464.0109999999</v>
      </c>
      <c r="AW17" s="142">
        <f t="shared" si="4"/>
        <v>1883464.0109999999</v>
      </c>
      <c r="AX17" s="142">
        <f t="shared" si="6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'A Financial'!$A20</f>
        <v>Marketing, FFE and Preleasing</v>
      </c>
      <c r="B18" s="140">
        <f>'A Financial'!$B20</f>
        <v>2400000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>
        <f>$B$18/2</f>
        <v>1200000</v>
      </c>
      <c r="O18" s="141">
        <f>$B$18/2</f>
        <v>1200000</v>
      </c>
      <c r="P18" s="141"/>
      <c r="Q18" s="141"/>
      <c r="R18" s="141"/>
      <c r="S18" s="141"/>
      <c r="T18" s="141"/>
      <c r="U18" s="141"/>
      <c r="V18" s="141"/>
      <c r="W18" s="142"/>
      <c r="X18" s="142"/>
      <c r="Y18" s="142"/>
      <c r="Z18" s="142"/>
      <c r="AA18" s="142"/>
      <c r="AB18" s="142"/>
      <c r="AC18" s="142"/>
      <c r="AD18" s="142"/>
      <c r="AE18" s="142"/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7"/>
        <v>2400000</v>
      </c>
      <c r="AW18" s="142">
        <f t="shared" si="4"/>
        <v>2400000</v>
      </c>
      <c r="AX18" s="142">
        <f t="shared" si="6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'A Financial'!$A21</f>
        <v>Operating Deficit</v>
      </c>
      <c r="B19" s="140">
        <f>'A Financial'!$B21</f>
        <v>4879241.8457644442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487"/>
      <c r="O19" s="487"/>
      <c r="P19" s="141">
        <f>$B$19/2</f>
        <v>2439620.9228822221</v>
      </c>
      <c r="Q19" s="141">
        <f>$B$19/2</f>
        <v>2439620.9228822221</v>
      </c>
      <c r="R19" s="141"/>
      <c r="S19" s="141"/>
      <c r="T19" s="141"/>
      <c r="U19" s="151"/>
      <c r="V19" s="151"/>
      <c r="W19" s="104"/>
      <c r="X19" s="104"/>
      <c r="Y19" s="104"/>
      <c r="Z19" s="104"/>
      <c r="AA19" s="104"/>
      <c r="AB19" s="104"/>
      <c r="AC19" s="104"/>
      <c r="AD19" s="104"/>
      <c r="AE19" s="104"/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7"/>
        <v>4879241.8457644442</v>
      </c>
      <c r="AW19" s="142">
        <f t="shared" si="4"/>
        <v>4879241.8457644442</v>
      </c>
      <c r="AX19" s="142">
        <f t="shared" si="6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'A Financial'!$A22</f>
        <v>Commercial Tenant Improvements</v>
      </c>
      <c r="B20" s="140">
        <f>'A Financial'!$B22</f>
        <v>11436379.5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>
        <f>$B$20/2</f>
        <v>5718189.75</v>
      </c>
      <c r="O20" s="141">
        <f>$B$20/2</f>
        <v>5718189.75</v>
      </c>
      <c r="P20" s="141"/>
      <c r="Q20" s="141"/>
      <c r="R20" s="141"/>
      <c r="S20" s="141"/>
      <c r="T20" s="141"/>
      <c r="U20" s="141"/>
      <c r="V20" s="141"/>
      <c r="W20" s="142"/>
      <c r="X20" s="142"/>
      <c r="Y20" s="142"/>
      <c r="Z20" s="142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7"/>
        <v>11436379.5</v>
      </c>
      <c r="AW20" s="142">
        <f t="shared" si="4"/>
        <v>11436379.5</v>
      </c>
      <c r="AX20" s="142">
        <f t="shared" si="6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'A Financial'!$A23</f>
        <v>Commercial brokerage</v>
      </c>
      <c r="B21" s="140">
        <f>'A Financial'!$B23</f>
        <v>1470391.6500000004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>
        <f>$B$21/3</f>
        <v>490130.5500000001</v>
      </c>
      <c r="P21" s="141">
        <f>$B$21/3</f>
        <v>490130.5500000001</v>
      </c>
      <c r="Q21" s="141">
        <f>$B$21/3</f>
        <v>490130.5500000001</v>
      </c>
      <c r="R21" s="141"/>
      <c r="S21" s="141"/>
      <c r="T21" s="141"/>
      <c r="U21" s="141"/>
      <c r="V21" s="141"/>
      <c r="W21" s="142"/>
      <c r="X21" s="142"/>
      <c r="Y21" s="142"/>
      <c r="Z21" s="142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7"/>
        <v>1470391.6500000004</v>
      </c>
      <c r="AW21" s="142">
        <f t="shared" si="4"/>
        <v>1470391.6500000004</v>
      </c>
      <c r="AX21" s="142">
        <f t="shared" si="6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'A Financial'!$A24</f>
        <v>Construction Loan Origination</v>
      </c>
      <c r="B22" s="140">
        <f>'A Financial'!$B24</f>
        <v>1694276.2796036149</v>
      </c>
      <c r="C22" s="141"/>
      <c r="D22" s="141"/>
      <c r="E22" s="141"/>
      <c r="F22" s="141"/>
      <c r="G22" s="141"/>
      <c r="H22" s="141"/>
      <c r="I22" s="141">
        <f>$B22</f>
        <v>1694276.2796036149</v>
      </c>
      <c r="J22" s="141"/>
      <c r="K22" s="141"/>
      <c r="L22" s="141"/>
      <c r="M22" s="98"/>
      <c r="N22" s="141">
        <v>0</v>
      </c>
      <c r="O22" s="141">
        <v>0</v>
      </c>
      <c r="P22" s="98"/>
      <c r="Q22" s="141"/>
      <c r="R22" s="141"/>
      <c r="S22" s="141"/>
      <c r="T22" s="141"/>
      <c r="U22" s="141"/>
      <c r="V22" s="141"/>
      <c r="W22" s="142"/>
      <c r="X22" s="142"/>
      <c r="Y22" s="142"/>
      <c r="Z22" s="142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si="7"/>
        <v>1694276.2796036149</v>
      </c>
      <c r="AW22" s="142">
        <f t="shared" si="4"/>
        <v>1694276.2796036149</v>
      </c>
      <c r="AX22" s="142">
        <f t="shared" si="6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'A Financial'!$A25</f>
        <v>Construction Interest</v>
      </c>
      <c r="B23" s="140">
        <f>'A Financial'!$B25</f>
        <v>7906622.6381502049</v>
      </c>
      <c r="C23" s="153"/>
      <c r="D23" s="141"/>
      <c r="E23" s="141"/>
      <c r="F23" s="141"/>
      <c r="G23" s="141"/>
      <c r="H23" s="141"/>
      <c r="I23" s="141"/>
      <c r="J23" s="141"/>
      <c r="K23" s="141">
        <f>$B$23*0.1</f>
        <v>790662.26381502056</v>
      </c>
      <c r="L23" s="141">
        <f>$B$23*0.1</f>
        <v>790662.26381502056</v>
      </c>
      <c r="M23" s="141">
        <f>$B$23*0.1</f>
        <v>790662.26381502056</v>
      </c>
      <c r="N23" s="141">
        <f>$B$23*0.1</f>
        <v>790662.26381502056</v>
      </c>
      <c r="O23" s="141">
        <f>$B$23*0.2</f>
        <v>1581324.5276300411</v>
      </c>
      <c r="P23" s="141">
        <f>$B$23*0.2</f>
        <v>1581324.5276300411</v>
      </c>
      <c r="Q23" s="141">
        <f>$B$23*0.2</f>
        <v>1581324.5276300411</v>
      </c>
      <c r="R23" s="141"/>
      <c r="S23" s="141"/>
      <c r="T23" s="141"/>
      <c r="U23" s="141"/>
      <c r="V23" s="141"/>
      <c r="W23" s="142"/>
      <c r="X23" s="142"/>
      <c r="Y23" s="142"/>
      <c r="Z23" s="142"/>
      <c r="AA23" s="142"/>
      <c r="AB23" s="142"/>
      <c r="AC23" s="142"/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si="7"/>
        <v>7906622.6381502058</v>
      </c>
      <c r="AW23" s="142">
        <f t="shared" si="4"/>
        <v>7906622.6381502049</v>
      </c>
      <c r="AX23" s="142">
        <f t="shared" si="6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'A Financial'!$A26</f>
        <v>Additional Contingency</v>
      </c>
      <c r="B24" s="154">
        <f>'A Financial'!$B26</f>
        <v>4140307.9325008378</v>
      </c>
      <c r="C24" s="155">
        <f>$B$24*C4</f>
        <v>0</v>
      </c>
      <c r="D24" s="155">
        <f t="shared" ref="D24:Q24" si="13">$B$24*D4</f>
        <v>0</v>
      </c>
      <c r="E24" s="155">
        <f t="shared" si="13"/>
        <v>0</v>
      </c>
      <c r="F24" s="155">
        <f t="shared" si="13"/>
        <v>0</v>
      </c>
      <c r="G24" s="155">
        <f t="shared" si="13"/>
        <v>0</v>
      </c>
      <c r="H24" s="155">
        <f t="shared" si="13"/>
        <v>0</v>
      </c>
      <c r="I24" s="155">
        <f t="shared" si="13"/>
        <v>0</v>
      </c>
      <c r="J24" s="155">
        <f t="shared" si="13"/>
        <v>414030.79325008381</v>
      </c>
      <c r="K24" s="155">
        <f t="shared" si="13"/>
        <v>621046.18987512565</v>
      </c>
      <c r="L24" s="155">
        <f t="shared" si="13"/>
        <v>1242092.3797502513</v>
      </c>
      <c r="M24" s="155">
        <f t="shared" si="13"/>
        <v>1035076.9831252095</v>
      </c>
      <c r="N24" s="155">
        <f t="shared" si="13"/>
        <v>621046.18987512565</v>
      </c>
      <c r="O24" s="155">
        <f t="shared" si="13"/>
        <v>207015.3966250419</v>
      </c>
      <c r="P24" s="155">
        <f t="shared" si="13"/>
        <v>0</v>
      </c>
      <c r="Q24" s="155">
        <f t="shared" si="13"/>
        <v>0</v>
      </c>
      <c r="R24" s="610"/>
      <c r="S24" s="610"/>
      <c r="T24" s="610"/>
      <c r="U24" s="610"/>
      <c r="V24" s="610"/>
      <c r="W24" s="610"/>
      <c r="X24" s="610"/>
      <c r="Y24" s="610"/>
      <c r="Z24" s="610"/>
      <c r="AA24" s="610"/>
      <c r="AB24" s="610"/>
      <c r="AC24" s="610"/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si="7"/>
        <v>4140307.9325008374</v>
      </c>
      <c r="AW24" s="156">
        <f t="shared" si="4"/>
        <v>4140307.9325008378</v>
      </c>
      <c r="AX24" s="156">
        <f t="shared" si="6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'A Financial'!$A27</f>
        <v>Total Project Cost</v>
      </c>
      <c r="B25" s="608">
        <f>'A Financial'!$B27</f>
        <v>194149450.55870333</v>
      </c>
      <c r="C25" s="62">
        <f>SUM(C5:C24)</f>
        <v>0</v>
      </c>
      <c r="D25" s="62">
        <f t="shared" ref="D25:W25" si="14">SUM(D5:D24)</f>
        <v>502257.06960000005</v>
      </c>
      <c r="E25" s="62">
        <f t="shared" si="14"/>
        <v>1004514.1392000001</v>
      </c>
      <c r="F25" s="62">
        <f t="shared" si="14"/>
        <v>1004514.1392000001</v>
      </c>
      <c r="G25" s="62">
        <f t="shared" si="14"/>
        <v>1004514.1392000001</v>
      </c>
      <c r="H25" s="62">
        <f t="shared" si="14"/>
        <v>1004514.1392000001</v>
      </c>
      <c r="I25" s="62">
        <f t="shared" si="14"/>
        <v>2698790.418803615</v>
      </c>
      <c r="J25" s="62">
        <f t="shared" si="14"/>
        <v>23911860.457194272</v>
      </c>
      <c r="K25" s="62">
        <f t="shared" si="14"/>
        <v>23026074.106634334</v>
      </c>
      <c r="L25" s="62">
        <f t="shared" si="14"/>
        <v>45130569.930318989</v>
      </c>
      <c r="M25" s="62">
        <f t="shared" si="14"/>
        <v>38645341.16369395</v>
      </c>
      <c r="N25" s="62">
        <f t="shared" si="14"/>
        <v>29442006.787034333</v>
      </c>
      <c r="O25" s="62">
        <f t="shared" si="14"/>
        <v>17752342.06759927</v>
      </c>
      <c r="P25" s="62">
        <f t="shared" si="14"/>
        <v>4511076.0005122637</v>
      </c>
      <c r="Q25" s="62">
        <f t="shared" si="14"/>
        <v>4511076.0005122637</v>
      </c>
      <c r="R25" s="62">
        <f t="shared" si="14"/>
        <v>0</v>
      </c>
      <c r="S25" s="62">
        <f t="shared" si="14"/>
        <v>0</v>
      </c>
      <c r="T25" s="62">
        <f t="shared" si="14"/>
        <v>0</v>
      </c>
      <c r="U25" s="62">
        <f t="shared" si="14"/>
        <v>0</v>
      </c>
      <c r="V25" s="62">
        <f t="shared" si="14"/>
        <v>0</v>
      </c>
      <c r="W25" s="62">
        <f t="shared" si="14"/>
        <v>0</v>
      </c>
      <c r="X25" s="62">
        <f t="shared" ref="X25:AX25" si="15">SUM(X4:X24)</f>
        <v>0</v>
      </c>
      <c r="Y25" s="62">
        <f t="shared" si="15"/>
        <v>0</v>
      </c>
      <c r="Z25" s="62">
        <f t="shared" si="15"/>
        <v>0</v>
      </c>
      <c r="AA25" s="62">
        <f t="shared" si="15"/>
        <v>0</v>
      </c>
      <c r="AB25" s="62">
        <f t="shared" si="15"/>
        <v>0</v>
      </c>
      <c r="AC25" s="62">
        <f t="shared" si="15"/>
        <v>0</v>
      </c>
      <c r="AD25" s="62">
        <f t="shared" si="15"/>
        <v>0</v>
      </c>
      <c r="AE25" s="62">
        <f t="shared" si="15"/>
        <v>0</v>
      </c>
      <c r="AF25" s="62">
        <f t="shared" si="15"/>
        <v>0</v>
      </c>
      <c r="AG25" s="62">
        <f t="shared" si="15"/>
        <v>0</v>
      </c>
      <c r="AH25" s="62">
        <f t="shared" si="15"/>
        <v>0</v>
      </c>
      <c r="AI25" s="62">
        <f t="shared" si="15"/>
        <v>0</v>
      </c>
      <c r="AJ25" s="62">
        <f t="shared" si="15"/>
        <v>0</v>
      </c>
      <c r="AK25" s="62">
        <f t="shared" si="15"/>
        <v>0</v>
      </c>
      <c r="AL25" s="62">
        <f t="shared" si="15"/>
        <v>0</v>
      </c>
      <c r="AM25" s="62">
        <f t="shared" si="15"/>
        <v>0</v>
      </c>
      <c r="AN25" s="62">
        <f t="shared" si="15"/>
        <v>0</v>
      </c>
      <c r="AO25" s="62">
        <f t="shared" si="15"/>
        <v>0</v>
      </c>
      <c r="AP25" s="62">
        <f t="shared" si="15"/>
        <v>0</v>
      </c>
      <c r="AQ25" s="62">
        <f t="shared" si="15"/>
        <v>0</v>
      </c>
      <c r="AR25" s="62">
        <f t="shared" si="15"/>
        <v>0</v>
      </c>
      <c r="AS25" s="62">
        <f t="shared" si="15"/>
        <v>0</v>
      </c>
      <c r="AT25" s="62">
        <f t="shared" si="15"/>
        <v>0</v>
      </c>
      <c r="AU25" s="62">
        <f t="shared" si="15"/>
        <v>0</v>
      </c>
      <c r="AV25" s="62">
        <f t="shared" si="15"/>
        <v>194149451.55870327</v>
      </c>
      <c r="AW25" s="62">
        <f t="shared" si="15"/>
        <v>194149450.55870333</v>
      </c>
      <c r="AX25" s="62">
        <f t="shared" si="15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>'A Financial'!D11</f>
        <v>0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>B25+B26</f>
        <v>194149450.55870333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>SUM(C28:AU28)</f>
        <v>97074725.279351667</v>
      </c>
      <c r="C28" s="142">
        <f>C25</f>
        <v>0</v>
      </c>
      <c r="D28" s="142">
        <f t="shared" ref="D28:Q28" si="16">IF(((C29+D25)&lt;=$B$29),D25,($B$29-C29))</f>
        <v>502257.06960000005</v>
      </c>
      <c r="E28" s="142">
        <f t="shared" si="16"/>
        <v>1004514.1392000001</v>
      </c>
      <c r="F28" s="142">
        <f t="shared" si="16"/>
        <v>1004514.1392000001</v>
      </c>
      <c r="G28" s="142">
        <f t="shared" si="16"/>
        <v>1004514.1392000001</v>
      </c>
      <c r="H28" s="142">
        <f t="shared" si="16"/>
        <v>1004514.1392000001</v>
      </c>
      <c r="I28" s="142">
        <f t="shared" si="16"/>
        <v>2698790.418803615</v>
      </c>
      <c r="J28" s="142">
        <f t="shared" si="16"/>
        <v>23911860.457194272</v>
      </c>
      <c r="K28" s="142">
        <f t="shared" si="16"/>
        <v>23026074.106634334</v>
      </c>
      <c r="L28" s="142">
        <f t="shared" si="16"/>
        <v>42917686.670319445</v>
      </c>
      <c r="M28" s="142">
        <f t="shared" si="16"/>
        <v>0</v>
      </c>
      <c r="N28" s="142">
        <f t="shared" si="16"/>
        <v>0</v>
      </c>
      <c r="O28" s="142">
        <f t="shared" si="16"/>
        <v>0</v>
      </c>
      <c r="P28" s="142">
        <f t="shared" si="16"/>
        <v>0</v>
      </c>
      <c r="Q28" s="142">
        <f t="shared" si="16"/>
        <v>0</v>
      </c>
      <c r="R28" s="142"/>
      <c r="S28" s="142"/>
      <c r="T28" s="142"/>
      <c r="U28" s="142"/>
      <c r="V28" s="142"/>
      <c r="W28" s="142"/>
      <c r="X28" s="142"/>
      <c r="Y28" s="142"/>
      <c r="Z28" s="142"/>
      <c r="AA28" s="142"/>
      <c r="AB28" s="142"/>
      <c r="AC28" s="142"/>
      <c r="AD28" s="142"/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>'A Financial'!D15</f>
        <v>97074725.279351667</v>
      </c>
      <c r="C29" s="142">
        <f>C28</f>
        <v>0</v>
      </c>
      <c r="D29" s="142">
        <f>IF(SUM($C$28:D$28)&lt;=$B29,SUM($C$28:D$28),0)</f>
        <v>502257.06960000005</v>
      </c>
      <c r="E29" s="142">
        <f>IF(SUM($C$28:E28)&lt;=$B29,SUM($C$28:E28),0)</f>
        <v>1506771.2088000001</v>
      </c>
      <c r="F29" s="142">
        <f>IF(SUM($C$28:F28)&lt;=$B29,SUM($C$28:F28),0)</f>
        <v>2511285.3480000002</v>
      </c>
      <c r="G29" s="142">
        <f>IF(SUM($C$28:G28)&lt;=$B29,SUM($C$28:G28),0)</f>
        <v>3515799.4872000003</v>
      </c>
      <c r="H29" s="142">
        <f>IF(SUM($C$28:H28)&lt;=$B29,SUM($C$28:H28),0)</f>
        <v>4520313.6264000004</v>
      </c>
      <c r="I29" s="142">
        <f>IF(SUM($C$28:I28)&lt;=$B29,SUM($C$28:I28),0)</f>
        <v>7219104.045203615</v>
      </c>
      <c r="J29" s="142">
        <f>IF(SUM($C$28:J28)&lt;=$B29,SUM($C$28:J28),0)</f>
        <v>31130964.502397887</v>
      </c>
      <c r="K29" s="142">
        <f>IF(SUM($C$28:K28)&lt;=$B29,SUM($C$28:K28),0)</f>
        <v>54157038.609032221</v>
      </c>
      <c r="L29" s="142">
        <f>IF(SUM($C$28:L28)&lt;=$B29,SUM($C$28:L28),0)</f>
        <v>97074725.279351667</v>
      </c>
      <c r="M29" s="142">
        <f>IF(SUM($C$28:M28)&lt;=$B29,SUM($C$28:M28),0)</f>
        <v>97074725.279351667</v>
      </c>
      <c r="N29" s="142">
        <f>IF(SUM($C$28:N28)&lt;=$B29,SUM($C$28:N28),0)</f>
        <v>97074725.279351667</v>
      </c>
      <c r="O29" s="142">
        <f>IF(SUM($C$28:O28)&lt;=$B29,SUM($C$28:O28),0)</f>
        <v>97074725.279351667</v>
      </c>
      <c r="P29" s="142">
        <f>IF(SUM($C$28:P28)&lt;=$B29,SUM($C$28:P28),0)</f>
        <v>97074725.279351667</v>
      </c>
      <c r="Q29" s="142">
        <f>IF(SUM($C$28:Q28)&lt;=$B29,SUM($C$28:Q28),0)</f>
        <v>97074725.279351667</v>
      </c>
      <c r="R29" s="142"/>
      <c r="S29" s="142"/>
      <c r="T29" s="142"/>
      <c r="U29" s="142"/>
      <c r="V29" s="142"/>
      <c r="W29" s="142"/>
      <c r="X29" s="142"/>
      <c r="Y29" s="142"/>
      <c r="Z29" s="142"/>
      <c r="AA29" s="142"/>
      <c r="AB29" s="142"/>
      <c r="AC29" s="142"/>
      <c r="AD29" s="142"/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>'A Financial'!D14</f>
        <v>97074725.279351667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>PMT(0.065,30,(B30))</f>
        <v>-7433734.1686171889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>'A Financial'!D21+'A Financial'!D22</f>
        <v>165686464.28389478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>SUM(C35:AU35)</f>
        <v>68611739.004543111</v>
      </c>
      <c r="C35" s="170">
        <f t="shared" ref="C35:P35" si="17">-C28</f>
        <v>0</v>
      </c>
      <c r="D35" s="170">
        <f t="shared" si="17"/>
        <v>-502257.06960000005</v>
      </c>
      <c r="E35" s="170">
        <f t="shared" si="17"/>
        <v>-1004514.1392000001</v>
      </c>
      <c r="F35" s="170">
        <f t="shared" si="17"/>
        <v>-1004514.1392000001</v>
      </c>
      <c r="G35" s="170">
        <f t="shared" si="17"/>
        <v>-1004514.1392000001</v>
      </c>
      <c r="H35" s="170">
        <f t="shared" si="17"/>
        <v>-1004514.1392000001</v>
      </c>
      <c r="I35" s="170">
        <f t="shared" si="17"/>
        <v>-2698790.418803615</v>
      </c>
      <c r="J35" s="170">
        <f t="shared" si="17"/>
        <v>-23911860.457194272</v>
      </c>
      <c r="K35" s="170">
        <f t="shared" si="17"/>
        <v>-23026074.106634334</v>
      </c>
      <c r="L35" s="170">
        <f t="shared" si="17"/>
        <v>-42917686.670319445</v>
      </c>
      <c r="M35" s="170">
        <f t="shared" si="17"/>
        <v>0</v>
      </c>
      <c r="N35" s="170">
        <f t="shared" si="17"/>
        <v>0</v>
      </c>
      <c r="O35" s="170">
        <f t="shared" si="17"/>
        <v>0</v>
      </c>
      <c r="P35" s="170">
        <f t="shared" si="17"/>
        <v>0</v>
      </c>
      <c r="Q35" s="171">
        <f>B34</f>
        <v>165686464.28389478</v>
      </c>
      <c r="R35" s="170"/>
      <c r="S35" s="170"/>
      <c r="T35" s="170"/>
      <c r="U35" s="170"/>
      <c r="V35" s="171"/>
      <c r="W35" s="170"/>
      <c r="X35" s="170"/>
      <c r="Y35" s="170"/>
      <c r="Z35" s="170"/>
      <c r="AA35" s="170"/>
      <c r="AB35" s="170"/>
      <c r="AC35" s="170"/>
      <c r="AD35" s="170"/>
      <c r="AE35" s="170"/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>IF(B35&lt;0,0,IRR(C35:AIW35))</f>
        <v>9.0450432400919878E-2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>POWER((1+B36),4)-1</f>
        <v>0.41391634880242067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6"/>
      <c r="R37" s="176"/>
      <c r="S37" s="176"/>
      <c r="T37" s="176"/>
      <c r="U37" s="176"/>
      <c r="V37" s="177"/>
      <c r="W37" s="176"/>
      <c r="X37" s="176"/>
      <c r="Y37" s="176"/>
      <c r="Z37" s="176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6"/>
      <c r="R38" s="176"/>
      <c r="S38" s="176"/>
      <c r="T38" s="176"/>
      <c r="U38" s="176"/>
      <c r="V38" s="177"/>
      <c r="W38" s="176"/>
      <c r="X38" s="176"/>
      <c r="Y38" s="176"/>
      <c r="Z38" s="176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>'A Financial'!D21-B26</f>
        <v>262761189.56324646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6"/>
      <c r="R39" s="176"/>
      <c r="S39" s="176"/>
      <c r="T39" s="176"/>
      <c r="U39" s="176"/>
      <c r="V39" s="177"/>
      <c r="W39" s="176"/>
      <c r="X39" s="176"/>
      <c r="Y39" s="176"/>
      <c r="Z39" s="176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>SUM(C40:AU40)</f>
        <v>68611739.004543155</v>
      </c>
      <c r="C40" s="142">
        <f t="shared" ref="C40:V40" si="18">-C25</f>
        <v>0</v>
      </c>
      <c r="D40" s="142">
        <f t="shared" si="18"/>
        <v>-502257.06960000005</v>
      </c>
      <c r="E40" s="142">
        <f t="shared" si="18"/>
        <v>-1004514.1392000001</v>
      </c>
      <c r="F40" s="142">
        <f t="shared" si="18"/>
        <v>-1004514.1392000001</v>
      </c>
      <c r="G40" s="142">
        <f t="shared" si="18"/>
        <v>-1004514.1392000001</v>
      </c>
      <c r="H40" s="142">
        <f t="shared" si="18"/>
        <v>-1004514.1392000001</v>
      </c>
      <c r="I40" s="142">
        <f t="shared" si="18"/>
        <v>-2698790.418803615</v>
      </c>
      <c r="J40" s="142">
        <f t="shared" si="18"/>
        <v>-23911860.457194272</v>
      </c>
      <c r="K40" s="142">
        <f t="shared" si="18"/>
        <v>-23026074.106634334</v>
      </c>
      <c r="L40" s="142">
        <f t="shared" si="18"/>
        <v>-45130569.930318989</v>
      </c>
      <c r="M40" s="142">
        <f t="shared" si="18"/>
        <v>-38645341.16369395</v>
      </c>
      <c r="N40" s="142">
        <f t="shared" si="18"/>
        <v>-29442006.787034333</v>
      </c>
      <c r="O40" s="142">
        <f t="shared" si="18"/>
        <v>-17752342.06759927</v>
      </c>
      <c r="P40" s="142">
        <f t="shared" si="18"/>
        <v>-4511076.0005122637</v>
      </c>
      <c r="Q40" s="174">
        <f>B39-Q25</f>
        <v>258250113.56273419</v>
      </c>
      <c r="R40" s="142">
        <f t="shared" si="18"/>
        <v>0</v>
      </c>
      <c r="S40" s="142">
        <f t="shared" si="18"/>
        <v>0</v>
      </c>
      <c r="T40" s="142">
        <f t="shared" si="18"/>
        <v>0</v>
      </c>
      <c r="U40" s="142">
        <f t="shared" si="18"/>
        <v>0</v>
      </c>
      <c r="V40" s="142">
        <f t="shared" si="18"/>
        <v>0</v>
      </c>
      <c r="W40" s="142"/>
      <c r="X40" s="142"/>
      <c r="Y40" s="142"/>
      <c r="Z40" s="142"/>
      <c r="AA40" s="142"/>
      <c r="AB40" s="142"/>
      <c r="AC40" s="142"/>
      <c r="AD40" s="142"/>
      <c r="AE40" s="142"/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>IF(B40&lt;0,0,IRR(C40:AU40))</f>
        <v>6.6718499657384189E-2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>POWER((1+B41),4)-1</f>
        <v>0.29478991415976585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348" priority="1" operator="equal">
      <formula>#REF!</formula>
    </cfRule>
    <cfRule type="cellIs" dxfId="347" priority="2" operator="equal">
      <formula>#REF!</formula>
    </cfRule>
    <cfRule type="cellIs" dxfId="346" priority="3" operator="equal">
      <formula>#REF!</formula>
    </cfRule>
    <cfRule type="cellIs" dxfId="345" priority="4" operator="equal">
      <formula>#REF!</formula>
    </cfRule>
  </conditionalFormatting>
  <conditionalFormatting sqref="AT4:AU4">
    <cfRule type="cellIs" dxfId="344" priority="5" operator="equal">
      <formula>#REF!</formula>
    </cfRule>
    <cfRule type="cellIs" dxfId="343" priority="6" operator="equal">
      <formula>#REF!</formula>
    </cfRule>
    <cfRule type="cellIs" dxfId="342" priority="7" operator="equal">
      <formula>#REF!</formula>
    </cfRule>
    <cfRule type="cellIs" dxfId="341" priority="8" operator="equal">
      <formula>#REF!</formula>
    </cfRule>
    <cfRule type="cellIs" dxfId="340" priority="9" operator="equal">
      <formula>#REF!</formula>
    </cfRule>
    <cfRule type="cellIs" dxfId="339" priority="10" operator="equal">
      <formula>#REF!</formula>
    </cfRule>
    <cfRule type="cellIs" dxfId="338" priority="11" operator="equal">
      <formula>#REF!</formula>
    </cfRule>
    <cfRule type="cellIs" dxfId="337" priority="12" operator="equal">
      <formula>#REF!</formula>
    </cfRule>
  </conditionalFormatting>
  <conditionalFormatting sqref="AV3:AX3">
    <cfRule type="cellIs" dxfId="336" priority="13" operator="equal">
      <formula>#REF!</formula>
    </cfRule>
    <cfRule type="cellIs" dxfId="335" priority="14" operator="equal">
      <formula>#REF!</formula>
    </cfRule>
    <cfRule type="cellIs" dxfId="334" priority="15" operator="equal">
      <formula>#REF!</formula>
    </cfRule>
    <cfRule type="cellIs" dxfId="333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7AFFD3-FAC7-43B6-9E18-F65BB80FABEA}">
  <sheetPr>
    <tabColor theme="6" tint="-0.249977111117893"/>
    <pageSetUpPr fitToPage="1"/>
  </sheetPr>
  <dimension ref="A1:AC164"/>
  <sheetViews>
    <sheetView showGridLines="0" zoomScale="70" zoomScaleNormal="70" zoomScaleSheetLayoutView="90" workbookViewId="0">
      <selection activeCell="E21" sqref="E21:E29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195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11962759.055498663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140738341.82939604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216132420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10806621</v>
      </c>
      <c r="C8" s="637" t="s">
        <v>321</v>
      </c>
      <c r="D8" s="545">
        <f>SUM(E130:E131,K130:K131,Q130:Q131,W130:W131)</f>
        <v>140738341.82939604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Program'!$D$39-'Development Program'!D40</f>
        <v>-9952380.9523809515</v>
      </c>
      <c r="C11" s="25" t="s">
        <v>103</v>
      </c>
      <c r="D11" s="354">
        <f ca="1">IF(B31&lt;0,B31,0)</f>
        <v>-174669330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11346952.050000001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4538780.82</v>
      </c>
      <c r="C13" s="25" t="s">
        <v>104</v>
      </c>
      <c r="D13" s="354">
        <f ca="1">B27+D11</f>
        <v>112590673.73619598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Assumptions!H14</f>
        <v>0.5</v>
      </c>
      <c r="D14" s="355">
        <f ca="1">C14*B$27</f>
        <v>143630001.86809799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9077561.6400000006</v>
      </c>
      <c r="C15" s="382">
        <f>1-C14</f>
        <v>0.5</v>
      </c>
      <c r="D15" s="356">
        <f ca="1">C15*B$27</f>
        <v>143630001.86809799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6808171.2299999995</v>
      </c>
      <c r="C16" s="383" t="s">
        <v>105</v>
      </c>
      <c r="D16" s="93">
        <f ca="1">D14+D15</f>
        <v>287260003.73619598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11346952.050000001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 t="shared" si="0"/>
        <v>1899967.6146968466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3404085.6149999998</v>
      </c>
      <c r="C19" s="385" t="s">
        <v>108</v>
      </c>
      <c r="D19" s="130">
        <f>D6</f>
        <v>140738341.82939604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800000</v>
      </c>
      <c r="C20" s="386">
        <v>0.02</v>
      </c>
      <c r="D20" s="131">
        <f>-C20*D19</f>
        <v>-2814766.8365879208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2492241.4698955552</v>
      </c>
      <c r="C21" s="387" t="s">
        <v>109</v>
      </c>
      <c r="D21" s="94">
        <f>D19+D20</f>
        <v>137923574.9928081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1126934.9999999998</v>
      </c>
      <c r="C22" s="385" t="s">
        <v>110</v>
      </c>
      <c r="D22" s="130">
        <f ca="1">-D14</f>
        <v>-143630001.86809799</v>
      </c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202848.29999999996</v>
      </c>
      <c r="C23" s="388" t="s">
        <v>111</v>
      </c>
      <c r="D23" s="132">
        <f ca="1">-D15</f>
        <v>-143630001.86809799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 ca="1">SUM(C150,I150,O150,U150)</f>
        <v>2229092.8851643265</v>
      </c>
      <c r="C24" s="389" t="s">
        <v>112</v>
      </c>
      <c r="D24" s="95">
        <f ca="1">ROUND(D21+D22+D23,-2)</f>
        <v>-149336400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 thickBot="1">
      <c r="A25" s="642" t="s">
        <v>58</v>
      </c>
      <c r="B25" s="396">
        <f ca="1">SUM(C151,I151,O151,U151)</f>
        <v>10402433.464100191</v>
      </c>
      <c r="C25" s="390" t="s">
        <v>113</v>
      </c>
      <c r="D25" s="378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4597321.5497199856</v>
      </c>
      <c r="C26" s="391"/>
      <c r="D26" s="129" t="s">
        <v>107</v>
      </c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SUM(B7:B26)</f>
        <v>287260003.73619598</v>
      </c>
      <c r="C27" s="392" t="s">
        <v>114</v>
      </c>
      <c r="D27" s="357">
        <f ca="1">(D24+D15)/D15</f>
        <v>-3.9729847926496975E-2</v>
      </c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4.1644360161202994E-2</v>
      </c>
      <c r="C28" s="393" t="s">
        <v>115</v>
      </c>
      <c r="D28" s="358">
        <f ca="1">'B DRAW'!B37</f>
        <v>0</v>
      </c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-0.51006635104467057</v>
      </c>
      <c r="C29" s="393" t="s">
        <v>116</v>
      </c>
      <c r="D29" s="358">
        <f ca="1">'B DRAW'!B42</f>
        <v>8.3214788652529181E-2</v>
      </c>
      <c r="E29" s="350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0.25</v>
      </c>
      <c r="B30" s="120">
        <f>D8/(1+A30)</f>
        <v>112590673.46351683</v>
      </c>
      <c r="C30" s="392" t="s">
        <v>117</v>
      </c>
      <c r="D30" s="359">
        <f ca="1">D5/D14</f>
        <v>8.3288720322405987E-2</v>
      </c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0.25</v>
      </c>
      <c r="B31" s="120">
        <f ca="1">ROUND((D8/(1+A31))-B27,0)</f>
        <v>-174669330</v>
      </c>
      <c r="C31" s="394" t="s">
        <v>118</v>
      </c>
      <c r="D31" s="360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305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720441.4</v>
      </c>
      <c r="E34" s="230"/>
      <c r="G34" s="515" t="s">
        <v>259</v>
      </c>
      <c r="H34" s="516"/>
      <c r="I34" s="319" t="s">
        <v>203</v>
      </c>
      <c r="J34" s="320">
        <f>IFERROR(INDEX('Building Configuration'!$B$2:$Z$45,MATCH(H$34,'Building Configuration'!$C$2:$C$45,0),MATCH("Total",'Building Configuration'!$B$2:$Z$2,0)),0)</f>
        <v>0</v>
      </c>
      <c r="K34" s="230"/>
      <c r="L34" s="328"/>
      <c r="M34" s="515" t="s">
        <v>259</v>
      </c>
      <c r="N34" s="516"/>
      <c r="O34" s="319" t="s">
        <v>203</v>
      </c>
      <c r="P34" s="320">
        <f>IFERROR(INDEX('Building Configuration'!$B$2:$Z$45,MATCH(N$34,'Building Configuration'!$C$2:$C$45,0),MATCH("Total",'Building Configuration'!$B$2:$Z$2,0)),0)</f>
        <v>0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Multifamily-Market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483272.86000000004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-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0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Multifamily-Affordable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207116.94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Retail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30051.599999999999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-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NO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0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-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0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-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0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0.9</v>
      </c>
      <c r="C44" s="460">
        <v>0.1</v>
      </c>
      <c r="D44" s="322"/>
      <c r="E44" s="231"/>
      <c r="F44" s="223"/>
      <c r="G44" s="6" t="s">
        <v>315</v>
      </c>
      <c r="H44" s="459">
        <v>0.8</v>
      </c>
      <c r="I44" s="460">
        <v>0.2</v>
      </c>
      <c r="J44" s="322"/>
      <c r="K44" s="231"/>
      <c r="L44" s="212"/>
      <c r="M44" s="6" t="s">
        <v>315</v>
      </c>
      <c r="N44" s="459">
        <v>0.8</v>
      </c>
      <c r="O44" s="460">
        <v>0.2</v>
      </c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Multifamily-Market</v>
      </c>
      <c r="C46" s="510" t="s">
        <v>298</v>
      </c>
      <c r="D46" s="308">
        <f>D$35*E$46</f>
        <v>362454.64500000002</v>
      </c>
      <c r="E46" s="303">
        <f>Assumptions!$C$44</f>
        <v>0.75</v>
      </c>
      <c r="F46" s="296"/>
      <c r="G46" s="301" t="s">
        <v>293</v>
      </c>
      <c r="H46" s="302" t="str">
        <f>H$35</f>
        <v>-</v>
      </c>
      <c r="I46" s="510" t="s">
        <v>298</v>
      </c>
      <c r="J46" s="308">
        <f>J$35*K$46</f>
        <v>0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433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/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/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129.9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2252154.2400000002</v>
      </c>
      <c r="F49" s="296"/>
      <c r="G49" s="109" t="s">
        <v>72</v>
      </c>
      <c r="H49" s="255">
        <f>H$47*INDEX(Assumptions!$C$52:$C$55,MATCH(G49,Assumptions!$A$52:$A$55,0))</f>
        <v>0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0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194.85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3968604.6326666665</v>
      </c>
      <c r="F50" s="296"/>
      <c r="G50" s="106" t="s">
        <v>73</v>
      </c>
      <c r="H50" s="255">
        <f>H$47*INDEX(Assumptions!$C$52:$C$55,MATCH(G50,Assumptions!$A$52:$A$55,0))</f>
        <v>0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0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86.600000000000009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2536715.9383703708</v>
      </c>
      <c r="F51" s="297"/>
      <c r="G51" s="109" t="s">
        <v>74</v>
      </c>
      <c r="H51" s="255">
        <f>H$47*INDEX(Assumptions!$C$52:$C$55,MATCH(G51,Assumptions!$A$52:$A$55,0))</f>
        <v>0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0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21.650000000000002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1325757.3216000001</v>
      </c>
      <c r="F52" s="223"/>
      <c r="G52" s="109" t="s">
        <v>75</v>
      </c>
      <c r="H52" s="255">
        <f>H$47*INDEX(Assumptions!$C$52:$C$55,MATCH(G52,Assumptions!$A$52:$A$55,0))</f>
        <v>0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0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433</v>
      </c>
      <c r="C53" s="9">
        <f>SUMPRODUCT(B49:B52,C49:C52)</f>
        <v>362120.30555555562</v>
      </c>
      <c r="D53" s="225"/>
      <c r="E53" s="226">
        <f>SUM(E49:E52)</f>
        <v>10083232.132637037</v>
      </c>
      <c r="F53" s="297"/>
      <c r="G53" s="7" t="s">
        <v>76</v>
      </c>
      <c r="H53" s="8">
        <f>SUM(H49:H52)</f>
        <v>0</v>
      </c>
      <c r="I53" s="9">
        <f>SUMPRODUCT(H49:H52,I49:I52)</f>
        <v>0</v>
      </c>
      <c r="J53" s="225"/>
      <c r="K53" s="226">
        <f>SUM(K49:K52)</f>
        <v>0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836.30555555555566</v>
      </c>
      <c r="D54" s="227">
        <f>IFERROR((E53/12)/C53,0)</f>
        <v>2.3204148773079716</v>
      </c>
      <c r="E54" s="228"/>
      <c r="F54" s="317"/>
      <c r="G54" s="10" t="s">
        <v>77</v>
      </c>
      <c r="H54" s="224"/>
      <c r="I54" s="11">
        <f>IFERROR(I53/H53,0)</f>
        <v>0</v>
      </c>
      <c r="J54" s="227">
        <f>IFERROR((K53/12)/I53,0)</f>
        <v>0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Multifamily-Affordable</v>
      </c>
      <c r="C62" s="510" t="s">
        <v>298</v>
      </c>
      <c r="D62" s="308">
        <f>D$37*E$62</f>
        <v>155337.70500000002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185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55.5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632034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83.25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1077921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37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577200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9.25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187590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185</v>
      </c>
      <c r="C69" s="9">
        <f>SUMPRODUCT(B65:B68,C65:C68)</f>
        <v>154716.52777777778</v>
      </c>
      <c r="D69" s="225"/>
      <c r="E69" s="226">
        <f>SUM(E65:E68)</f>
        <v>2474745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836.30555555555554</v>
      </c>
      <c r="D70" s="227">
        <f>IFERROR((E69/12)/C69,0)</f>
        <v>1.3329458265519647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Multifamily-Affordable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-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Retail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-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30051.599999999999</v>
      </c>
      <c r="C89" s="218">
        <f>IFERROR(B89*INDEX(Assumptions!$C$46:$C$47,MATCH(A89,Assumptions!$A$46:$A$47,0)),0)</f>
        <v>22538.699999999997</v>
      </c>
      <c r="D89" s="219">
        <f>IF(C89&gt;0,INDEX(Assumptions!$F$5:$F$6,MATCH(A89,Assumptions!$E$5:$E$6,0)),0)</f>
        <v>15</v>
      </c>
      <c r="E89" s="220">
        <f>C89*D89*12</f>
        <v>4056965.9999999991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30051.599999999999</v>
      </c>
      <c r="C91" s="191">
        <f>SUM(C89:C90)</f>
        <v>22538.699999999997</v>
      </c>
      <c r="D91" s="188">
        <f>IF(B91=0,0,E91/B91)</f>
        <v>134.99999999999997</v>
      </c>
      <c r="E91" s="189">
        <f>SUM(E89:E90)</f>
        <v>4056965.9999999991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0</v>
      </c>
      <c r="O91" s="191">
        <f>SUM(O89:O90)</f>
        <v>0</v>
      </c>
      <c r="P91" s="188">
        <f>IF(N91=0,0,Q91/N91)</f>
        <v>0</v>
      </c>
      <c r="Q91" s="189">
        <f>SUM(Q89:Q90)</f>
        <v>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0</v>
      </c>
      <c r="C103" s="295">
        <f>IF(B103=0,0,IFERROR((B103/Assumptions!$C$82)-1,0))</f>
        <v>0</v>
      </c>
      <c r="D103" s="334"/>
      <c r="E103" s="187"/>
      <c r="G103" s="341"/>
      <c r="H103" s="335">
        <f>J43</f>
        <v>0</v>
      </c>
      <c r="I103" s="295">
        <f>IF(H103=0,0,IFERROR((H103/Assumptions!$C$82)-1,0))</f>
        <v>0</v>
      </c>
      <c r="J103" s="334"/>
      <c r="K103" s="187"/>
      <c r="M103" s="341"/>
      <c r="N103" s="335">
        <f>P43</f>
        <v>0</v>
      </c>
      <c r="O103" s="295">
        <f>IF(N103=0,0,IFERROR((N103/Assumptions!$C$82)-1,0))</f>
        <v>0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0</v>
      </c>
      <c r="C104" s="333">
        <f>IF(B104=0,0,IFERROR((B104/Assumptions!$C$82)-1,0))</f>
        <v>0</v>
      </c>
      <c r="D104" s="118">
        <f>Assumptions!$C85</f>
        <v>250</v>
      </c>
      <c r="E104" s="220">
        <f>IF(B$56&gt;0,0,IF(C104&lt;0,0,C104*D104*12))</f>
        <v>0</v>
      </c>
      <c r="G104" s="461" t="s">
        <v>79</v>
      </c>
      <c r="H104" s="336">
        <f>H$103*H44</f>
        <v>0</v>
      </c>
      <c r="I104" s="333">
        <f>IF(H104=0,0,IFERROR((H104/Assumptions!$C$82)-1,0))</f>
        <v>0</v>
      </c>
      <c r="J104" s="118">
        <f>Assumptions!$C85</f>
        <v>250</v>
      </c>
      <c r="K104" s="220">
        <f>IF(H$56&gt;0,0,IF(I104&lt;0,0,I104*J104*12))</f>
        <v>0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Multifamily+Retail 3</v>
      </c>
      <c r="D107" s="256"/>
      <c r="E107" s="281"/>
      <c r="F107" s="13"/>
      <c r="G107" s="259" t="s">
        <v>81</v>
      </c>
      <c r="H107" s="260"/>
      <c r="I107" s="256">
        <f>H34</f>
        <v>0</v>
      </c>
      <c r="J107" s="256"/>
      <c r="K107" s="281"/>
      <c r="L107" s="13"/>
      <c r="M107" s="259" t="s">
        <v>81</v>
      </c>
      <c r="N107" s="260"/>
      <c r="O107" s="256">
        <f>N34</f>
        <v>0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12557977.132637037</v>
      </c>
      <c r="F109" s="13"/>
      <c r="G109" s="112" t="s">
        <v>268</v>
      </c>
      <c r="H109" s="113"/>
      <c r="I109" s="114"/>
      <c r="J109" s="262"/>
      <c r="K109" s="14">
        <f>SUM(K53,K69,K85)</f>
        <v>0</v>
      </c>
      <c r="L109" s="13"/>
      <c r="M109" s="112" t="s">
        <v>268</v>
      </c>
      <c r="N109" s="113"/>
      <c r="O109" s="114"/>
      <c r="P109" s="262"/>
      <c r="Q109" s="14">
        <f>SUM(Q53,Q69,Q85)</f>
        <v>0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4056965.9999999991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0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16614943.132637035</v>
      </c>
      <c r="F112" s="13"/>
      <c r="G112" s="284" t="s">
        <v>275</v>
      </c>
      <c r="H112" s="273"/>
      <c r="I112" s="273"/>
      <c r="J112" s="267"/>
      <c r="K112" s="285">
        <f>SUM(K109:K111)</f>
        <v>0</v>
      </c>
      <c r="L112" s="13"/>
      <c r="M112" s="284" t="s">
        <v>275</v>
      </c>
      <c r="N112" s="273"/>
      <c r="O112" s="273"/>
      <c r="P112" s="267"/>
      <c r="Q112" s="285">
        <f>SUM(Q109:Q111)</f>
        <v>0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11"/>
      <c r="C115" s="116"/>
      <c r="D115" s="116"/>
      <c r="E115" s="289">
        <f>E104</f>
        <v>0</v>
      </c>
      <c r="F115" s="13"/>
      <c r="G115" s="288" t="s">
        <v>270</v>
      </c>
      <c r="H115" s="611"/>
      <c r="I115" s="116"/>
      <c r="J115" s="116"/>
      <c r="K115" s="289">
        <f>K104</f>
        <v>0</v>
      </c>
      <c r="L115" s="13"/>
      <c r="M115" s="288" t="s">
        <v>270</v>
      </c>
      <c r="N115" s="611"/>
      <c r="O115" s="116"/>
      <c r="P115" s="116"/>
      <c r="Q115" s="289">
        <f>Q104</f>
        <v>0</v>
      </c>
      <c r="R115" s="13"/>
      <c r="S115" s="288" t="s">
        <v>270</v>
      </c>
      <c r="T115" s="611"/>
      <c r="U115" s="116"/>
      <c r="V115" s="116"/>
      <c r="W115" s="289">
        <f>W104</f>
        <v>0</v>
      </c>
    </row>
    <row r="116" spans="1:25" ht="12.5">
      <c r="A116" s="288" t="s">
        <v>271</v>
      </c>
      <c r="B116" s="611"/>
      <c r="C116" s="116"/>
      <c r="D116" s="116"/>
      <c r="E116" s="289">
        <f>E105</f>
        <v>0</v>
      </c>
      <c r="F116" s="13"/>
      <c r="G116" s="288" t="s">
        <v>271</v>
      </c>
      <c r="H116" s="611"/>
      <c r="I116" s="116"/>
      <c r="J116" s="116"/>
      <c r="K116" s="289">
        <f>K105</f>
        <v>0</v>
      </c>
      <c r="L116" s="13"/>
      <c r="M116" s="288" t="s">
        <v>271</v>
      </c>
      <c r="N116" s="611"/>
      <c r="O116" s="116"/>
      <c r="P116" s="116"/>
      <c r="Q116" s="289">
        <f>Q105</f>
        <v>0</v>
      </c>
      <c r="R116" s="13"/>
      <c r="S116" s="288" t="s">
        <v>271</v>
      </c>
      <c r="T116" s="611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1163046.0192845925</v>
      </c>
      <c r="F117" s="13"/>
      <c r="G117" s="288" t="s">
        <v>85</v>
      </c>
      <c r="H117" s="116"/>
      <c r="I117" s="116"/>
      <c r="J117" s="116"/>
      <c r="K117" s="289">
        <f>Assumptions!$H$17*K112</f>
        <v>0</v>
      </c>
      <c r="L117" s="13"/>
      <c r="M117" s="288" t="s">
        <v>85</v>
      </c>
      <c r="N117" s="116"/>
      <c r="O117" s="116"/>
      <c r="P117" s="116"/>
      <c r="Q117" s="289">
        <f>Assumptions!$H$17*Q112</f>
        <v>0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1163046.0192845925</v>
      </c>
      <c r="F118" s="13"/>
      <c r="G118" s="264" t="s">
        <v>86</v>
      </c>
      <c r="H118" s="249"/>
      <c r="I118" s="268"/>
      <c r="J118" s="280"/>
      <c r="K118" s="250">
        <f>SUM(K115:K117)</f>
        <v>0</v>
      </c>
      <c r="L118" s="13"/>
      <c r="M118" s="264" t="s">
        <v>86</v>
      </c>
      <c r="N118" s="249"/>
      <c r="O118" s="268"/>
      <c r="P118" s="280"/>
      <c r="Q118" s="250">
        <f>SUM(Q115:Q117)</f>
        <v>0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-830747.1566318518</v>
      </c>
      <c r="F119" s="13"/>
      <c r="G119" s="70">
        <v>0.05</v>
      </c>
      <c r="H119" s="251"/>
      <c r="I119" s="269"/>
      <c r="J119" s="279"/>
      <c r="K119" s="258">
        <f>-G119*K112</f>
        <v>0</v>
      </c>
      <c r="L119" s="13"/>
      <c r="M119" s="70">
        <v>0.05</v>
      </c>
      <c r="N119" s="251"/>
      <c r="O119" s="269"/>
      <c r="P119" s="279"/>
      <c r="Q119" s="258">
        <f>-M119*Q112</f>
        <v>0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16947241.995289773</v>
      </c>
      <c r="F120" s="13"/>
      <c r="G120" s="117" t="s">
        <v>87</v>
      </c>
      <c r="H120" s="15"/>
      <c r="I120" s="270"/>
      <c r="J120" s="278"/>
      <c r="K120" s="271">
        <f>K112+K118+K119</f>
        <v>0</v>
      </c>
      <c r="L120" s="13"/>
      <c r="M120" s="117" t="s">
        <v>87</v>
      </c>
      <c r="N120" s="15"/>
      <c r="O120" s="270"/>
      <c r="P120" s="278"/>
      <c r="Q120" s="271">
        <f>Q112+Q118+Q119</f>
        <v>0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-4984482.9397911103</v>
      </c>
      <c r="F122" s="13"/>
      <c r="G122" s="290" t="s">
        <v>89</v>
      </c>
      <c r="H122" s="274"/>
      <c r="I122" s="17"/>
      <c r="J122" s="17"/>
      <c r="K122" s="291">
        <f>-0.3*K112</f>
        <v>0</v>
      </c>
      <c r="L122" s="13"/>
      <c r="M122" s="290" t="s">
        <v>89</v>
      </c>
      <c r="N122" s="274"/>
      <c r="O122" s="17"/>
      <c r="P122" s="17"/>
      <c r="Q122" s="291">
        <f>-0.3*Q112</f>
        <v>0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11962759.055498663</v>
      </c>
      <c r="F123" s="13"/>
      <c r="G123" s="292" t="s">
        <v>90</v>
      </c>
      <c r="H123" s="261"/>
      <c r="I123" s="261"/>
      <c r="J123" s="261"/>
      <c r="K123" s="293">
        <f>K120+K122</f>
        <v>0</v>
      </c>
      <c r="L123" s="13"/>
      <c r="M123" s="292" t="s">
        <v>90</v>
      </c>
      <c r="N123" s="261"/>
      <c r="O123" s="261"/>
      <c r="P123" s="261"/>
      <c r="Q123" s="293">
        <f>Q120+Q122</f>
        <v>0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Multifamily+Retail 3</v>
      </c>
      <c r="D125" s="256"/>
      <c r="E125" s="281"/>
      <c r="F125" s="13"/>
      <c r="G125" s="259" t="s">
        <v>355</v>
      </c>
      <c r="H125" s="260"/>
      <c r="I125" s="256">
        <f>H34</f>
        <v>0</v>
      </c>
      <c r="J125" s="256"/>
      <c r="K125" s="281"/>
      <c r="L125" s="13"/>
      <c r="M125" s="259" t="s">
        <v>355</v>
      </c>
      <c r="N125" s="260"/>
      <c r="O125" s="256">
        <f>N34</f>
        <v>0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Assumptions!H6</f>
        <v>8.5000000000000006E-2</v>
      </c>
      <c r="D130" s="521" t="s">
        <v>356</v>
      </c>
      <c r="E130" s="346">
        <f>E123/C130</f>
        <v>140738341.82939604</v>
      </c>
      <c r="F130" s="13"/>
      <c r="G130" s="522" t="s">
        <v>317</v>
      </c>
      <c r="H130" s="523" t="s">
        <v>91</v>
      </c>
      <c r="I130" s="524">
        <f>Assumptions!H7</f>
        <v>0.11</v>
      </c>
      <c r="J130" s="521" t="s">
        <v>356</v>
      </c>
      <c r="K130" s="346">
        <f>K123/I130</f>
        <v>0</v>
      </c>
      <c r="L130" s="13"/>
      <c r="M130" s="522" t="s">
        <v>317</v>
      </c>
      <c r="N130" s="523" t="s">
        <v>91</v>
      </c>
      <c r="O130" s="524">
        <f>Assumptions!H7</f>
        <v>0.11</v>
      </c>
      <c r="P130" s="521" t="s">
        <v>356</v>
      </c>
      <c r="Q130" s="346">
        <f>Q123/O130</f>
        <v>0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Assumptions!$F$13</f>
        <v>300</v>
      </c>
      <c r="C133" s="395">
        <f>B133*D34</f>
        <v>216132420</v>
      </c>
      <c r="F133" s="13"/>
      <c r="G133" s="88" t="s">
        <v>94</v>
      </c>
      <c r="H133" s="531">
        <f>Assumptions!$F$13</f>
        <v>300</v>
      </c>
      <c r="I133" s="395">
        <f>H133*J34</f>
        <v>0</v>
      </c>
      <c r="L133" s="13"/>
      <c r="M133" s="88" t="s">
        <v>94</v>
      </c>
      <c r="N133" s="531">
        <f>Assumptions!$F$13</f>
        <v>300</v>
      </c>
      <c r="O133" s="395">
        <f>N133*P34</f>
        <v>0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v>0.05</v>
      </c>
      <c r="C134" s="532">
        <f>B134*C133</f>
        <v>10806621</v>
      </c>
      <c r="E134" s="211"/>
      <c r="G134" s="19" t="s">
        <v>34</v>
      </c>
      <c r="H134" s="624">
        <f>Assumptions!$F$22</f>
        <v>0.1</v>
      </c>
      <c r="I134" s="532">
        <f>H134*I133</f>
        <v>0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0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11346952.050000001</v>
      </c>
      <c r="D138" s="603"/>
      <c r="G138" s="19" t="s">
        <v>36</v>
      </c>
      <c r="H138" s="626">
        <f>Assumptions!$F$23</f>
        <v>0.05</v>
      </c>
      <c r="I138" s="398">
        <f>H138*(I$133+I$134)</f>
        <v>0</v>
      </c>
      <c r="M138" s="19" t="s">
        <v>36</v>
      </c>
      <c r="N138" s="626">
        <f>Assumptions!$F$23</f>
        <v>0.05</v>
      </c>
      <c r="O138" s="398">
        <f>N138*(O$133+O$134)</f>
        <v>0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4538780.82</v>
      </c>
      <c r="G139" s="397" t="s">
        <v>41</v>
      </c>
      <c r="H139" s="626">
        <f>Assumptions!$F$25</f>
        <v>0.02</v>
      </c>
      <c r="I139" s="398">
        <f>H139*(I$133+I$134)</f>
        <v>0</v>
      </c>
      <c r="M139" s="397" t="s">
        <v>41</v>
      </c>
      <c r="N139" s="626">
        <f>Assumptions!$F$25</f>
        <v>0.02</v>
      </c>
      <c r="O139" s="398">
        <f>N139*(O$133+O$134)</f>
        <v>0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9077561.6400000006</v>
      </c>
      <c r="G141" s="397" t="s">
        <v>45</v>
      </c>
      <c r="H141" s="626">
        <f>Assumptions!$F$27</f>
        <v>0.04</v>
      </c>
      <c r="I141" s="398">
        <f>H141*(I$133+I$134)</f>
        <v>0</v>
      </c>
      <c r="M141" s="397" t="s">
        <v>45</v>
      </c>
      <c r="N141" s="626">
        <f>Assumptions!$F$27</f>
        <v>0.04</v>
      </c>
      <c r="O141" s="398">
        <f>N141*(O$133+O$134)</f>
        <v>0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6808171.2299999995</v>
      </c>
      <c r="G142" s="397" t="s">
        <v>47</v>
      </c>
      <c r="H142" s="626">
        <f>Assumptions!$F$28</f>
        <v>0.03</v>
      </c>
      <c r="I142" s="398">
        <f>H142*(I$133+I$134)</f>
        <v>0</v>
      </c>
      <c r="M142" s="397" t="s">
        <v>47</v>
      </c>
      <c r="N142" s="626">
        <f>Assumptions!$F$28</f>
        <v>0.03</v>
      </c>
      <c r="O142" s="398">
        <f>N142*(O$133+O$134)</f>
        <v>0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11346952.050000001</v>
      </c>
      <c r="G143" s="397" t="s">
        <v>48</v>
      </c>
      <c r="H143" s="626">
        <f>Assumptions!$F$29</f>
        <v>0.05</v>
      </c>
      <c r="I143" s="398">
        <f>H143*(I$133+I$134)</f>
        <v>0</v>
      </c>
      <c r="M143" s="397" t="s">
        <v>48</v>
      </c>
      <c r="N143" s="626">
        <f>Assumptions!$F$29</f>
        <v>0.05</v>
      </c>
      <c r="O143" s="398">
        <f>N143*(O$133+O$134)</f>
        <v>0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1899967.6146968466</v>
      </c>
      <c r="G144" s="397" t="s">
        <v>96</v>
      </c>
      <c r="H144" s="627">
        <f>Assumptions!$F$30*Assumptions!$F$31</f>
        <v>1.35E-2</v>
      </c>
      <c r="I144" s="398">
        <f>H144*K130</f>
        <v>0</v>
      </c>
      <c r="M144" s="397" t="s">
        <v>96</v>
      </c>
      <c r="N144" s="627">
        <f>Assumptions!$F$30*Assumptions!$F$31</f>
        <v>1.35E-2</v>
      </c>
      <c r="O144" s="398">
        <f>N144*Q130</f>
        <v>0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3404085.6149999998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0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0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2492241.4698955552</v>
      </c>
      <c r="G147" s="397" t="s">
        <v>54</v>
      </c>
      <c r="H147" s="628">
        <v>6</v>
      </c>
      <c r="I147" s="398">
        <f>-H147*(K122/12)</f>
        <v>0</v>
      </c>
      <c r="M147" s="397" t="s">
        <v>54</v>
      </c>
      <c r="N147" s="628">
        <v>6</v>
      </c>
      <c r="O147" s="398">
        <f>-N147*(Q122/12)</f>
        <v>0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50</v>
      </c>
      <c r="C148" s="398">
        <f>B148*SUM(C91,C96)</f>
        <v>1126934.9999999998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0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202848.29999999996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0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f ca="1">B150*B162</f>
        <v>2229092.8851643265</v>
      </c>
      <c r="D150" s="635"/>
      <c r="G150" s="397" t="s">
        <v>57</v>
      </c>
      <c r="H150" s="631">
        <v>1.4999999999999999E-2</v>
      </c>
      <c r="I150" s="399">
        <f ca="1">H150*H162</f>
        <v>0</v>
      </c>
      <c r="J150" s="635"/>
      <c r="M150" s="397" t="s">
        <v>57</v>
      </c>
      <c r="N150" s="631">
        <v>1.4999999999999999E-2</v>
      </c>
      <c r="O150" s="399">
        <f ca="1">N150*N162</f>
        <v>0</v>
      </c>
      <c r="P150" s="635"/>
      <c r="S150" s="397" t="s">
        <v>57</v>
      </c>
      <c r="T150" s="631">
        <v>1.4999999999999999E-2</v>
      </c>
      <c r="U150" s="399">
        <v>0</v>
      </c>
      <c r="V150" s="635"/>
    </row>
    <row r="151" spans="1:23" ht="13">
      <c r="A151" s="536" t="s">
        <v>58</v>
      </c>
      <c r="B151" s="632">
        <v>7.0000000000000007E-2</v>
      </c>
      <c r="C151" s="622">
        <f ca="1">B151*B162</f>
        <v>10402433.464100191</v>
      </c>
      <c r="D151" s="635"/>
      <c r="G151" s="536" t="s">
        <v>58</v>
      </c>
      <c r="H151" s="632">
        <v>7.0000000000000007E-2</v>
      </c>
      <c r="I151" s="622">
        <f ca="1">H151*H162</f>
        <v>0</v>
      </c>
      <c r="J151" s="635"/>
      <c r="M151" s="536" t="s">
        <v>58</v>
      </c>
      <c r="N151" s="632">
        <v>7.0000000000000007E-2</v>
      </c>
      <c r="O151" s="622">
        <f ca="1">N151*N162</f>
        <v>0</v>
      </c>
      <c r="P151" s="635"/>
      <c r="S151" s="536" t="s">
        <v>58</v>
      </c>
      <c r="T151" s="632">
        <v>7.0000000000000007E-2</v>
      </c>
      <c r="U151" s="622"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 ca="1">B152*SUM(C138:C151)</f>
        <v>4597321.5497199856</v>
      </c>
      <c r="D152" s="634"/>
      <c r="G152" s="105" t="s">
        <v>97</v>
      </c>
      <c r="H152" s="633">
        <f>7%</f>
        <v>7.0000000000000007E-2</v>
      </c>
      <c r="I152" s="399">
        <f ca="1">H152*SUM(I138:I151)</f>
        <v>0</v>
      </c>
      <c r="J152" s="223"/>
      <c r="M152" s="105" t="s">
        <v>97</v>
      </c>
      <c r="N152" s="633">
        <f>7%</f>
        <v>7.0000000000000007E-2</v>
      </c>
      <c r="O152" s="399">
        <f ca="1">N152*SUM(O138:O151)</f>
        <v>0</v>
      </c>
      <c r="S152" s="105" t="s">
        <v>97</v>
      </c>
      <c r="T152" s="633">
        <f>7%</f>
        <v>7.0000000000000007E-2</v>
      </c>
      <c r="U152" s="399">
        <f>T152*SUM(U138:U151)</f>
        <v>0</v>
      </c>
    </row>
    <row r="153" spans="1:23" ht="14" thickTop="1" thickBot="1">
      <c r="A153" s="538" t="s">
        <v>98</v>
      </c>
      <c r="B153" s="539"/>
      <c r="C153" s="540">
        <f ca="1">SUM(C133:C152)</f>
        <v>297212384.68857688</v>
      </c>
      <c r="G153" s="538" t="s">
        <v>98</v>
      </c>
      <c r="H153" s="539"/>
      <c r="I153" s="540">
        <f ca="1">SUM(I133:I152)</f>
        <v>0</v>
      </c>
      <c r="M153" s="538" t="s">
        <v>98</v>
      </c>
      <c r="N153" s="539"/>
      <c r="O153" s="540">
        <f ca="1">SUM(O133:O152)</f>
        <v>0</v>
      </c>
      <c r="S153" s="538" t="s">
        <v>98</v>
      </c>
      <c r="T153" s="539"/>
      <c r="U153" s="540">
        <v>0</v>
      </c>
    </row>
    <row r="154" spans="1:23" ht="13">
      <c r="A154" s="537" t="s">
        <v>99</v>
      </c>
      <c r="B154" s="401">
        <f ca="1">E123/C153</f>
        <v>4.0249867339927317E-2</v>
      </c>
      <c r="C154" s="535"/>
      <c r="G154" s="537" t="s">
        <v>99</v>
      </c>
      <c r="H154" s="401" t="e">
        <f ca="1">K123/I153</f>
        <v>#DIV/0!</v>
      </c>
      <c r="I154" s="535"/>
      <c r="M154" s="537" t="s">
        <v>99</v>
      </c>
      <c r="N154" s="401" t="e">
        <f ca="1">Q123/O153</f>
        <v>#DIV/0!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 ca="1">((E130+E131)/C153)-1</f>
        <v>-0.52647214894203165</v>
      </c>
      <c r="C155" s="535"/>
      <c r="G155" s="400" t="s">
        <v>100</v>
      </c>
      <c r="H155" s="401" t="e">
        <f ca="1">((K130+K131)/I153)-1</f>
        <v>#DIV/0!</v>
      </c>
      <c r="I155" s="535"/>
      <c r="M155" s="400" t="s">
        <v>100</v>
      </c>
      <c r="N155" s="401" t="e">
        <f ca="1">((Q130+Q131)/O153)-1</f>
        <v>#DIV/0!</v>
      </c>
      <c r="O155" s="535"/>
      <c r="S155" s="400" t="s">
        <v>100</v>
      </c>
      <c r="T155" s="401" t="e">
        <f>((W130+W131)/U153)-1</f>
        <v>#DIV/0!</v>
      </c>
      <c r="U155" s="535"/>
    </row>
    <row r="156" spans="1:23" ht="13.5" thickBot="1">
      <c r="A156" s="119">
        <v>0.25</v>
      </c>
      <c r="B156" s="120">
        <f>((E130+E131)/(1+A156))</f>
        <v>112590673.46351683</v>
      </c>
      <c r="C156" s="535"/>
      <c r="G156" s="119">
        <v>0.3</v>
      </c>
      <c r="H156" s="120">
        <f>((K130+K131)/(1+G156))</f>
        <v>0</v>
      </c>
      <c r="I156" s="535"/>
      <c r="M156" s="119">
        <v>0.3</v>
      </c>
      <c r="N156" s="120">
        <f>((Q130+Q131)/(1+M156))</f>
        <v>0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0.25</v>
      </c>
      <c r="B157" s="120">
        <f ca="1">ROUND(((E130+E131)/(1+A157))-C153,0)</f>
        <v>-184621711</v>
      </c>
      <c r="C157" s="535"/>
      <c r="G157" s="402">
        <v>0.3</v>
      </c>
      <c r="H157" s="120">
        <f ca="1">ROUND(((K130+K131)/(1+G157))-I153,0)</f>
        <v>0</v>
      </c>
      <c r="I157" s="535"/>
      <c r="M157" s="402">
        <v>0.3</v>
      </c>
      <c r="N157" s="120">
        <f ca="1">ROUND(((Q130+Q131)/(1+M157))-O153,0)</f>
        <v>0</v>
      </c>
      <c r="O157" s="535"/>
      <c r="S157" s="402">
        <v>0.3</v>
      </c>
      <c r="T157" s="120">
        <f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Multifamily+Retail 3</v>
      </c>
      <c r="G158" s="644" t="s">
        <v>101</v>
      </c>
      <c r="H158" s="645"/>
      <c r="I158" s="646">
        <f>H34</f>
        <v>0</v>
      </c>
      <c r="M158" s="612" t="s">
        <v>101</v>
      </c>
      <c r="N158" s="613"/>
      <c r="O158" s="121">
        <f>N34</f>
        <v>0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 ca="1">IF(B157&lt;0,B157,0)</f>
        <v>-184621711</v>
      </c>
      <c r="C160" s="648">
        <f ca="1">IFERROR(B160/#REF!,0)</f>
        <v>0</v>
      </c>
      <c r="G160" s="647" t="s">
        <v>103</v>
      </c>
      <c r="H160" s="91">
        <f ca="1">IF(H157&lt;0,H157,0)</f>
        <v>0</v>
      </c>
      <c r="I160" s="648">
        <f ca="1">IFERROR(H160/#REF!,0)</f>
        <v>0</v>
      </c>
      <c r="M160" s="24" t="s">
        <v>103</v>
      </c>
      <c r="N160" s="91">
        <f ca="1">IF(N157&lt;0,N157,0)</f>
        <v>0</v>
      </c>
      <c r="O160" s="125">
        <f ca="1">IFERROR(N160/#REF!,0)</f>
        <v>0</v>
      </c>
      <c r="S160" s="647" t="s">
        <v>103</v>
      </c>
      <c r="T160" s="91">
        <f>IF(T157&lt;0,T157,0)</f>
        <v>0</v>
      </c>
      <c r="U160" s="648">
        <f>IFERROR(T160/#REF!,0)</f>
        <v>0</v>
      </c>
    </row>
    <row r="161" spans="1:23" ht="13">
      <c r="A161" s="647" t="s">
        <v>104</v>
      </c>
      <c r="B161" s="91">
        <f ca="1">C153+B160</f>
        <v>112590673.68857688</v>
      </c>
      <c r="C161" s="648">
        <f ca="1">IFERROR(B161/#REF!,0)</f>
        <v>0</v>
      </c>
      <c r="G161" s="647" t="s">
        <v>104</v>
      </c>
      <c r="H161" s="91">
        <f ca="1">I153+H160</f>
        <v>0</v>
      </c>
      <c r="I161" s="648">
        <f ca="1">IFERROR(H161/#REF!,0)</f>
        <v>0</v>
      </c>
      <c r="M161" s="25" t="s">
        <v>104</v>
      </c>
      <c r="N161" s="91">
        <f ca="1">O153+N160</f>
        <v>0</v>
      </c>
      <c r="O161" s="125">
        <f ca="1">IFERROR(N161/#REF!,0)</f>
        <v>0</v>
      </c>
      <c r="S161" s="647" t="s">
        <v>104</v>
      </c>
      <c r="T161" s="91">
        <f>U153+T160</f>
        <v>0</v>
      </c>
      <c r="U161" s="648">
        <f>IFERROR(T161/#REF!,0)</f>
        <v>0</v>
      </c>
    </row>
    <row r="162" spans="1:23" s="223" customFormat="1" ht="13.5" customHeight="1">
      <c r="A162" s="126">
        <f>Assumptions!$H$14</f>
        <v>0.5</v>
      </c>
      <c r="B162" s="92">
        <f ca="1">A162*C$153</f>
        <v>148606192.34428844</v>
      </c>
      <c r="C162" s="648">
        <f ca="1">IFERROR(B162/#REF!,0)</f>
        <v>0</v>
      </c>
      <c r="D162" s="21"/>
      <c r="E162" s="347"/>
      <c r="F162" s="347"/>
      <c r="G162" s="126">
        <f>Assumptions!$H$14</f>
        <v>0.5</v>
      </c>
      <c r="H162" s="92">
        <f ca="1">G162*I$153</f>
        <v>0</v>
      </c>
      <c r="I162" s="648">
        <f ca="1">IFERROR(H162/#REF!,0)</f>
        <v>0</v>
      </c>
      <c r="J162" s="21"/>
      <c r="K162" s="347"/>
      <c r="L162" s="347"/>
      <c r="M162" s="126">
        <f>Assumptions!$H$14</f>
        <v>0.5</v>
      </c>
      <c r="N162" s="92">
        <f ca="1">M162*O$153</f>
        <v>0</v>
      </c>
      <c r="O162" s="125">
        <f ca="1">IFERROR(N162/#REF!,0)</f>
        <v>0</v>
      </c>
      <c r="P162" s="21"/>
      <c r="Q162" s="347"/>
      <c r="R162" s="347"/>
      <c r="S162" s="126">
        <f>Assumptions!$H$14</f>
        <v>0.5</v>
      </c>
      <c r="T162" s="92">
        <f>S162*U$153</f>
        <v>0</v>
      </c>
      <c r="U162" s="648">
        <f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 ca="1">A163*C$153</f>
        <v>148606192.34428844</v>
      </c>
      <c r="C163" s="649">
        <f ca="1">IFERROR(B163/#REF!,0)</f>
        <v>0</v>
      </c>
      <c r="D163" s="5"/>
      <c r="E163" s="347"/>
      <c r="F163" s="347"/>
      <c r="G163" s="127">
        <f>1-G162</f>
        <v>0.5</v>
      </c>
      <c r="H163" s="240">
        <f ca="1">G163*I$153</f>
        <v>0</v>
      </c>
      <c r="I163" s="649">
        <f ca="1">IFERROR(H163/#REF!,0)</f>
        <v>0</v>
      </c>
      <c r="J163" s="5"/>
      <c r="K163" s="347"/>
      <c r="L163" s="347"/>
      <c r="M163" s="127">
        <f>1-M162</f>
        <v>0.5</v>
      </c>
      <c r="N163" s="240">
        <f ca="1">M163*O$153</f>
        <v>0</v>
      </c>
      <c r="O163" s="241">
        <f ca="1">IFERROR(N163/#REF!,0)</f>
        <v>0</v>
      </c>
      <c r="P163" s="5"/>
      <c r="Q163" s="347"/>
      <c r="R163" s="347"/>
      <c r="S163" s="127">
        <f>1-S162</f>
        <v>0.5</v>
      </c>
      <c r="T163" s="240">
        <f>S163*U$153</f>
        <v>0</v>
      </c>
      <c r="U163" s="649">
        <f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 ca="1">B162+B163</f>
        <v>297212384.68857688</v>
      </c>
      <c r="C164" s="652">
        <f ca="1">ROUND((C163+C162),-3)</f>
        <v>0</v>
      </c>
      <c r="D164" s="23"/>
      <c r="G164" s="650" t="s">
        <v>105</v>
      </c>
      <c r="H164" s="651">
        <f ca="1">H162+H163</f>
        <v>0</v>
      </c>
      <c r="I164" s="652">
        <f ca="1">ROUND((I163+I162),-3)</f>
        <v>0</v>
      </c>
      <c r="J164" s="23"/>
      <c r="M164" s="54" t="s">
        <v>105</v>
      </c>
      <c r="N164" s="128">
        <f ca="1">N162+N163</f>
        <v>0</v>
      </c>
      <c r="O164" s="93">
        <f ca="1">ROUND((O163+O162),-3)</f>
        <v>0</v>
      </c>
      <c r="P164" s="23"/>
      <c r="S164" s="650" t="s">
        <v>105</v>
      </c>
      <c r="T164" s="651">
        <f>T162+T163</f>
        <v>0</v>
      </c>
      <c r="U164" s="652">
        <f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332" priority="19">
      <formula>C53&gt;D46</formula>
    </cfRule>
  </conditionalFormatting>
  <conditionalFormatting sqref="C63">
    <cfRule type="expression" dxfId="331" priority="18">
      <formula>C69&gt;D62</formula>
    </cfRule>
  </conditionalFormatting>
  <conditionalFormatting sqref="C79">
    <cfRule type="expression" dxfId="330" priority="17">
      <formula>C85&gt;D78</formula>
    </cfRule>
  </conditionalFormatting>
  <conditionalFormatting sqref="I79">
    <cfRule type="expression" dxfId="329" priority="12">
      <formula>I85&gt;J78</formula>
    </cfRule>
  </conditionalFormatting>
  <conditionalFormatting sqref="C56">
    <cfRule type="expression" dxfId="328" priority="20">
      <formula>C60&gt;D55</formula>
    </cfRule>
  </conditionalFormatting>
  <conditionalFormatting sqref="I47">
    <cfRule type="expression" dxfId="327" priority="14">
      <formula>I53&gt;J46</formula>
    </cfRule>
  </conditionalFormatting>
  <conditionalFormatting sqref="I63">
    <cfRule type="expression" dxfId="326" priority="13">
      <formula>I69&gt;J62</formula>
    </cfRule>
  </conditionalFormatting>
  <conditionalFormatting sqref="I56">
    <cfRule type="expression" dxfId="325" priority="15">
      <formula>I60&gt;J55</formula>
    </cfRule>
  </conditionalFormatting>
  <conditionalFormatting sqref="C72">
    <cfRule type="expression" dxfId="324" priority="16">
      <formula>C76&gt;D71</formula>
    </cfRule>
  </conditionalFormatting>
  <conditionalFormatting sqref="I72">
    <cfRule type="expression" dxfId="323" priority="11">
      <formula>I76&gt;J71</formula>
    </cfRule>
  </conditionalFormatting>
  <conditionalFormatting sqref="O47">
    <cfRule type="expression" dxfId="322" priority="9">
      <formula>O53&gt;P46</formula>
    </cfRule>
  </conditionalFormatting>
  <conditionalFormatting sqref="O63">
    <cfRule type="expression" dxfId="321" priority="8">
      <formula>O69&gt;P62</formula>
    </cfRule>
  </conditionalFormatting>
  <conditionalFormatting sqref="O79">
    <cfRule type="expression" dxfId="320" priority="7">
      <formula>O85&gt;P78</formula>
    </cfRule>
  </conditionalFormatting>
  <conditionalFormatting sqref="O56">
    <cfRule type="expression" dxfId="319" priority="10">
      <formula>O60&gt;P55</formula>
    </cfRule>
  </conditionalFormatting>
  <conditionalFormatting sqref="O72">
    <cfRule type="expression" dxfId="318" priority="6">
      <formula>O76&gt;P71</formula>
    </cfRule>
  </conditionalFormatting>
  <conditionalFormatting sqref="U47">
    <cfRule type="expression" dxfId="317" priority="4">
      <formula>U53&gt;V46</formula>
    </cfRule>
  </conditionalFormatting>
  <conditionalFormatting sqref="U63">
    <cfRule type="expression" dxfId="316" priority="3">
      <formula>U69&gt;V62</formula>
    </cfRule>
  </conditionalFormatting>
  <conditionalFormatting sqref="U79">
    <cfRule type="expression" dxfId="315" priority="2">
      <formula>U85&gt;V78</formula>
    </cfRule>
  </conditionalFormatting>
  <conditionalFormatting sqref="U56">
    <cfRule type="expression" dxfId="314" priority="5">
      <formula>U60&gt;V55</formula>
    </cfRule>
  </conditionalFormatting>
  <conditionalFormatting sqref="U72">
    <cfRule type="expression" dxfId="313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5E9189-A67F-4331-9E85-A0B29B60BAA8}">
  <sheetPr>
    <tabColor rgb="FF0070C0"/>
  </sheetPr>
  <dimension ref="A1:BX608"/>
  <sheetViews>
    <sheetView zoomScale="85" zoomScaleNormal="85" zoomScalePageLayoutView="125" workbookViewId="0">
      <pane xSplit="1" ySplit="3" topLeftCell="B22" activePane="bottomRight" state="frozen"/>
      <selection activeCell="D21" sqref="D21"/>
      <selection pane="topRight" activeCell="D21" sqref="D21"/>
      <selection pane="bottomLeft" activeCell="D21" sqref="D21"/>
      <selection pane="bottomRight" activeCell="A40" sqref="A40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bestFit="1" customWidth="1"/>
    <col min="4" max="4" width="19.54296875" style="5" bestFit="1" customWidth="1"/>
    <col min="5" max="6" width="17.6328125" style="5" customWidth="1"/>
    <col min="7" max="7" width="17.6328125" style="55" customWidth="1"/>
    <col min="8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195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1/1/26 to 12/31/26</v>
      </c>
      <c r="D2" s="518" t="str">
        <f>INDEX('Development Program'!$B$62:$H$71,MATCH($A$1,'Development Program'!$B$62:$B$71,0),MATCH(D1,'Development Program'!$B$62:$H$62,0))</f>
        <v>1/1/27 to 6/30/28</v>
      </c>
      <c r="E2" s="518" t="str">
        <f>INDEX('Development Program'!$B$62:$H$71,MATCH($A$1,'Development Program'!$B$62:$B$71,0),MATCH(E1,'Development Program'!$B$62:$H$62,0))</f>
        <v>7/1/28 to 9/30/28</v>
      </c>
      <c r="G2" s="5"/>
      <c r="I2" s="601" t="s">
        <v>121</v>
      </c>
      <c r="J2" s="601" t="s">
        <v>122</v>
      </c>
      <c r="N2" s="601" t="s">
        <v>123</v>
      </c>
      <c r="O2" s="601" t="s">
        <v>124</v>
      </c>
      <c r="P2" s="601" t="s">
        <v>125</v>
      </c>
      <c r="W2" s="99"/>
      <c r="X2" s="99"/>
      <c r="Y2" s="99"/>
      <c r="Z2" s="99"/>
      <c r="AA2" s="99"/>
      <c r="AB2" s="99"/>
      <c r="AC2" s="99"/>
      <c r="AD2" s="99"/>
      <c r="AE2" s="99"/>
      <c r="AF2" s="99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83">
        <v>46388</v>
      </c>
      <c r="J3" s="83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102">
        <f t="shared" si="0"/>
        <v>46873</v>
      </c>
      <c r="O3" s="83">
        <f t="shared" si="0"/>
        <v>46965</v>
      </c>
      <c r="P3" s="83">
        <f t="shared" si="0"/>
        <v>47057</v>
      </c>
      <c r="Q3" s="83">
        <f t="shared" si="0"/>
        <v>47149</v>
      </c>
      <c r="R3" s="102">
        <f t="shared" si="0"/>
        <v>47238</v>
      </c>
      <c r="S3" s="102">
        <f t="shared" si="0"/>
        <v>47330</v>
      </c>
      <c r="T3" s="102">
        <f t="shared" si="0"/>
        <v>47422</v>
      </c>
      <c r="U3" s="102">
        <f t="shared" si="0"/>
        <v>47514</v>
      </c>
      <c r="V3" s="102">
        <f>EOMONTH(U3,5)</f>
        <v>47664</v>
      </c>
      <c r="W3" s="100">
        <f t="shared" si="0"/>
        <v>47756</v>
      </c>
      <c r="X3" s="102">
        <f t="shared" si="0"/>
        <v>47848</v>
      </c>
      <c r="Y3" s="102">
        <f t="shared" si="0"/>
        <v>47938</v>
      </c>
      <c r="Z3" s="102">
        <f t="shared" si="0"/>
        <v>48029</v>
      </c>
      <c r="AA3" s="102">
        <f t="shared" si="0"/>
        <v>48121</v>
      </c>
      <c r="AB3" s="102">
        <f t="shared" si="0"/>
        <v>48213</v>
      </c>
      <c r="AC3" s="102">
        <f t="shared" si="0"/>
        <v>48304</v>
      </c>
      <c r="AD3" s="102">
        <f t="shared" si="0"/>
        <v>48395</v>
      </c>
      <c r="AE3" s="102">
        <f t="shared" si="0"/>
        <v>48487</v>
      </c>
      <c r="AF3" s="102">
        <f t="shared" si="0"/>
        <v>48579</v>
      </c>
      <c r="AG3" s="102">
        <f t="shared" si="0"/>
        <v>48669</v>
      </c>
      <c r="AH3" s="102">
        <f t="shared" si="0"/>
        <v>48760</v>
      </c>
      <c r="AI3" s="102">
        <f t="shared" si="0"/>
        <v>48852</v>
      </c>
      <c r="AJ3" s="102">
        <f t="shared" si="0"/>
        <v>48944</v>
      </c>
      <c r="AK3" s="102">
        <f t="shared" si="0"/>
        <v>49034</v>
      </c>
      <c r="AL3" s="102">
        <f>EOMONTH(AK3,3)</f>
        <v>49125</v>
      </c>
      <c r="AM3" s="102">
        <f t="shared" ref="AM3:AU3" si="1">EOMONTH(AL3,3)</f>
        <v>49217</v>
      </c>
      <c r="AN3" s="102">
        <f t="shared" si="1"/>
        <v>49309</v>
      </c>
      <c r="AO3" s="102">
        <f t="shared" si="1"/>
        <v>49399</v>
      </c>
      <c r="AP3" s="102">
        <f t="shared" si="1"/>
        <v>49490</v>
      </c>
      <c r="AQ3" s="102">
        <f t="shared" si="1"/>
        <v>49582</v>
      </c>
      <c r="AR3" s="102">
        <f t="shared" si="1"/>
        <v>49674</v>
      </c>
      <c r="AS3" s="102">
        <f>EOMONTH(AR3,3)</f>
        <v>49765</v>
      </c>
      <c r="AT3" s="102">
        <f t="shared" si="1"/>
        <v>49856</v>
      </c>
      <c r="AU3" s="102">
        <f t="shared" si="1"/>
        <v>49948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>
        <v>0</v>
      </c>
      <c r="D4" s="97">
        <v>0</v>
      </c>
      <c r="E4" s="97">
        <v>0</v>
      </c>
      <c r="F4" s="96">
        <f t="shared" ref="F4:G4" si="2">E4</f>
        <v>0</v>
      </c>
      <c r="G4" s="96">
        <f t="shared" si="2"/>
        <v>0</v>
      </c>
      <c r="H4" s="96">
        <v>0</v>
      </c>
      <c r="I4" s="96">
        <v>0</v>
      </c>
      <c r="J4" s="96">
        <v>0.15</v>
      </c>
      <c r="K4" s="96">
        <v>0.2</v>
      </c>
      <c r="L4" s="96">
        <v>0.25</v>
      </c>
      <c r="M4" s="96">
        <v>0.3</v>
      </c>
      <c r="N4" s="96">
        <v>0.1</v>
      </c>
      <c r="O4" s="96"/>
      <c r="P4" s="96"/>
      <c r="Q4" s="96"/>
      <c r="R4" s="96"/>
      <c r="S4" s="96"/>
      <c r="T4" s="96"/>
      <c r="U4" s="96"/>
      <c r="V4" s="96"/>
      <c r="W4" s="97"/>
      <c r="X4" s="97"/>
      <c r="Y4" s="97"/>
      <c r="Z4" s="97"/>
      <c r="AA4" s="97"/>
      <c r="AB4" s="97"/>
      <c r="AC4" s="97"/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0.99999999999999989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'B Financial'!$A7</f>
        <v>Hard Costs for Construction</v>
      </c>
      <c r="B5" s="140">
        <f>'B Financial'!$B7</f>
        <v>216132420</v>
      </c>
      <c r="C5" s="141">
        <f>$B$5*C4</f>
        <v>0</v>
      </c>
      <c r="D5" s="141">
        <f t="shared" ref="D5:O5" si="3">$B$5*D4</f>
        <v>0</v>
      </c>
      <c r="E5" s="141">
        <f t="shared" si="3"/>
        <v>0</v>
      </c>
      <c r="F5" s="141">
        <f t="shared" si="3"/>
        <v>0</v>
      </c>
      <c r="G5" s="141">
        <f t="shared" si="3"/>
        <v>0</v>
      </c>
      <c r="H5" s="141">
        <f t="shared" si="3"/>
        <v>0</v>
      </c>
      <c r="I5" s="141">
        <f t="shared" si="3"/>
        <v>0</v>
      </c>
      <c r="J5" s="141">
        <f t="shared" si="3"/>
        <v>32419863</v>
      </c>
      <c r="K5" s="141">
        <f t="shared" si="3"/>
        <v>43226484</v>
      </c>
      <c r="L5" s="141">
        <f t="shared" si="3"/>
        <v>54033105</v>
      </c>
      <c r="M5" s="141">
        <f t="shared" si="3"/>
        <v>64839726</v>
      </c>
      <c r="N5" s="141">
        <f t="shared" si="3"/>
        <v>21613242</v>
      </c>
      <c r="O5" s="141">
        <f t="shared" si="3"/>
        <v>0</v>
      </c>
      <c r="P5" s="141"/>
      <c r="Q5" s="141"/>
      <c r="R5" s="141"/>
      <c r="S5" s="141"/>
      <c r="T5" s="141"/>
      <c r="U5" s="141"/>
      <c r="V5" s="141"/>
      <c r="W5" s="142"/>
      <c r="X5" s="142"/>
      <c r="Y5" s="142"/>
      <c r="Z5" s="142"/>
      <c r="AA5" s="142"/>
      <c r="AB5" s="142"/>
      <c r="AC5" s="142"/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216132420</v>
      </c>
      <c r="AW5" s="142">
        <f t="shared" ref="AW5:AW24" si="4">B5</f>
        <v>216132420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'B Financial'!$A8</f>
        <v>Hard Cost Contingency</v>
      </c>
      <c r="B6" s="140">
        <f>'B Financial'!$B8</f>
        <v>10806621</v>
      </c>
      <c r="C6" s="141">
        <f t="shared" ref="C6:O6" si="5">$B6*C$4</f>
        <v>0</v>
      </c>
      <c r="D6" s="141">
        <f t="shared" si="5"/>
        <v>0</v>
      </c>
      <c r="E6" s="141">
        <f t="shared" si="5"/>
        <v>0</v>
      </c>
      <c r="F6" s="141">
        <f t="shared" si="5"/>
        <v>0</v>
      </c>
      <c r="G6" s="141">
        <f t="shared" si="5"/>
        <v>0</v>
      </c>
      <c r="H6" s="141">
        <f t="shared" si="5"/>
        <v>0</v>
      </c>
      <c r="I6" s="141">
        <f t="shared" si="5"/>
        <v>0</v>
      </c>
      <c r="J6" s="141">
        <f t="shared" si="5"/>
        <v>1620993.15</v>
      </c>
      <c r="K6" s="141">
        <f t="shared" si="5"/>
        <v>2161324.2000000002</v>
      </c>
      <c r="L6" s="141">
        <f t="shared" si="5"/>
        <v>2701655.25</v>
      </c>
      <c r="M6" s="141">
        <f t="shared" si="5"/>
        <v>3241986.3</v>
      </c>
      <c r="N6" s="141">
        <f t="shared" si="5"/>
        <v>1080662.1000000001</v>
      </c>
      <c r="O6" s="141">
        <f t="shared" si="5"/>
        <v>0</v>
      </c>
      <c r="P6" s="141"/>
      <c r="Q6" s="141"/>
      <c r="R6" s="141"/>
      <c r="S6" s="141"/>
      <c r="T6" s="141"/>
      <c r="U6" s="141"/>
      <c r="V6" s="141"/>
      <c r="W6" s="142"/>
      <c r="X6" s="142"/>
      <c r="Y6" s="142"/>
      <c r="Z6" s="142"/>
      <c r="AA6" s="142"/>
      <c r="AB6" s="142"/>
      <c r="AC6" s="142"/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10806620.999999998</v>
      </c>
      <c r="AW6" s="142">
        <f t="shared" si="4"/>
        <v>10806621</v>
      </c>
      <c r="AX6" s="142">
        <f t="shared" ref="AX6:AX24" si="6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'B Financial'!$A9</f>
        <v>Demolition</v>
      </c>
      <c r="B7" s="140">
        <f>'B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2"/>
      <c r="X7" s="142"/>
      <c r="Y7" s="142"/>
      <c r="Z7" s="142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4"/>
        <v>0</v>
      </c>
      <c r="AX7" s="142">
        <f t="shared" si="6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'B Financial'!$A10</f>
        <v>Land Cost</v>
      </c>
      <c r="B8" s="140">
        <f>'B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6"/>
      <c r="N8" s="143"/>
      <c r="O8" s="143"/>
      <c r="P8" s="143"/>
      <c r="Q8" s="143"/>
      <c r="R8" s="143"/>
      <c r="S8" s="143"/>
      <c r="T8" s="143"/>
      <c r="U8" s="143"/>
      <c r="V8" s="143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4"/>
        <v>0</v>
      </c>
      <c r="AX8" s="142">
        <f t="shared" si="6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'B Financial'!$A11</f>
        <v>Infrastructure Cost less Subsidy</v>
      </c>
      <c r="B9" s="140">
        <f>'B Financial'!$B11</f>
        <v>-9952380.9523809515</v>
      </c>
      <c r="C9" s="146"/>
      <c r="D9" s="143"/>
      <c r="E9" s="141"/>
      <c r="F9" s="141"/>
      <c r="G9" s="141"/>
      <c r="H9" s="144"/>
      <c r="I9" s="141"/>
      <c r="J9" s="141"/>
      <c r="K9" s="143"/>
      <c r="L9" s="141">
        <f>$B$9/2</f>
        <v>-4976190.4761904757</v>
      </c>
      <c r="M9" s="141">
        <f>$B$9/2</f>
        <v>-4976190.4761904757</v>
      </c>
      <c r="N9" s="143"/>
      <c r="O9" s="143"/>
      <c r="P9" s="143"/>
      <c r="Q9" s="143"/>
      <c r="R9" s="653"/>
      <c r="S9" s="654"/>
      <c r="T9" s="143"/>
      <c r="U9" s="143"/>
      <c r="V9" s="143"/>
      <c r="W9" s="147"/>
      <c r="X9" s="147"/>
      <c r="Y9" s="147"/>
      <c r="Z9" s="147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7">SUM(C9:AU9)</f>
        <v>-9952380.9523809515</v>
      </c>
      <c r="AW9" s="142">
        <f t="shared" si="4"/>
        <v>-9952380.9523809515</v>
      </c>
      <c r="AX9" s="142">
        <f t="shared" si="6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'B Financial'!$A12</f>
        <v>Municipal Fees and Allowances</v>
      </c>
      <c r="B10" s="140">
        <f>'B Financial'!$B12</f>
        <v>11346952.050000001</v>
      </c>
      <c r="C10" s="148"/>
      <c r="D10" s="147"/>
      <c r="E10" s="149"/>
      <c r="F10" s="149"/>
      <c r="G10" s="149"/>
      <c r="H10" s="149"/>
      <c r="I10" s="149"/>
      <c r="J10" s="141">
        <f>B10</f>
        <v>11346952.050000001</v>
      </c>
      <c r="K10" s="147"/>
      <c r="L10" s="147"/>
      <c r="M10" s="147"/>
      <c r="N10" s="147"/>
      <c r="O10" s="147"/>
      <c r="P10" s="141"/>
      <c r="Q10" s="141"/>
      <c r="R10" s="487"/>
      <c r="S10" s="487"/>
      <c r="T10" s="147"/>
      <c r="U10" s="144"/>
      <c r="V10" s="144"/>
      <c r="W10" s="150"/>
      <c r="X10" s="150"/>
      <c r="Y10" s="150"/>
      <c r="Z10" s="150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7"/>
        <v>11346952.050000001</v>
      </c>
      <c r="AW10" s="142">
        <f t="shared" si="4"/>
        <v>11346952.050000001</v>
      </c>
      <c r="AX10" s="142">
        <f t="shared" si="6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'B Financial'!$A13</f>
        <v>Legal</v>
      </c>
      <c r="B11" s="140">
        <f>'B Financial'!$B13</f>
        <v>4538780.82</v>
      </c>
      <c r="C11" s="148"/>
      <c r="D11" s="148"/>
      <c r="F11" s="141">
        <f>$B$11/5</f>
        <v>907756.16400000011</v>
      </c>
      <c r="G11" s="141">
        <f t="shared" ref="G11:J11" si="8">$B$11/5</f>
        <v>907756.16400000011</v>
      </c>
      <c r="H11" s="141">
        <f t="shared" si="8"/>
        <v>907756.16400000011</v>
      </c>
      <c r="I11" s="141">
        <f t="shared" si="8"/>
        <v>907756.16400000011</v>
      </c>
      <c r="J11" s="141">
        <f t="shared" si="8"/>
        <v>907756.16400000011</v>
      </c>
      <c r="K11" s="147"/>
      <c r="L11" s="147"/>
      <c r="M11" s="147"/>
      <c r="N11" s="147"/>
      <c r="O11" s="147"/>
      <c r="P11" s="147"/>
      <c r="Q11" s="147"/>
      <c r="R11" s="147"/>
      <c r="S11" s="147"/>
      <c r="T11" s="147"/>
      <c r="U11" s="143"/>
      <c r="V11" s="143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7"/>
        <v>4538780.82</v>
      </c>
      <c r="AW11" s="142">
        <f t="shared" si="4"/>
        <v>4538780.82</v>
      </c>
      <c r="AX11" s="142">
        <f t="shared" si="6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'B Financial'!$A14</f>
        <v>Land Closing Costs/commissions</v>
      </c>
      <c r="B12" s="140">
        <f>'B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2"/>
      <c r="X12" s="142"/>
      <c r="Y12" s="142"/>
      <c r="Z12" s="142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7"/>
        <v>0</v>
      </c>
      <c r="AW12" s="142">
        <f t="shared" si="4"/>
        <v>0</v>
      </c>
      <c r="AX12" s="142">
        <f t="shared" si="6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'B Financial'!$A15</f>
        <v xml:space="preserve">Design </v>
      </c>
      <c r="B13" s="140">
        <f>'B Financial'!$B15</f>
        <v>9077561.6400000006</v>
      </c>
      <c r="C13" s="141"/>
      <c r="D13" s="141">
        <f>$B$13/10</f>
        <v>907756.16400000011</v>
      </c>
      <c r="E13" s="141">
        <f t="shared" ref="E13:M13" si="9">$B$13/10</f>
        <v>907756.16400000011</v>
      </c>
      <c r="F13" s="141">
        <f t="shared" si="9"/>
        <v>907756.16400000011</v>
      </c>
      <c r="G13" s="141">
        <f t="shared" si="9"/>
        <v>907756.16400000011</v>
      </c>
      <c r="H13" s="141">
        <f t="shared" si="9"/>
        <v>907756.16400000011</v>
      </c>
      <c r="I13" s="141">
        <f t="shared" si="9"/>
        <v>907756.16400000011</v>
      </c>
      <c r="J13" s="141">
        <f t="shared" si="9"/>
        <v>907756.16400000011</v>
      </c>
      <c r="K13" s="141">
        <f t="shared" si="9"/>
        <v>907756.16400000011</v>
      </c>
      <c r="L13" s="141">
        <f t="shared" si="9"/>
        <v>907756.16400000011</v>
      </c>
      <c r="M13" s="141">
        <f t="shared" si="9"/>
        <v>907756.16400000011</v>
      </c>
      <c r="N13" s="141"/>
      <c r="O13" s="141"/>
      <c r="P13" s="141"/>
      <c r="Q13" s="141"/>
      <c r="R13" s="141"/>
      <c r="S13" s="141"/>
      <c r="T13" s="141"/>
      <c r="U13" s="141"/>
      <c r="V13" s="141"/>
      <c r="W13" s="142"/>
      <c r="X13" s="142"/>
      <c r="Y13" s="142"/>
      <c r="Z13" s="142"/>
      <c r="AA13" s="142"/>
      <c r="AB13" s="142"/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7"/>
        <v>9077561.6400000006</v>
      </c>
      <c r="AW13" s="142">
        <f t="shared" si="4"/>
        <v>9077561.6400000006</v>
      </c>
      <c r="AX13" s="142">
        <f t="shared" si="6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'B Financial'!$A16</f>
        <v>Developer Fee</v>
      </c>
      <c r="B14" s="140">
        <f>'B Financial'!$B16</f>
        <v>6808171.2299999995</v>
      </c>
      <c r="C14" s="141"/>
      <c r="D14" s="141"/>
      <c r="E14" s="141"/>
      <c r="F14" s="141"/>
      <c r="G14" s="141"/>
      <c r="H14" s="141"/>
      <c r="I14" s="141"/>
      <c r="J14" s="141">
        <f>$B$14/5</f>
        <v>1361634.2459999998</v>
      </c>
      <c r="K14" s="141">
        <f t="shared" ref="K14:N14" si="10">$B$14/5</f>
        <v>1361634.2459999998</v>
      </c>
      <c r="L14" s="141">
        <f t="shared" si="10"/>
        <v>1361634.2459999998</v>
      </c>
      <c r="M14" s="141">
        <f t="shared" si="10"/>
        <v>1361634.2459999998</v>
      </c>
      <c r="N14" s="141">
        <f t="shared" si="10"/>
        <v>1361634.2459999998</v>
      </c>
      <c r="O14" s="141"/>
      <c r="P14" s="141"/>
      <c r="Q14" s="141"/>
      <c r="R14" s="141"/>
      <c r="S14" s="141"/>
      <c r="T14" s="141"/>
      <c r="U14" s="141"/>
      <c r="V14" s="141"/>
      <c r="W14" s="142"/>
      <c r="X14" s="142"/>
      <c r="Y14" s="142"/>
      <c r="Z14" s="142"/>
      <c r="AA14" s="142"/>
      <c r="AB14" s="142"/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7"/>
        <v>6808171.2299999986</v>
      </c>
      <c r="AW14" s="142">
        <f t="shared" si="4"/>
        <v>6808171.2299999995</v>
      </c>
      <c r="AX14" s="142">
        <f t="shared" si="6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'B Financial'!$A17</f>
        <v>Construction Management Fee</v>
      </c>
      <c r="B15" s="140">
        <f>'B Financial'!$B17</f>
        <v>11346952.050000001</v>
      </c>
      <c r="C15" s="141"/>
      <c r="D15" s="141"/>
      <c r="E15" s="141"/>
      <c r="F15" s="141"/>
      <c r="G15" s="141"/>
      <c r="H15" s="141"/>
      <c r="I15" s="141"/>
      <c r="J15" s="141">
        <f>$B$15/5</f>
        <v>2269390.41</v>
      </c>
      <c r="K15" s="141">
        <f t="shared" ref="K15:N15" si="11">$B$15/5</f>
        <v>2269390.41</v>
      </c>
      <c r="L15" s="141">
        <f t="shared" si="11"/>
        <v>2269390.41</v>
      </c>
      <c r="M15" s="141">
        <f t="shared" si="11"/>
        <v>2269390.41</v>
      </c>
      <c r="N15" s="141">
        <f t="shared" si="11"/>
        <v>2269390.41</v>
      </c>
      <c r="O15" s="141"/>
      <c r="P15" s="141"/>
      <c r="Q15" s="141"/>
      <c r="R15" s="141"/>
      <c r="S15" s="141"/>
      <c r="T15" s="141"/>
      <c r="U15" s="141"/>
      <c r="V15" s="141"/>
      <c r="W15" s="142"/>
      <c r="X15" s="142"/>
      <c r="Y15" s="142"/>
      <c r="Z15" s="142"/>
      <c r="AA15" s="142"/>
      <c r="AB15" s="142"/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7"/>
        <v>11346952.050000001</v>
      </c>
      <c r="AW15" s="142">
        <f t="shared" si="4"/>
        <v>11346952.050000001</v>
      </c>
      <c r="AX15" s="142">
        <f t="shared" si="6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'B Financial'!$A18</f>
        <v>Taxes</v>
      </c>
      <c r="B16" s="140">
        <f>'B Financial'!$B18</f>
        <v>1899967.6146968466</v>
      </c>
      <c r="C16" s="145"/>
      <c r="D16" s="141"/>
      <c r="E16" s="141"/>
      <c r="F16" s="141"/>
      <c r="G16" s="144"/>
      <c r="H16" s="141"/>
      <c r="I16" s="141">
        <f>$B$16*10%</f>
        <v>189996.76146968466</v>
      </c>
      <c r="J16" s="141"/>
      <c r="K16" s="141">
        <f>$B$16*20%</f>
        <v>379993.52293936932</v>
      </c>
      <c r="L16" s="141">
        <f>$B$16*20%</f>
        <v>379993.52293936932</v>
      </c>
      <c r="M16" s="141">
        <f>$B$16*25%</f>
        <v>474991.90367421164</v>
      </c>
      <c r="N16" s="141">
        <f>$B$16*25%</f>
        <v>474991.90367421164</v>
      </c>
      <c r="O16" s="141"/>
      <c r="P16" s="141"/>
      <c r="Q16" s="98"/>
      <c r="R16" s="141"/>
      <c r="S16" s="98"/>
      <c r="T16" s="141"/>
      <c r="U16" s="141"/>
      <c r="V16" s="141"/>
      <c r="W16" s="142"/>
      <c r="X16" s="142"/>
      <c r="Y16" s="142"/>
      <c r="Z16" s="142"/>
      <c r="AA16" s="142"/>
      <c r="AB16" s="142"/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7"/>
        <v>1899967.6146968466</v>
      </c>
      <c r="AW16" s="142">
        <f t="shared" si="4"/>
        <v>1899967.6146968466</v>
      </c>
      <c r="AX16" s="142">
        <f t="shared" si="6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'B Financial'!$A19</f>
        <v>Insurance</v>
      </c>
      <c r="B17" s="140">
        <f>'B Financial'!$B19</f>
        <v>3404085.6149999998</v>
      </c>
      <c r="C17" s="145"/>
      <c r="D17" s="144"/>
      <c r="E17" s="144"/>
      <c r="F17" s="141"/>
      <c r="G17" s="141"/>
      <c r="H17" s="141"/>
      <c r="I17" s="141"/>
      <c r="J17" s="141">
        <f>B17</f>
        <v>3404085.6149999998</v>
      </c>
      <c r="K17" s="141"/>
      <c r="L17" s="145"/>
      <c r="M17" s="141"/>
      <c r="N17" s="141"/>
      <c r="O17" s="141"/>
      <c r="P17" s="141"/>
      <c r="Q17" s="141"/>
      <c r="R17" s="141"/>
      <c r="S17" s="141"/>
      <c r="T17" s="98"/>
      <c r="U17" s="141"/>
      <c r="V17" s="141"/>
      <c r="W17" s="142"/>
      <c r="X17" s="142"/>
      <c r="Y17" s="142"/>
      <c r="Z17" s="142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7"/>
        <v>3404085.6149999998</v>
      </c>
      <c r="AW17" s="142">
        <f t="shared" si="4"/>
        <v>3404085.6149999998</v>
      </c>
      <c r="AX17" s="142">
        <f t="shared" si="6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'B Financial'!$A20</f>
        <v>Marketing, FFE and Preleasing</v>
      </c>
      <c r="B18" s="140">
        <f>'B Financial'!$B20</f>
        <v>800000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>
        <f>$B$18/2</f>
        <v>400000</v>
      </c>
      <c r="O18" s="141">
        <f>$B$18/2</f>
        <v>400000</v>
      </c>
      <c r="P18" s="141"/>
      <c r="Q18" s="141"/>
      <c r="R18" s="141"/>
      <c r="S18" s="141"/>
      <c r="T18" s="141"/>
      <c r="U18" s="141"/>
      <c r="V18" s="141"/>
      <c r="W18" s="142"/>
      <c r="X18" s="142"/>
      <c r="Y18" s="142"/>
      <c r="Z18" s="142"/>
      <c r="AA18" s="142"/>
      <c r="AB18" s="142"/>
      <c r="AC18" s="142"/>
      <c r="AD18" s="142"/>
      <c r="AE18" s="142"/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7"/>
        <v>800000</v>
      </c>
      <c r="AW18" s="142">
        <f t="shared" si="4"/>
        <v>800000</v>
      </c>
      <c r="AX18" s="142">
        <f t="shared" si="6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'B Financial'!$A21</f>
        <v>Operating Deficit</v>
      </c>
      <c r="B19" s="140">
        <f>'B Financial'!$B21</f>
        <v>2492241.4698955552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487"/>
      <c r="O19" s="141">
        <f>$B$19/2</f>
        <v>1246120.7349477776</v>
      </c>
      <c r="P19" s="141">
        <f>$B$19/2</f>
        <v>1246120.7349477776</v>
      </c>
      <c r="R19" s="141"/>
      <c r="S19" s="141"/>
      <c r="T19" s="141"/>
      <c r="U19" s="151"/>
      <c r="V19" s="151"/>
      <c r="W19" s="104"/>
      <c r="X19" s="104"/>
      <c r="Y19" s="104"/>
      <c r="Z19" s="104"/>
      <c r="AA19" s="104"/>
      <c r="AB19" s="104"/>
      <c r="AC19" s="104"/>
      <c r="AD19" s="104"/>
      <c r="AE19" s="104"/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7"/>
        <v>2492241.4698955552</v>
      </c>
      <c r="AW19" s="142">
        <f t="shared" si="4"/>
        <v>2492241.4698955552</v>
      </c>
      <c r="AX19" s="142">
        <f t="shared" si="6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'B Financial'!$A22</f>
        <v>Commercial Tenant Improvements</v>
      </c>
      <c r="B20" s="140">
        <f>'B Financial'!$B22</f>
        <v>1126934.9999999998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>
        <f>$B$20/2</f>
        <v>563467.49999999988</v>
      </c>
      <c r="O20" s="141">
        <f>$B$20/2</f>
        <v>563467.49999999988</v>
      </c>
      <c r="P20" s="141"/>
      <c r="Q20" s="141"/>
      <c r="R20" s="141"/>
      <c r="S20" s="141"/>
      <c r="T20" s="141"/>
      <c r="U20" s="141"/>
      <c r="V20" s="141"/>
      <c r="W20" s="142"/>
      <c r="X20" s="142"/>
      <c r="Y20" s="142"/>
      <c r="Z20" s="142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7"/>
        <v>1126934.9999999998</v>
      </c>
      <c r="AW20" s="142">
        <f t="shared" si="4"/>
        <v>1126934.9999999998</v>
      </c>
      <c r="AX20" s="142">
        <f t="shared" si="6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'B Financial'!$A23</f>
        <v>Commercial brokerage</v>
      </c>
      <c r="B21" s="140">
        <f>'B Financial'!$B23</f>
        <v>202848.29999999996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>
        <f>$B$21/3</f>
        <v>67616.099999999991</v>
      </c>
      <c r="O21" s="141">
        <f>$B$21/3</f>
        <v>67616.099999999991</v>
      </c>
      <c r="P21" s="141">
        <f>$B$21/3</f>
        <v>67616.099999999991</v>
      </c>
      <c r="R21" s="141"/>
      <c r="S21" s="141"/>
      <c r="T21" s="141"/>
      <c r="U21" s="141"/>
      <c r="V21" s="141"/>
      <c r="W21" s="142"/>
      <c r="X21" s="142"/>
      <c r="Y21" s="142"/>
      <c r="Z21" s="142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7"/>
        <v>202848.3</v>
      </c>
      <c r="AW21" s="142">
        <f t="shared" si="4"/>
        <v>202848.29999999996</v>
      </c>
      <c r="AX21" s="142">
        <f t="shared" si="6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'B Financial'!$A24</f>
        <v>Construction Loan Origination</v>
      </c>
      <c r="B22" s="140">
        <f ca="1">'B Financial'!$B24</f>
        <v>2229092.8851643265</v>
      </c>
      <c r="C22" s="141"/>
      <c r="D22" s="141"/>
      <c r="E22" s="141"/>
      <c r="F22" s="141"/>
      <c r="G22" s="141"/>
      <c r="H22" s="141"/>
      <c r="J22" s="141">
        <f ca="1">$B22</f>
        <v>2229092.8851643265</v>
      </c>
      <c r="K22" s="141"/>
      <c r="L22" s="141"/>
      <c r="M22" s="98"/>
      <c r="N22" s="141"/>
      <c r="O22" s="141"/>
      <c r="P22" s="98"/>
      <c r="Q22" s="141"/>
      <c r="R22" s="141"/>
      <c r="S22" s="141"/>
      <c r="T22" s="141"/>
      <c r="U22" s="141"/>
      <c r="V22" s="141"/>
      <c r="W22" s="142"/>
      <c r="X22" s="142"/>
      <c r="Y22" s="142"/>
      <c r="Z22" s="142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7"/>
        <v>2229092.8851643265</v>
      </c>
      <c r="AW22" s="142">
        <f t="shared" ca="1" si="4"/>
        <v>2229092.8851643265</v>
      </c>
      <c r="AX22" s="142">
        <f t="shared" ca="1" si="6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'B Financial'!$A25</f>
        <v>Construction Interest</v>
      </c>
      <c r="B23" s="140">
        <f ca="1">'B Financial'!$B25</f>
        <v>10402433.464100191</v>
      </c>
      <c r="C23" s="153"/>
      <c r="D23" s="141"/>
      <c r="E23" s="141"/>
      <c r="F23" s="141"/>
      <c r="G23" s="141"/>
      <c r="H23" s="141"/>
      <c r="I23" s="141"/>
      <c r="J23" s="141">
        <f ca="1">$B$23*0.1</f>
        <v>1040243.3464100192</v>
      </c>
      <c r="K23" s="141">
        <f ca="1">$B$23*0.1</f>
        <v>1040243.3464100192</v>
      </c>
      <c r="L23" s="141">
        <f ca="1">$B$23*0.1</f>
        <v>1040243.3464100192</v>
      </c>
      <c r="M23" s="141">
        <f ca="1">$B$23*0.1</f>
        <v>1040243.3464100192</v>
      </c>
      <c r="N23" s="141">
        <f ca="1">$B$23*0.2</f>
        <v>2080486.6928200384</v>
      </c>
      <c r="O23" s="141">
        <f ca="1">$B$23*0.2</f>
        <v>2080486.6928200384</v>
      </c>
      <c r="P23" s="141">
        <f ca="1">$B$23*0.2</f>
        <v>2080486.6928200384</v>
      </c>
      <c r="R23" s="141"/>
      <c r="S23" s="141"/>
      <c r="T23" s="141"/>
      <c r="U23" s="141"/>
      <c r="V23" s="141"/>
      <c r="W23" s="142"/>
      <c r="X23" s="142"/>
      <c r="Y23" s="142"/>
      <c r="Z23" s="142"/>
      <c r="AA23" s="142"/>
      <c r="AB23" s="142"/>
      <c r="AC23" s="142"/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ca="1" si="7"/>
        <v>10402433.464100191</v>
      </c>
      <c r="AW23" s="142">
        <f t="shared" ca="1" si="4"/>
        <v>10402433.464100191</v>
      </c>
      <c r="AX23" s="142">
        <f t="shared" ca="1" si="6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'B Financial'!$A26</f>
        <v>Additional Contingency</v>
      </c>
      <c r="B24" s="154">
        <f ca="1">'B Financial'!$B26</f>
        <v>4597321.5497199856</v>
      </c>
      <c r="C24" s="155">
        <f ca="1">$B$24*C4</f>
        <v>0</v>
      </c>
      <c r="D24" s="155">
        <f t="shared" ref="D24:P24" ca="1" si="12">$B$24*D4</f>
        <v>0</v>
      </c>
      <c r="E24" s="155">
        <f t="shared" ca="1" si="12"/>
        <v>0</v>
      </c>
      <c r="F24" s="155">
        <f t="shared" ca="1" si="12"/>
        <v>0</v>
      </c>
      <c r="G24" s="155">
        <f t="shared" ca="1" si="12"/>
        <v>0</v>
      </c>
      <c r="H24" s="155">
        <f t="shared" ca="1" si="12"/>
        <v>0</v>
      </c>
      <c r="I24" s="155">
        <f t="shared" ca="1" si="12"/>
        <v>0</v>
      </c>
      <c r="J24" s="155">
        <f t="shared" ca="1" si="12"/>
        <v>689598.23245799786</v>
      </c>
      <c r="K24" s="155">
        <f t="shared" ca="1" si="12"/>
        <v>919464.30994399718</v>
      </c>
      <c r="L24" s="155">
        <f t="shared" ca="1" si="12"/>
        <v>1149330.3874299964</v>
      </c>
      <c r="M24" s="155">
        <f t="shared" ca="1" si="12"/>
        <v>1379196.4649159957</v>
      </c>
      <c r="N24" s="155">
        <f t="shared" ca="1" si="12"/>
        <v>459732.15497199859</v>
      </c>
      <c r="O24" s="155">
        <f t="shared" ca="1" si="12"/>
        <v>0</v>
      </c>
      <c r="P24" s="155">
        <f t="shared" ca="1" si="12"/>
        <v>0</v>
      </c>
      <c r="Q24" s="155"/>
      <c r="R24" s="610"/>
      <c r="S24" s="610"/>
      <c r="T24" s="610"/>
      <c r="U24" s="610"/>
      <c r="V24" s="610"/>
      <c r="W24" s="610"/>
      <c r="X24" s="610"/>
      <c r="Y24" s="610"/>
      <c r="Z24" s="610"/>
      <c r="AA24" s="610"/>
      <c r="AB24" s="610"/>
      <c r="AC24" s="610"/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ca="1" si="7"/>
        <v>4597321.5497199856</v>
      </c>
      <c r="AW24" s="156">
        <f t="shared" ca="1" si="4"/>
        <v>4597321.5497199856</v>
      </c>
      <c r="AX24" s="156">
        <f t="shared" ca="1" si="6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'B Financial'!$A27</f>
        <v>Total Project Cost</v>
      </c>
      <c r="B25" s="608">
        <f ca="1">'B Financial'!$B27</f>
        <v>287260003.73619598</v>
      </c>
      <c r="C25" s="62">
        <f ca="1">SUM(C5:C24)</f>
        <v>0</v>
      </c>
      <c r="D25" s="62">
        <f t="shared" ref="D25:W25" ca="1" si="13">SUM(D5:D24)</f>
        <v>907756.16400000011</v>
      </c>
      <c r="E25" s="62">
        <f t="shared" ca="1" si="13"/>
        <v>907756.16400000011</v>
      </c>
      <c r="F25" s="62">
        <f t="shared" ca="1" si="13"/>
        <v>1815512.3280000002</v>
      </c>
      <c r="G25" s="62">
        <f t="shared" ca="1" si="13"/>
        <v>1815512.3280000002</v>
      </c>
      <c r="H25" s="62">
        <f t="shared" ca="1" si="13"/>
        <v>1815512.3280000002</v>
      </c>
      <c r="I25" s="62">
        <f t="shared" ca="1" si="13"/>
        <v>2005509.0894696848</v>
      </c>
      <c r="J25" s="62">
        <f t="shared" ca="1" si="13"/>
        <v>58197365.263032347</v>
      </c>
      <c r="K25" s="62">
        <f t="shared" ca="1" si="13"/>
        <v>52266290.199293382</v>
      </c>
      <c r="L25" s="62">
        <f t="shared" ca="1" si="13"/>
        <v>58866917.850588903</v>
      </c>
      <c r="M25" s="62">
        <f t="shared" ca="1" si="13"/>
        <v>70538734.358809739</v>
      </c>
      <c r="N25" s="62">
        <f t="shared" ca="1" si="13"/>
        <v>30371223.107466251</v>
      </c>
      <c r="O25" s="62">
        <f t="shared" ca="1" si="13"/>
        <v>4357691.0277678156</v>
      </c>
      <c r="P25" s="62">
        <f t="shared" ca="1" si="13"/>
        <v>3394223.5277678161</v>
      </c>
      <c r="Q25" s="62"/>
      <c r="R25" s="62">
        <f t="shared" si="13"/>
        <v>0</v>
      </c>
      <c r="S25" s="62">
        <f t="shared" si="13"/>
        <v>0</v>
      </c>
      <c r="T25" s="62">
        <f t="shared" si="13"/>
        <v>0</v>
      </c>
      <c r="U25" s="62">
        <f t="shared" si="13"/>
        <v>0</v>
      </c>
      <c r="V25" s="62">
        <f t="shared" si="13"/>
        <v>0</v>
      </c>
      <c r="W25" s="62">
        <f t="shared" si="13"/>
        <v>0</v>
      </c>
      <c r="X25" s="62">
        <f t="shared" ref="X25:AX25" si="14">SUM(X4:X24)</f>
        <v>0</v>
      </c>
      <c r="Y25" s="62">
        <f t="shared" si="14"/>
        <v>0</v>
      </c>
      <c r="Z25" s="62">
        <f t="shared" si="14"/>
        <v>0</v>
      </c>
      <c r="AA25" s="62">
        <f t="shared" si="14"/>
        <v>0</v>
      </c>
      <c r="AB25" s="62">
        <f t="shared" si="14"/>
        <v>0</v>
      </c>
      <c r="AC25" s="62">
        <f t="shared" si="14"/>
        <v>0</v>
      </c>
      <c r="AD25" s="62">
        <f t="shared" si="14"/>
        <v>0</v>
      </c>
      <c r="AE25" s="62">
        <f t="shared" si="14"/>
        <v>0</v>
      </c>
      <c r="AF25" s="62">
        <f t="shared" si="14"/>
        <v>0</v>
      </c>
      <c r="AG25" s="62">
        <f t="shared" si="14"/>
        <v>0</v>
      </c>
      <c r="AH25" s="62">
        <f t="shared" si="14"/>
        <v>0</v>
      </c>
      <c r="AI25" s="62">
        <f t="shared" si="14"/>
        <v>0</v>
      </c>
      <c r="AJ25" s="62">
        <f t="shared" si="14"/>
        <v>0</v>
      </c>
      <c r="AK25" s="62">
        <f t="shared" si="14"/>
        <v>0</v>
      </c>
      <c r="AL25" s="62">
        <f t="shared" si="14"/>
        <v>0</v>
      </c>
      <c r="AM25" s="62">
        <f t="shared" si="14"/>
        <v>0</v>
      </c>
      <c r="AN25" s="62">
        <f t="shared" si="14"/>
        <v>0</v>
      </c>
      <c r="AO25" s="62">
        <f t="shared" si="14"/>
        <v>0</v>
      </c>
      <c r="AP25" s="62">
        <f t="shared" si="14"/>
        <v>0</v>
      </c>
      <c r="AQ25" s="62">
        <f t="shared" si="14"/>
        <v>0</v>
      </c>
      <c r="AR25" s="62">
        <f t="shared" si="14"/>
        <v>0</v>
      </c>
      <c r="AS25" s="62">
        <f t="shared" si="14"/>
        <v>0</v>
      </c>
      <c r="AT25" s="62">
        <f t="shared" si="14"/>
        <v>0</v>
      </c>
      <c r="AU25" s="62">
        <f t="shared" si="14"/>
        <v>0</v>
      </c>
      <c r="AV25" s="62">
        <f t="shared" ca="1" si="14"/>
        <v>287260004.73619598</v>
      </c>
      <c r="AW25" s="62">
        <f t="shared" ca="1" si="14"/>
        <v>287260003.73619598</v>
      </c>
      <c r="AX25" s="62">
        <f t="shared" ca="1" si="14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'B Financial'!D11</f>
        <v>-174669330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112590673.73619598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143630001.86809799</v>
      </c>
      <c r="C28" s="142">
        <f ca="1">C25</f>
        <v>0</v>
      </c>
      <c r="D28" s="142">
        <f t="shared" ref="D28:P28" ca="1" si="15">IF(((C29+D25)&lt;=$B$29),D25,($B$29-C29))</f>
        <v>907756.16400000011</v>
      </c>
      <c r="E28" s="142">
        <f t="shared" ca="1" si="15"/>
        <v>907756.16400000011</v>
      </c>
      <c r="F28" s="142">
        <f t="shared" ca="1" si="15"/>
        <v>1815512.3280000002</v>
      </c>
      <c r="G28" s="142">
        <f t="shared" ca="1" si="15"/>
        <v>1815512.3280000002</v>
      </c>
      <c r="H28" s="142">
        <f t="shared" ca="1" si="15"/>
        <v>1815512.3280000002</v>
      </c>
      <c r="I28" s="142">
        <f t="shared" ca="1" si="15"/>
        <v>2005509.0894696848</v>
      </c>
      <c r="J28" s="142">
        <f t="shared" ca="1" si="15"/>
        <v>58197365.263032347</v>
      </c>
      <c r="K28" s="142">
        <f t="shared" ca="1" si="15"/>
        <v>52266290.199293382</v>
      </c>
      <c r="L28" s="142">
        <f t="shared" ca="1" si="15"/>
        <v>23898788.004302591</v>
      </c>
      <c r="M28" s="142">
        <f t="shared" ca="1" si="15"/>
        <v>0</v>
      </c>
      <c r="N28" s="142">
        <f t="shared" ca="1" si="15"/>
        <v>0</v>
      </c>
      <c r="O28" s="142">
        <f t="shared" ca="1" si="15"/>
        <v>0</v>
      </c>
      <c r="P28" s="142">
        <f t="shared" ca="1" si="15"/>
        <v>0</v>
      </c>
      <c r="Q28" s="142"/>
      <c r="R28" s="142"/>
      <c r="S28" s="142"/>
      <c r="T28" s="142"/>
      <c r="U28" s="142"/>
      <c r="V28" s="142"/>
      <c r="W28" s="142"/>
      <c r="X28" s="142"/>
      <c r="Y28" s="142"/>
      <c r="Z28" s="142"/>
      <c r="AA28" s="142"/>
      <c r="AB28" s="142"/>
      <c r="AC28" s="142"/>
      <c r="AD28" s="142"/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'B Financial'!D15</f>
        <v>143630001.86809799</v>
      </c>
      <c r="C29" s="142">
        <f ca="1">C28</f>
        <v>0</v>
      </c>
      <c r="D29" s="142">
        <f ca="1">IF(SUM($C$28:D$28)&lt;=$B29,SUM($C$28:D$28),0)</f>
        <v>907756.16400000011</v>
      </c>
      <c r="E29" s="142">
        <f ca="1">IF(SUM($C$28:E28)&lt;=$B29,SUM($C$28:E28),0)</f>
        <v>1815512.3280000002</v>
      </c>
      <c r="F29" s="142">
        <f ca="1">IF(SUM($C$28:F28)&lt;=$B29,SUM($C$28:F28),0)</f>
        <v>3631024.6560000004</v>
      </c>
      <c r="G29" s="142">
        <f ca="1">IF(SUM($C$28:G28)&lt;=$B29,SUM($C$28:G28),0)</f>
        <v>5446536.9840000011</v>
      </c>
      <c r="H29" s="142">
        <f ca="1">IF(SUM($C$28:H28)&lt;=$B29,SUM($C$28:H28),0)</f>
        <v>7262049.3120000008</v>
      </c>
      <c r="I29" s="142">
        <f ca="1">IF(SUM($C$28:I28)&lt;=$B29,SUM($C$28:I28),0)</f>
        <v>9267558.4014696851</v>
      </c>
      <c r="J29" s="142">
        <f ca="1">IF(SUM($C$28:J28)&lt;=$B29,SUM($C$28:J28),0)</f>
        <v>67464923.664502025</v>
      </c>
      <c r="K29" s="142">
        <f ca="1">IF(SUM($C$28:K28)&lt;=$B29,SUM($C$28:K28),0)</f>
        <v>119731213.8637954</v>
      </c>
      <c r="L29" s="142">
        <f ca="1">IF(SUM($C$28:L28)&lt;=$B29,SUM($C$28:L28),0)</f>
        <v>143630001.86809799</v>
      </c>
      <c r="M29" s="142">
        <f ca="1">IF(SUM($C$28:M28)&lt;=$B29,SUM($C$28:M28),0)</f>
        <v>143630001.86809799</v>
      </c>
      <c r="N29" s="142">
        <f ca="1">IF(SUM($C$28:N28)&lt;=$B29,SUM($C$28:N28),0)</f>
        <v>143630001.86809799</v>
      </c>
      <c r="O29" s="142">
        <f ca="1">IF(SUM($C$28:O28)&lt;=$B29,SUM($C$28:O28),0)</f>
        <v>143630001.86809799</v>
      </c>
      <c r="P29" s="142">
        <f ca="1">IF(SUM($C$28:P28)&lt;=$B29,SUM($C$28:P28),0)</f>
        <v>143630001.86809799</v>
      </c>
      <c r="Q29" s="142"/>
      <c r="R29" s="142"/>
      <c r="S29" s="142"/>
      <c r="T29" s="142"/>
      <c r="U29" s="142"/>
      <c r="V29" s="142"/>
      <c r="W29" s="142"/>
      <c r="X29" s="142"/>
      <c r="Y29" s="142"/>
      <c r="Z29" s="142"/>
      <c r="AA29" s="142"/>
      <c r="AB29" s="142"/>
      <c r="AC29" s="142"/>
      <c r="AD29" s="142"/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'B Financial'!D14</f>
        <v>143630001.86809799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PMT(0.055,30,(B30))</f>
        <v>-9882518.2481859326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'B Financial'!D21+'B Financial'!D22</f>
        <v>-5706426.8752898872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SUM(C35:AU35)</f>
        <v>-149336428.74338788</v>
      </c>
      <c r="C35" s="170">
        <f t="shared" ref="C35:O35" ca="1" si="16">-C28</f>
        <v>0</v>
      </c>
      <c r="D35" s="170">
        <f t="shared" ca="1" si="16"/>
        <v>-907756.16400000011</v>
      </c>
      <c r="E35" s="170">
        <f t="shared" ca="1" si="16"/>
        <v>-907756.16400000011</v>
      </c>
      <c r="F35" s="170">
        <f t="shared" ca="1" si="16"/>
        <v>-1815512.3280000002</v>
      </c>
      <c r="G35" s="170">
        <f t="shared" ca="1" si="16"/>
        <v>-1815512.3280000002</v>
      </c>
      <c r="H35" s="170">
        <f t="shared" ca="1" si="16"/>
        <v>-1815512.3280000002</v>
      </c>
      <c r="I35" s="170">
        <f t="shared" ca="1" si="16"/>
        <v>-2005509.0894696848</v>
      </c>
      <c r="J35" s="170">
        <f t="shared" ca="1" si="16"/>
        <v>-58197365.263032347</v>
      </c>
      <c r="K35" s="170">
        <f t="shared" ca="1" si="16"/>
        <v>-52266290.199293382</v>
      </c>
      <c r="L35" s="170">
        <f t="shared" ca="1" si="16"/>
        <v>-23898788.004302591</v>
      </c>
      <c r="M35" s="170">
        <f t="shared" ca="1" si="16"/>
        <v>0</v>
      </c>
      <c r="N35" s="170">
        <f t="shared" ca="1" si="16"/>
        <v>0</v>
      </c>
      <c r="O35" s="170">
        <f t="shared" ca="1" si="16"/>
        <v>0</v>
      </c>
      <c r="P35" s="171">
        <f ca="1">B34</f>
        <v>-5706426.8752898872</v>
      </c>
      <c r="R35" s="170"/>
      <c r="S35" s="170"/>
      <c r="T35" s="170"/>
      <c r="U35" s="170"/>
      <c r="V35" s="171"/>
      <c r="W35" s="170"/>
      <c r="X35" s="170"/>
      <c r="Y35" s="170"/>
      <c r="Z35" s="170"/>
      <c r="AA35" s="170"/>
      <c r="AB35" s="170"/>
      <c r="AC35" s="170"/>
      <c r="AD35" s="170"/>
      <c r="AE35" s="170"/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0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6"/>
      <c r="R37" s="176"/>
      <c r="S37" s="176"/>
      <c r="T37" s="176"/>
      <c r="U37" s="176"/>
      <c r="V37" s="177"/>
      <c r="W37" s="176"/>
      <c r="X37" s="176"/>
      <c r="Y37" s="176"/>
      <c r="Z37" s="176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6"/>
      <c r="R38" s="176"/>
      <c r="S38" s="176"/>
      <c r="T38" s="176"/>
      <c r="U38" s="176"/>
      <c r="V38" s="177"/>
      <c r="W38" s="176"/>
      <c r="X38" s="176"/>
      <c r="Y38" s="176"/>
      <c r="Z38" s="176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'B Financial'!D21-B26</f>
        <v>312592904.9928081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6"/>
      <c r="R39" s="176"/>
      <c r="S39" s="176"/>
      <c r="T39" s="176"/>
      <c r="U39" s="176"/>
      <c r="V39" s="177"/>
      <c r="W39" s="176"/>
      <c r="X39" s="176"/>
      <c r="Y39" s="176"/>
      <c r="Z39" s="176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25332901.256612122</v>
      </c>
      <c r="C40" s="142">
        <f t="shared" ref="C40:V40" ca="1" si="17">-C25</f>
        <v>0</v>
      </c>
      <c r="D40" s="142">
        <f t="shared" ca="1" si="17"/>
        <v>-907756.16400000011</v>
      </c>
      <c r="E40" s="142">
        <f t="shared" ca="1" si="17"/>
        <v>-907756.16400000011</v>
      </c>
      <c r="F40" s="142">
        <f t="shared" ca="1" si="17"/>
        <v>-1815512.3280000002</v>
      </c>
      <c r="G40" s="142">
        <f t="shared" ca="1" si="17"/>
        <v>-1815512.3280000002</v>
      </c>
      <c r="H40" s="142">
        <f t="shared" ca="1" si="17"/>
        <v>-1815512.3280000002</v>
      </c>
      <c r="I40" s="142">
        <f t="shared" ca="1" si="17"/>
        <v>-2005509.0894696848</v>
      </c>
      <c r="J40" s="142">
        <f t="shared" ca="1" si="17"/>
        <v>-58197365.263032347</v>
      </c>
      <c r="K40" s="142">
        <f t="shared" ca="1" si="17"/>
        <v>-52266290.199293382</v>
      </c>
      <c r="L40" s="142">
        <f t="shared" ca="1" si="17"/>
        <v>-58866917.850588903</v>
      </c>
      <c r="M40" s="142">
        <f t="shared" ca="1" si="17"/>
        <v>-70538734.358809739</v>
      </c>
      <c r="N40" s="142">
        <f t="shared" ca="1" si="17"/>
        <v>-30371223.107466251</v>
      </c>
      <c r="O40" s="142">
        <f t="shared" ca="1" si="17"/>
        <v>-4357691.0277678156</v>
      </c>
      <c r="P40" s="174">
        <f ca="1">B39-P25</f>
        <v>309198681.46504027</v>
      </c>
      <c r="R40" s="142">
        <f t="shared" si="17"/>
        <v>0</v>
      </c>
      <c r="S40" s="142">
        <f t="shared" si="17"/>
        <v>0</v>
      </c>
      <c r="T40" s="142">
        <f t="shared" si="17"/>
        <v>0</v>
      </c>
      <c r="U40" s="142">
        <f t="shared" si="17"/>
        <v>0</v>
      </c>
      <c r="V40" s="142">
        <f t="shared" si="17"/>
        <v>0</v>
      </c>
      <c r="W40" s="142"/>
      <c r="X40" s="142"/>
      <c r="Y40" s="142"/>
      <c r="Z40" s="142"/>
      <c r="AA40" s="142"/>
      <c r="AB40" s="142"/>
      <c r="AC40" s="142"/>
      <c r="AD40" s="142"/>
      <c r="AE40" s="142"/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2.0184322145988531E-2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8.3214788652529181E-2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312" priority="1" operator="equal">
      <formula>#REF!</formula>
    </cfRule>
    <cfRule type="cellIs" dxfId="311" priority="2" operator="equal">
      <formula>#REF!</formula>
    </cfRule>
    <cfRule type="cellIs" dxfId="310" priority="3" operator="equal">
      <formula>#REF!</formula>
    </cfRule>
    <cfRule type="cellIs" dxfId="309" priority="4" operator="equal">
      <formula>#REF!</formula>
    </cfRule>
  </conditionalFormatting>
  <conditionalFormatting sqref="AT4:AU4">
    <cfRule type="cellIs" dxfId="308" priority="5" operator="equal">
      <formula>#REF!</formula>
    </cfRule>
    <cfRule type="cellIs" dxfId="307" priority="6" operator="equal">
      <formula>#REF!</formula>
    </cfRule>
    <cfRule type="cellIs" dxfId="306" priority="7" operator="equal">
      <formula>#REF!</formula>
    </cfRule>
    <cfRule type="cellIs" dxfId="305" priority="8" operator="equal">
      <formula>#REF!</formula>
    </cfRule>
    <cfRule type="cellIs" dxfId="304" priority="9" operator="equal">
      <formula>#REF!</formula>
    </cfRule>
    <cfRule type="cellIs" dxfId="303" priority="10" operator="equal">
      <formula>#REF!</formula>
    </cfRule>
    <cfRule type="cellIs" dxfId="302" priority="11" operator="equal">
      <formula>#REF!</formula>
    </cfRule>
    <cfRule type="cellIs" dxfId="301" priority="12" operator="equal">
      <formula>#REF!</formula>
    </cfRule>
  </conditionalFormatting>
  <conditionalFormatting sqref="AV3:AX3">
    <cfRule type="cellIs" dxfId="300" priority="13" operator="equal">
      <formula>#REF!</formula>
    </cfRule>
    <cfRule type="cellIs" dxfId="299" priority="14" operator="equal">
      <formula>#REF!</formula>
    </cfRule>
    <cfRule type="cellIs" dxfId="298" priority="15" operator="equal">
      <formula>#REF!</formula>
    </cfRule>
    <cfRule type="cellIs" dxfId="297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8E5EA2-3056-4F38-A076-0E4168BA3000}">
  <sheetPr>
    <tabColor theme="6" tint="-0.249977111117893"/>
    <pageSetUpPr fitToPage="1"/>
  </sheetPr>
  <dimension ref="A1:AC164"/>
  <sheetViews>
    <sheetView showGridLines="0" topLeftCell="A4" zoomScale="70" zoomScaleNormal="70" zoomScaleSheetLayoutView="90" workbookViewId="0">
      <selection activeCell="A144" sqref="A144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196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40948776.031111106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454986400.34567899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208175979.00000003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20817597.900000006</v>
      </c>
      <c r="C8" s="637" t="s">
        <v>321</v>
      </c>
      <c r="D8" s="545">
        <f>SUM(E130:E131,K130:K131,Q130:Q131,W130:W131)</f>
        <v>454986400.34567899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Program'!$E$39</f>
        <v>2047619.0476190476</v>
      </c>
      <c r="C11" s="25" t="s">
        <v>103</v>
      </c>
      <c r="D11" s="354">
        <f ca="1">IF(B31&lt;0,B31,0)</f>
        <v>0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11449678.845000003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4579871.5380000006</v>
      </c>
      <c r="C13" s="25" t="s">
        <v>104</v>
      </c>
      <c r="D13" s="354">
        <f ca="1">B27+D11</f>
        <v>333899877.3560167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v>0.5</v>
      </c>
      <c r="D14" s="355">
        <f ca="1">C14*B$27</f>
        <v>166949938.67800835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9159743.0760000013</v>
      </c>
      <c r="C15" s="382">
        <f>1-C14</f>
        <v>0.5</v>
      </c>
      <c r="D15" s="356">
        <f ca="1">C15*B$27</f>
        <v>166949938.67800835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6869807.307000001</v>
      </c>
      <c r="C16" s="383" t="s">
        <v>105</v>
      </c>
      <c r="D16" s="93">
        <f ca="1">D14+D15</f>
        <v>333899877.3560167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11449678.845000003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 t="shared" si="0"/>
        <v>6142316.4046666659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3434903.6535000005</v>
      </c>
      <c r="C19" s="385" t="s">
        <v>108</v>
      </c>
      <c r="D19" s="130">
        <f>D6</f>
        <v>454986400.34567899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800000</v>
      </c>
      <c r="C20" s="386">
        <v>0.02</v>
      </c>
      <c r="D20" s="131">
        <f>-C20*D19</f>
        <v>-9099728.00691358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8121588.5249999985</v>
      </c>
      <c r="C21" s="387" t="s">
        <v>109</v>
      </c>
      <c r="D21" s="94">
        <f>D19+D20</f>
        <v>445886672.33876538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15238340.249999998</v>
      </c>
      <c r="C22" s="385" t="s">
        <v>110</v>
      </c>
      <c r="D22" s="130">
        <f ca="1">-D14</f>
        <v>-166949938.67800835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1959215.1749999998</v>
      </c>
      <c r="C23" s="388" t="s">
        <v>111</v>
      </c>
      <c r="D23" s="132">
        <f ca="1">-D15</f>
        <v>-166949938.67800835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 ca="1">SUM(C150,I150,O150,U150)</f>
        <v>2986670.3247755785</v>
      </c>
      <c r="C24" s="389" t="s">
        <v>112</v>
      </c>
      <c r="D24" s="95">
        <f ca="1">ROUND(D21+D22+D23,-2)</f>
        <v>111986800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 thickBot="1">
      <c r="A25" s="642" t="s">
        <v>58</v>
      </c>
      <c r="B25" s="396">
        <f ca="1">SUM(C151,I151,O151,U151)</f>
        <v>13937794.848952701</v>
      </c>
      <c r="C25" s="390" t="s">
        <v>113</v>
      </c>
      <c r="D25" s="378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6729072.6155026471</v>
      </c>
      <c r="C26" s="391"/>
      <c r="D26" s="129" t="s">
        <v>107</v>
      </c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SUM(B7:B26)</f>
        <v>333899877.3560167</v>
      </c>
      <c r="C27" s="392" t="s">
        <v>114</v>
      </c>
      <c r="D27" s="357">
        <f ca="1">(D24+D15)/D15</f>
        <v>1.6707807195783746</v>
      </c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0.12263788880476278</v>
      </c>
      <c r="C28" s="393" t="s">
        <v>115</v>
      </c>
      <c r="D28" s="358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0.36264320894180879</v>
      </c>
      <c r="C29" s="393" t="s">
        <v>116</v>
      </c>
      <c r="D29" s="358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0.3</v>
      </c>
      <c r="B30" s="120">
        <f>D8/(1+A30)</f>
        <v>349989538.72744536</v>
      </c>
      <c r="C30" s="392" t="s">
        <v>117</v>
      </c>
      <c r="D30" s="359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0.3</v>
      </c>
      <c r="B31" s="120">
        <f ca="1">ROUND((D8/(1+A31))-B27,0)</f>
        <v>16089661</v>
      </c>
      <c r="C31" s="394" t="s">
        <v>118</v>
      </c>
      <c r="D31" s="360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264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630836.30000000005</v>
      </c>
      <c r="E34" s="230"/>
      <c r="G34" s="515" t="s">
        <v>259</v>
      </c>
      <c r="H34" s="516"/>
      <c r="I34" s="319" t="s">
        <v>203</v>
      </c>
      <c r="J34" s="320">
        <f>IFERROR(INDEX('Building Configuration'!$B$2:$Z$45,MATCH(H$34,'Building Configuration'!$C$2:$C$45,0),MATCH("Total",'Building Configuration'!$B$2:$Z$2,0)),0)</f>
        <v>0</v>
      </c>
      <c r="K34" s="230"/>
      <c r="L34" s="328"/>
      <c r="M34" s="515" t="s">
        <v>259</v>
      </c>
      <c r="N34" s="516"/>
      <c r="O34" s="319" t="s">
        <v>203</v>
      </c>
      <c r="P34" s="320">
        <f>IFERROR(INDEX('Building Configuration'!$B$2:$Z$45,MATCH(N$34,'Building Configuration'!$C$2:$C$45,0),MATCH("Total",'Building Configuration'!$B$2:$Z$2,0)),0)</f>
        <v>0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-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0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-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0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-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0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Retail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290254.09999999998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-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Civic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207772.5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YES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132809.70000000001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-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0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-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0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0</v>
      </c>
      <c r="C44" s="460">
        <v>1</v>
      </c>
      <c r="D44" s="322"/>
      <c r="E44" s="231"/>
      <c r="F44" s="223"/>
      <c r="G44" s="6" t="s">
        <v>315</v>
      </c>
      <c r="H44" s="459"/>
      <c r="I44" s="460"/>
      <c r="J44" s="322"/>
      <c r="K44" s="231"/>
      <c r="L44" s="212"/>
      <c r="M44" s="6" t="s">
        <v>315</v>
      </c>
      <c r="N44" s="459"/>
      <c r="O44" s="460"/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-</v>
      </c>
      <c r="C46" s="510" t="s">
        <v>298</v>
      </c>
      <c r="D46" s="308">
        <f>D$35*E$46</f>
        <v>0</v>
      </c>
      <c r="E46" s="303">
        <f>Assumptions!$C$44</f>
        <v>0.75</v>
      </c>
      <c r="F46" s="296"/>
      <c r="G46" s="301" t="s">
        <v>293</v>
      </c>
      <c r="H46" s="302" t="str">
        <f>H$35</f>
        <v>-</v>
      </c>
      <c r="I46" s="510" t="s">
        <v>298</v>
      </c>
      <c r="J46" s="308">
        <f>J$35*K$46</f>
        <v>0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0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/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/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0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0</v>
      </c>
      <c r="F49" s="296"/>
      <c r="G49" s="109" t="s">
        <v>72</v>
      </c>
      <c r="H49" s="255">
        <f>H$47*INDEX(Assumptions!$C$52:$C$55,MATCH(G49,Assumptions!$A$52:$A$55,0))</f>
        <v>0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0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0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0</v>
      </c>
      <c r="F50" s="296"/>
      <c r="G50" s="106" t="s">
        <v>73</v>
      </c>
      <c r="H50" s="255">
        <f>H$47*INDEX(Assumptions!$C$52:$C$55,MATCH(G50,Assumptions!$A$52:$A$55,0))</f>
        <v>0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0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0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0</v>
      </c>
      <c r="F51" s="297"/>
      <c r="G51" s="109" t="s">
        <v>74</v>
      </c>
      <c r="H51" s="255">
        <f>H$47*INDEX(Assumptions!$C$52:$C$55,MATCH(G51,Assumptions!$A$52:$A$55,0))</f>
        <v>0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0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0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0</v>
      </c>
      <c r="F52" s="223"/>
      <c r="G52" s="109" t="s">
        <v>75</v>
      </c>
      <c r="H52" s="255">
        <f>H$47*INDEX(Assumptions!$C$52:$C$55,MATCH(G52,Assumptions!$A$52:$A$55,0))</f>
        <v>0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0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0</v>
      </c>
      <c r="C53" s="9">
        <f>SUMPRODUCT(B49:B52,C49:C52)</f>
        <v>0</v>
      </c>
      <c r="D53" s="225"/>
      <c r="E53" s="226">
        <f>SUM(E49:E52)</f>
        <v>0</v>
      </c>
      <c r="F53" s="297"/>
      <c r="G53" s="7" t="s">
        <v>76</v>
      </c>
      <c r="H53" s="8">
        <f>SUM(H49:H52)</f>
        <v>0</v>
      </c>
      <c r="I53" s="9">
        <f>SUMPRODUCT(H49:H52,I49:I52)</f>
        <v>0</v>
      </c>
      <c r="J53" s="225"/>
      <c r="K53" s="226">
        <f>SUM(K49:K52)</f>
        <v>0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0</v>
      </c>
      <c r="D54" s="227">
        <f>IFERROR((E53/12)/C53,0)</f>
        <v>0</v>
      </c>
      <c r="E54" s="228"/>
      <c r="F54" s="317"/>
      <c r="G54" s="10" t="s">
        <v>77</v>
      </c>
      <c r="H54" s="224"/>
      <c r="I54" s="11">
        <f>IFERROR(I53/H53,0)</f>
        <v>0</v>
      </c>
      <c r="J54" s="227">
        <f>IFERROR((K53/12)/I53,0)</f>
        <v>0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-</v>
      </c>
      <c r="C62" s="510" t="s">
        <v>298</v>
      </c>
      <c r="D62" s="308">
        <f>D$37*E$62</f>
        <v>0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0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0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0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0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0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0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0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0</v>
      </c>
      <c r="C69" s="9">
        <f>SUMPRODUCT(B65:B68,C65:C68)</f>
        <v>0</v>
      </c>
      <c r="D69" s="225"/>
      <c r="E69" s="226">
        <f>SUM(E65:E68)</f>
        <v>0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0</v>
      </c>
      <c r="D70" s="227">
        <f>IFERROR((E69/12)/C69,0)</f>
        <v>0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-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-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Retail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-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290254.09999999998</v>
      </c>
      <c r="C89" s="218">
        <f>IFERROR(B89*INDEX(Assumptions!$C$46:$C$47,MATCH(A89,Assumptions!$A$46:$A$47,0)),0)</f>
        <v>217690.57499999998</v>
      </c>
      <c r="D89" s="219">
        <f>IF(C89&gt;0,INDEX(Assumptions!$F$5:$F$6,MATCH(A89,Assumptions!$E$5:$E$6,0)),0)</f>
        <v>15</v>
      </c>
      <c r="E89" s="220">
        <f>C89*D89*12</f>
        <v>39184303.499999993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290254.09999999998</v>
      </c>
      <c r="C91" s="191">
        <f>SUM(C89:C90)</f>
        <v>217690.57499999998</v>
      </c>
      <c r="D91" s="188">
        <f>IF(B91=0,0,E91/B91)</f>
        <v>134.99999999999997</v>
      </c>
      <c r="E91" s="189">
        <f>SUM(E89:E90)</f>
        <v>39184303.499999993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0</v>
      </c>
      <c r="O91" s="191">
        <f>SUM(O89:O90)</f>
        <v>0</v>
      </c>
      <c r="P91" s="188">
        <f>IF(N91=0,0,Q91/N91)</f>
        <v>0</v>
      </c>
      <c r="Q91" s="189">
        <f>SUM(Q89:Q90)</f>
        <v>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Civic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207772.5</v>
      </c>
      <c r="C100" s="215">
        <f>IFERROR(B100*INDEX(Assumptions!$C$48:$C$50,MATCH(A100,Assumptions!$A$48:$A$50,0)),0)</f>
        <v>124663.5</v>
      </c>
      <c r="D100" s="315">
        <f>IF(C100&gt;0,INDEX(Assumptions!$F$7:$F$8,MATCH(A100,Assumptions!$E$7:$E$8,0)),0)</f>
        <v>10</v>
      </c>
      <c r="E100" s="187">
        <f>C100*D100*12</f>
        <v>14959620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207772.5</v>
      </c>
      <c r="C101" s="191">
        <f>SUM(C99:C100)</f>
        <v>124663.5</v>
      </c>
      <c r="D101" s="188">
        <f>IF(B101=0,0,E101/B101)</f>
        <v>72</v>
      </c>
      <c r="E101" s="189">
        <f>SUM(E99:E100)</f>
        <v>14959620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132809.70000000001</v>
      </c>
      <c r="C103" s="295">
        <f>IF(B103=0,0,IFERROR((B103/Assumptions!$C$82)-1,0))</f>
        <v>818.81296296296307</v>
      </c>
      <c r="D103" s="334"/>
      <c r="E103" s="187"/>
      <c r="G103" s="341"/>
      <c r="H103" s="335">
        <f>J43</f>
        <v>0</v>
      </c>
      <c r="I103" s="295">
        <f>IF(H103=0,0,IFERROR((H103/Assumptions!$C$82)-1,0))</f>
        <v>0</v>
      </c>
      <c r="J103" s="334"/>
      <c r="K103" s="187"/>
      <c r="M103" s="341"/>
      <c r="N103" s="335">
        <f>P43</f>
        <v>0</v>
      </c>
      <c r="O103" s="295">
        <f>IF(N103=0,0,IFERROR((N103/Assumptions!$C$82)-1,0))</f>
        <v>0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0</v>
      </c>
      <c r="C104" s="333">
        <f>IF(B104=0,0,IFERROR((B104/Assumptions!$C$82)-1,0))</f>
        <v>0</v>
      </c>
      <c r="D104" s="118">
        <f>Assumptions!$C85</f>
        <v>250</v>
      </c>
      <c r="E104" s="220">
        <f>IF(B$56&gt;0,0,IF(C104&lt;0,0,C104*D104*12))</f>
        <v>0</v>
      </c>
      <c r="G104" s="461" t="s">
        <v>79</v>
      </c>
      <c r="H104" s="336">
        <f>H$103*H44</f>
        <v>0</v>
      </c>
      <c r="I104" s="333">
        <f>IF(H104=0,0,IFERROR((H104/Assumptions!$C$82)-1,0))</f>
        <v>0</v>
      </c>
      <c r="J104" s="118">
        <f>Assumptions!$C85</f>
        <v>250</v>
      </c>
      <c r="K104" s="220">
        <f>IF(H$56&gt;0,0,IF(I104&lt;0,0,I104*J104*12))</f>
        <v>0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132809.70000000001</v>
      </c>
      <c r="C105" s="343">
        <f>IF(B105=0,0,IFERROR((B105/Assumptions!$C$82)-1,0))</f>
        <v>818.81296296296307</v>
      </c>
      <c r="D105" s="344">
        <f>Assumptions!$C86</f>
        <v>200</v>
      </c>
      <c r="E105" s="345">
        <f>IF(B$56&gt;0,0,IF(C105&lt;0,0,C105*D105*12))</f>
        <v>1965151.1111111115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Civic+Retail</v>
      </c>
      <c r="D107" s="256"/>
      <c r="E107" s="281"/>
      <c r="F107" s="13"/>
      <c r="G107" s="259" t="s">
        <v>81</v>
      </c>
      <c r="H107" s="260"/>
      <c r="I107" s="256">
        <f>H34</f>
        <v>0</v>
      </c>
      <c r="J107" s="256"/>
      <c r="K107" s="281"/>
      <c r="L107" s="13"/>
      <c r="M107" s="259" t="s">
        <v>81</v>
      </c>
      <c r="N107" s="260"/>
      <c r="O107" s="256">
        <f>N34</f>
        <v>0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0</v>
      </c>
      <c r="F109" s="13"/>
      <c r="G109" s="112" t="s">
        <v>268</v>
      </c>
      <c r="H109" s="113"/>
      <c r="I109" s="114"/>
      <c r="J109" s="262"/>
      <c r="K109" s="14">
        <f>SUM(K53,K69,K85)</f>
        <v>0</v>
      </c>
      <c r="L109" s="13"/>
      <c r="M109" s="112" t="s">
        <v>268</v>
      </c>
      <c r="N109" s="113"/>
      <c r="O109" s="114"/>
      <c r="P109" s="262"/>
      <c r="Q109" s="14">
        <f>SUM(Q53,Q69,Q85)</f>
        <v>0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39184303.499999993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0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14959620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54143923.499999993</v>
      </c>
      <c r="F112" s="13"/>
      <c r="G112" s="284" t="s">
        <v>275</v>
      </c>
      <c r="H112" s="273"/>
      <c r="I112" s="273"/>
      <c r="J112" s="267"/>
      <c r="K112" s="285">
        <f>SUM(K109:K111)</f>
        <v>0</v>
      </c>
      <c r="L112" s="13"/>
      <c r="M112" s="284" t="s">
        <v>275</v>
      </c>
      <c r="N112" s="273"/>
      <c r="O112" s="273"/>
      <c r="P112" s="267"/>
      <c r="Q112" s="285">
        <f>SUM(Q109:Q111)</f>
        <v>0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59"/>
      <c r="C115" s="116"/>
      <c r="D115" s="116"/>
      <c r="E115" s="289">
        <f>E104</f>
        <v>0</v>
      </c>
      <c r="F115" s="13"/>
      <c r="G115" s="288" t="s">
        <v>270</v>
      </c>
      <c r="H115" s="659"/>
      <c r="I115" s="116"/>
      <c r="J115" s="116"/>
      <c r="K115" s="289">
        <f>K104</f>
        <v>0</v>
      </c>
      <c r="L115" s="13"/>
      <c r="M115" s="288" t="s">
        <v>270</v>
      </c>
      <c r="N115" s="659"/>
      <c r="O115" s="116"/>
      <c r="P115" s="116"/>
      <c r="Q115" s="289">
        <f>Q104</f>
        <v>0</v>
      </c>
      <c r="R115" s="13"/>
      <c r="S115" s="288" t="s">
        <v>270</v>
      </c>
      <c r="T115" s="659"/>
      <c r="U115" s="116"/>
      <c r="V115" s="116"/>
      <c r="W115" s="289">
        <f>W104</f>
        <v>0</v>
      </c>
    </row>
    <row r="116" spans="1:25" ht="12.5">
      <c r="A116" s="288" t="s">
        <v>271</v>
      </c>
      <c r="B116" s="659"/>
      <c r="C116" s="116"/>
      <c r="D116" s="116"/>
      <c r="E116" s="289">
        <f>E105</f>
        <v>1965151.1111111115</v>
      </c>
      <c r="F116" s="13"/>
      <c r="G116" s="288" t="s">
        <v>271</v>
      </c>
      <c r="H116" s="659"/>
      <c r="I116" s="116"/>
      <c r="J116" s="116"/>
      <c r="K116" s="289">
        <f>K105</f>
        <v>0</v>
      </c>
      <c r="L116" s="13"/>
      <c r="M116" s="288" t="s">
        <v>271</v>
      </c>
      <c r="N116" s="659"/>
      <c r="O116" s="116"/>
      <c r="P116" s="116"/>
      <c r="Q116" s="289">
        <f>Q105</f>
        <v>0</v>
      </c>
      <c r="R116" s="13"/>
      <c r="S116" s="288" t="s">
        <v>271</v>
      </c>
      <c r="T116" s="659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3790074.645</v>
      </c>
      <c r="F117" s="13"/>
      <c r="G117" s="288" t="s">
        <v>85</v>
      </c>
      <c r="H117" s="116"/>
      <c r="I117" s="116"/>
      <c r="J117" s="116"/>
      <c r="K117" s="289">
        <f>Assumptions!$H$17*K112</f>
        <v>0</v>
      </c>
      <c r="L117" s="13"/>
      <c r="M117" s="288" t="s">
        <v>85</v>
      </c>
      <c r="N117" s="116"/>
      <c r="O117" s="116"/>
      <c r="P117" s="116"/>
      <c r="Q117" s="289">
        <f>Assumptions!$H$17*Q112</f>
        <v>0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5755225.7561111115</v>
      </c>
      <c r="F118" s="13"/>
      <c r="G118" s="264" t="s">
        <v>86</v>
      </c>
      <c r="H118" s="249"/>
      <c r="I118" s="268"/>
      <c r="J118" s="280"/>
      <c r="K118" s="250">
        <f>SUM(K115:K117)</f>
        <v>0</v>
      </c>
      <c r="L118" s="13"/>
      <c r="M118" s="264" t="s">
        <v>86</v>
      </c>
      <c r="N118" s="249"/>
      <c r="O118" s="268"/>
      <c r="P118" s="280"/>
      <c r="Q118" s="250">
        <f>SUM(Q115:Q117)</f>
        <v>0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-2707196.1749999998</v>
      </c>
      <c r="F119" s="13"/>
      <c r="G119" s="70">
        <v>0.05</v>
      </c>
      <c r="H119" s="251"/>
      <c r="I119" s="269"/>
      <c r="J119" s="279"/>
      <c r="K119" s="258">
        <f>-G119*K112</f>
        <v>0</v>
      </c>
      <c r="L119" s="13"/>
      <c r="M119" s="70">
        <v>0.05</v>
      </c>
      <c r="N119" s="251"/>
      <c r="O119" s="269"/>
      <c r="P119" s="279"/>
      <c r="Q119" s="258">
        <f>-M119*Q112</f>
        <v>0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57191953.081111103</v>
      </c>
      <c r="F120" s="13"/>
      <c r="G120" s="117" t="s">
        <v>87</v>
      </c>
      <c r="H120" s="15"/>
      <c r="I120" s="270"/>
      <c r="J120" s="278"/>
      <c r="K120" s="271">
        <f>K112+K118+K119</f>
        <v>0</v>
      </c>
      <c r="L120" s="13"/>
      <c r="M120" s="117" t="s">
        <v>87</v>
      </c>
      <c r="N120" s="15"/>
      <c r="O120" s="270"/>
      <c r="P120" s="278"/>
      <c r="Q120" s="271">
        <f>Q112+Q118+Q119</f>
        <v>0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-16243177.049999997</v>
      </c>
      <c r="F122" s="13"/>
      <c r="G122" s="290" t="s">
        <v>89</v>
      </c>
      <c r="H122" s="274"/>
      <c r="I122" s="17"/>
      <c r="J122" s="17"/>
      <c r="K122" s="291">
        <f>-0.3*K112</f>
        <v>0</v>
      </c>
      <c r="L122" s="13"/>
      <c r="M122" s="290" t="s">
        <v>89</v>
      </c>
      <c r="N122" s="274"/>
      <c r="O122" s="17"/>
      <c r="P122" s="17"/>
      <c r="Q122" s="291">
        <f>-0.3*Q112</f>
        <v>0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40948776.031111106</v>
      </c>
      <c r="F123" s="13"/>
      <c r="G123" s="292" t="s">
        <v>90</v>
      </c>
      <c r="H123" s="261"/>
      <c r="I123" s="261"/>
      <c r="J123" s="261"/>
      <c r="K123" s="293">
        <f>K120+K122</f>
        <v>0</v>
      </c>
      <c r="L123" s="13"/>
      <c r="M123" s="292" t="s">
        <v>90</v>
      </c>
      <c r="N123" s="261"/>
      <c r="O123" s="261"/>
      <c r="P123" s="261"/>
      <c r="Q123" s="293">
        <f>Q120+Q122</f>
        <v>0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Civic+Retail</v>
      </c>
      <c r="D125" s="256"/>
      <c r="E125" s="281"/>
      <c r="F125" s="13"/>
      <c r="G125" s="259" t="s">
        <v>355</v>
      </c>
      <c r="H125" s="260"/>
      <c r="I125" s="256">
        <f>H34</f>
        <v>0</v>
      </c>
      <c r="J125" s="256"/>
      <c r="K125" s="281"/>
      <c r="L125" s="13"/>
      <c r="M125" s="259" t="s">
        <v>355</v>
      </c>
      <c r="N125" s="260"/>
      <c r="O125" s="256">
        <f>N34</f>
        <v>0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Assumptions!H8</f>
        <v>0.09</v>
      </c>
      <c r="D130" s="521" t="s">
        <v>356</v>
      </c>
      <c r="E130" s="346">
        <f>E123/C130</f>
        <v>454986400.34567899</v>
      </c>
      <c r="F130" s="13"/>
      <c r="G130" s="522" t="s">
        <v>317</v>
      </c>
      <c r="H130" s="523" t="s">
        <v>91</v>
      </c>
      <c r="I130" s="524">
        <f>Assumptions!H7</f>
        <v>0.11</v>
      </c>
      <c r="J130" s="521" t="s">
        <v>356</v>
      </c>
      <c r="K130" s="346">
        <f>K123/I130</f>
        <v>0</v>
      </c>
      <c r="L130" s="13"/>
      <c r="M130" s="522" t="s">
        <v>317</v>
      </c>
      <c r="N130" s="523" t="s">
        <v>91</v>
      </c>
      <c r="O130" s="524">
        <f>Assumptions!H7</f>
        <v>0.11</v>
      </c>
      <c r="P130" s="521" t="s">
        <v>356</v>
      </c>
      <c r="Q130" s="346">
        <f>Q123/O130</f>
        <v>0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Assumptions!$F$12</f>
        <v>330</v>
      </c>
      <c r="C133" s="395">
        <f>B133*D34</f>
        <v>208175979.00000003</v>
      </c>
      <c r="F133" s="13"/>
      <c r="G133" s="88" t="s">
        <v>94</v>
      </c>
      <c r="H133" s="531">
        <f>Assumptions!$F$13</f>
        <v>300</v>
      </c>
      <c r="I133" s="395">
        <f>H133*J34</f>
        <v>0</v>
      </c>
      <c r="L133" s="13"/>
      <c r="M133" s="88" t="s">
        <v>94</v>
      </c>
      <c r="N133" s="531">
        <f>Assumptions!$F$13</f>
        <v>300</v>
      </c>
      <c r="O133" s="395">
        <f>N133*P34</f>
        <v>0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20817597.900000006</v>
      </c>
      <c r="E134" s="211"/>
      <c r="G134" s="19" t="s">
        <v>34</v>
      </c>
      <c r="H134" s="624">
        <f>Assumptions!$F$22</f>
        <v>0.1</v>
      </c>
      <c r="I134" s="532">
        <f>H134*I133</f>
        <v>0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0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11449678.845000003</v>
      </c>
      <c r="D138" s="603"/>
      <c r="G138" s="19" t="s">
        <v>36</v>
      </c>
      <c r="H138" s="626">
        <f>Assumptions!$F$23</f>
        <v>0.05</v>
      </c>
      <c r="I138" s="398">
        <f>H138*(I$133+I$134)</f>
        <v>0</v>
      </c>
      <c r="M138" s="19" t="s">
        <v>36</v>
      </c>
      <c r="N138" s="626">
        <f>Assumptions!$F$23</f>
        <v>0.05</v>
      </c>
      <c r="O138" s="398">
        <f>N138*(O$133+O$134)</f>
        <v>0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4579871.5380000006</v>
      </c>
      <c r="G139" s="397" t="s">
        <v>41</v>
      </c>
      <c r="H139" s="626">
        <f>Assumptions!$F$25</f>
        <v>0.02</v>
      </c>
      <c r="I139" s="398">
        <f>H139*(I$133+I$134)</f>
        <v>0</v>
      </c>
      <c r="M139" s="397" t="s">
        <v>41</v>
      </c>
      <c r="N139" s="626">
        <f>Assumptions!$F$25</f>
        <v>0.02</v>
      </c>
      <c r="O139" s="398">
        <f>N139*(O$133+O$134)</f>
        <v>0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9159743.0760000013</v>
      </c>
      <c r="G141" s="397" t="s">
        <v>45</v>
      </c>
      <c r="H141" s="626">
        <f>Assumptions!$F$27</f>
        <v>0.04</v>
      </c>
      <c r="I141" s="398">
        <f>H141*(I$133+I$134)</f>
        <v>0</v>
      </c>
      <c r="M141" s="397" t="s">
        <v>45</v>
      </c>
      <c r="N141" s="626">
        <f>Assumptions!$F$27</f>
        <v>0.04</v>
      </c>
      <c r="O141" s="398">
        <f>N141*(O$133+O$134)</f>
        <v>0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6869807.307000001</v>
      </c>
      <c r="G142" s="397" t="s">
        <v>47</v>
      </c>
      <c r="H142" s="626">
        <f>Assumptions!$F$28</f>
        <v>0.03</v>
      </c>
      <c r="I142" s="398">
        <f>H142*(I$133+I$134)</f>
        <v>0</v>
      </c>
      <c r="M142" s="397" t="s">
        <v>47</v>
      </c>
      <c r="N142" s="626">
        <f>Assumptions!$F$28</f>
        <v>0.03</v>
      </c>
      <c r="O142" s="398">
        <f>N142*(O$133+O$134)</f>
        <v>0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11449678.845000003</v>
      </c>
      <c r="G143" s="397" t="s">
        <v>48</v>
      </c>
      <c r="H143" s="626">
        <f>Assumptions!$F$29</f>
        <v>0.05</v>
      </c>
      <c r="I143" s="398">
        <f>H143*(I$133+I$134)</f>
        <v>0</v>
      </c>
      <c r="M143" s="397" t="s">
        <v>48</v>
      </c>
      <c r="N143" s="626">
        <f>Assumptions!$F$29</f>
        <v>0.05</v>
      </c>
      <c r="O143" s="398">
        <f>N143*(O$133+O$134)</f>
        <v>0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6142316.4046666659</v>
      </c>
      <c r="G144" s="397" t="s">
        <v>96</v>
      </c>
      <c r="H144" s="627">
        <f>Assumptions!$F$30*Assumptions!$F$31</f>
        <v>1.35E-2</v>
      </c>
      <c r="I144" s="398">
        <f>H144*K130</f>
        <v>0</v>
      </c>
      <c r="M144" s="397" t="s">
        <v>96</v>
      </c>
      <c r="N144" s="627">
        <f>Assumptions!$F$30*Assumptions!$F$31</f>
        <v>1.35E-2</v>
      </c>
      <c r="O144" s="398">
        <f>N144*Q130</f>
        <v>0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3434903.6535000005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0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0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8121588.5249999985</v>
      </c>
      <c r="G147" s="397" t="s">
        <v>54</v>
      </c>
      <c r="H147" s="628">
        <v>6</v>
      </c>
      <c r="I147" s="398">
        <f>-H147*(K122/12)</f>
        <v>0</v>
      </c>
      <c r="M147" s="397" t="s">
        <v>54</v>
      </c>
      <c r="N147" s="628">
        <v>6</v>
      </c>
      <c r="O147" s="398">
        <f>-N147*(Q122/12)</f>
        <v>0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70</v>
      </c>
      <c r="C148" s="398">
        <f>B148*SUM(C91,C96)</f>
        <v>15238340.249999998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0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1959215.1749999998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0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v>2986670.3247755785</v>
      </c>
      <c r="D150" s="635"/>
      <c r="G150" s="397" t="s">
        <v>57</v>
      </c>
      <c r="H150" s="631">
        <v>1.4999999999999999E-2</v>
      </c>
      <c r="I150" s="399">
        <f ca="1">H150*H162</f>
        <v>0</v>
      </c>
      <c r="J150" s="635"/>
      <c r="M150" s="397" t="s">
        <v>57</v>
      </c>
      <c r="N150" s="631">
        <v>1.4999999999999999E-2</v>
      </c>
      <c r="O150" s="399">
        <f ca="1">N150*N162</f>
        <v>0</v>
      </c>
      <c r="P150" s="635"/>
      <c r="S150" s="397" t="s">
        <v>57</v>
      </c>
      <c r="T150" s="631">
        <v>1.4999999999999999E-2</v>
      </c>
      <c r="U150" s="399">
        <f ca="1">T150*T162</f>
        <v>0</v>
      </c>
      <c r="V150" s="635"/>
    </row>
    <row r="151" spans="1:23" ht="13">
      <c r="A151" s="536" t="s">
        <v>58</v>
      </c>
      <c r="B151" s="632">
        <v>7.0000000000000007E-2</v>
      </c>
      <c r="C151" s="399">
        <v>13937794.848952701</v>
      </c>
      <c r="D151" s="635"/>
      <c r="G151" s="536" t="s">
        <v>58</v>
      </c>
      <c r="H151" s="632">
        <v>7.0000000000000007E-2</v>
      </c>
      <c r="I151" s="622">
        <f ca="1">H151*H162</f>
        <v>0</v>
      </c>
      <c r="J151" s="635"/>
      <c r="M151" s="536" t="s">
        <v>58</v>
      </c>
      <c r="N151" s="632">
        <v>7.0000000000000007E-2</v>
      </c>
      <c r="O151" s="622">
        <f ca="1">N151*N162</f>
        <v>0</v>
      </c>
      <c r="P151" s="635"/>
      <c r="S151" s="536" t="s">
        <v>58</v>
      </c>
      <c r="T151" s="632">
        <v>7.0000000000000007E-2</v>
      </c>
      <c r="U151" s="622">
        <f ca="1">T151*T162</f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6729072.6155026471</v>
      </c>
      <c r="D152" s="634"/>
      <c r="G152" s="105" t="s">
        <v>97</v>
      </c>
      <c r="H152" s="633">
        <f>7%</f>
        <v>7.0000000000000007E-2</v>
      </c>
      <c r="I152" s="399">
        <f ca="1">H152*SUM(I138:I151)</f>
        <v>0</v>
      </c>
      <c r="J152" s="223"/>
      <c r="M152" s="105" t="s">
        <v>97</v>
      </c>
      <c r="N152" s="633">
        <f>7%</f>
        <v>7.0000000000000007E-2</v>
      </c>
      <c r="O152" s="399">
        <f ca="1">N152*SUM(O138:O151)</f>
        <v>0</v>
      </c>
      <c r="S152" s="105" t="s">
        <v>97</v>
      </c>
      <c r="T152" s="633">
        <f>7%</f>
        <v>7.0000000000000007E-2</v>
      </c>
      <c r="U152" s="399">
        <f ca="1">T152*SUM(U138:U151)</f>
        <v>0</v>
      </c>
    </row>
    <row r="153" spans="1:23" ht="14" thickTop="1" thickBot="1">
      <c r="A153" s="538" t="s">
        <v>98</v>
      </c>
      <c r="B153" s="539"/>
      <c r="C153" s="540">
        <f>SUM(C133:C152)</f>
        <v>331852258.30839765</v>
      </c>
      <c r="G153" s="538" t="s">
        <v>98</v>
      </c>
      <c r="H153" s="539"/>
      <c r="I153" s="540">
        <f ca="1">SUM(I133:I152)</f>
        <v>0</v>
      </c>
      <c r="M153" s="538" t="s">
        <v>98</v>
      </c>
      <c r="N153" s="539"/>
      <c r="O153" s="540">
        <f ca="1">SUM(O133:O152)</f>
        <v>0</v>
      </c>
      <c r="S153" s="538" t="s">
        <v>98</v>
      </c>
      <c r="T153" s="539"/>
      <c r="U153" s="540">
        <f ca="1">SUM(U133:U152)</f>
        <v>0</v>
      </c>
    </row>
    <row r="154" spans="1:23" ht="13">
      <c r="A154" s="537" t="s">
        <v>99</v>
      </c>
      <c r="B154" s="401">
        <f>E123/C153</f>
        <v>0.12339459806555393</v>
      </c>
      <c r="C154" s="535"/>
      <c r="G154" s="537" t="s">
        <v>99</v>
      </c>
      <c r="H154" s="401" t="e">
        <f ca="1">K123/I153</f>
        <v>#DIV/0!</v>
      </c>
      <c r="I154" s="535"/>
      <c r="M154" s="537" t="s">
        <v>99</v>
      </c>
      <c r="N154" s="401" t="e">
        <f ca="1">Q123/O153</f>
        <v>#DIV/0!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>((E130+E131)/C153)-1</f>
        <v>0.37105108961726585</v>
      </c>
      <c r="C155" s="535"/>
      <c r="G155" s="400" t="s">
        <v>100</v>
      </c>
      <c r="H155" s="401" t="e">
        <f ca="1">((K130+K131)/I153)-1</f>
        <v>#DIV/0!</v>
      </c>
      <c r="I155" s="535"/>
      <c r="M155" s="400" t="s">
        <v>100</v>
      </c>
      <c r="N155" s="401" t="e">
        <f ca="1">((Q130+Q131)/O153)-1</f>
        <v>#DIV/0!</v>
      </c>
      <c r="O155" s="535"/>
      <c r="S155" s="400" t="s">
        <v>100</v>
      </c>
      <c r="T155" s="401" t="e">
        <f ca="1">((W130+W131)/U153)-1</f>
        <v>#DIV/0!</v>
      </c>
      <c r="U155" s="535"/>
    </row>
    <row r="156" spans="1:23" ht="13.5" thickBot="1">
      <c r="A156" s="119">
        <v>0.3</v>
      </c>
      <c r="B156" s="120">
        <f>((E130+E131)/(1+A156))</f>
        <v>349989538.72744536</v>
      </c>
      <c r="C156" s="535"/>
      <c r="G156" s="119">
        <v>0.3</v>
      </c>
      <c r="H156" s="120">
        <f>((K130+K131)/(1+G156))</f>
        <v>0</v>
      </c>
      <c r="I156" s="535"/>
      <c r="M156" s="119">
        <v>0.3</v>
      </c>
      <c r="N156" s="120">
        <f>((Q130+Q131)/(1+M156))</f>
        <v>0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0.3</v>
      </c>
      <c r="B157" s="120">
        <f>ROUND(((E130+E131)/(1+A157))-C153,0)</f>
        <v>18137280</v>
      </c>
      <c r="C157" s="535"/>
      <c r="G157" s="402">
        <v>0.3</v>
      </c>
      <c r="H157" s="120">
        <f ca="1">ROUND(((K130+K131)/(1+G157))-I153,0)</f>
        <v>0</v>
      </c>
      <c r="I157" s="535"/>
      <c r="M157" s="402">
        <v>0.3</v>
      </c>
      <c r="N157" s="120">
        <f ca="1">ROUND(((Q130+Q131)/(1+M157))-O153,0)</f>
        <v>0</v>
      </c>
      <c r="O157" s="535"/>
      <c r="S157" s="402">
        <v>0.3</v>
      </c>
      <c r="T157" s="120">
        <f ca="1"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Civic+Retail</v>
      </c>
      <c r="G158" s="644" t="s">
        <v>101</v>
      </c>
      <c r="H158" s="645"/>
      <c r="I158" s="646">
        <f>H34</f>
        <v>0</v>
      </c>
      <c r="M158" s="660" t="s">
        <v>101</v>
      </c>
      <c r="N158" s="661"/>
      <c r="O158" s="121">
        <f>N34</f>
        <v>0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0</v>
      </c>
      <c r="C160" s="648">
        <f>IFERROR(B160/#REF!,0)</f>
        <v>0</v>
      </c>
      <c r="G160" s="647" t="s">
        <v>103</v>
      </c>
      <c r="H160" s="91">
        <f ca="1">IF(H157&lt;0,H157,0)</f>
        <v>0</v>
      </c>
      <c r="I160" s="648">
        <f ca="1">IFERROR(H160/#REF!,0)</f>
        <v>0</v>
      </c>
      <c r="M160" s="24" t="s">
        <v>103</v>
      </c>
      <c r="N160" s="91">
        <f ca="1">IF(N157&lt;0,N157,0)</f>
        <v>0</v>
      </c>
      <c r="O160" s="125">
        <f ca="1">IFERROR(N160/#REF!,0)</f>
        <v>0</v>
      </c>
      <c r="S160" s="647" t="s">
        <v>103</v>
      </c>
      <c r="T160" s="91">
        <f ca="1">IF(T157&lt;0,T157,0)</f>
        <v>0</v>
      </c>
      <c r="U160" s="648">
        <f ca="1">IFERROR(T160/#REF!,0)</f>
        <v>0</v>
      </c>
    </row>
    <row r="161" spans="1:23" ht="13">
      <c r="A161" s="647" t="s">
        <v>104</v>
      </c>
      <c r="B161" s="91">
        <f>C153+B160</f>
        <v>331852258.30839765</v>
      </c>
      <c r="C161" s="648">
        <f>IFERROR(B161/#REF!,0)</f>
        <v>0</v>
      </c>
      <c r="G161" s="647" t="s">
        <v>104</v>
      </c>
      <c r="H161" s="91">
        <f ca="1">I153+H160</f>
        <v>0</v>
      </c>
      <c r="I161" s="648">
        <f ca="1">IFERROR(H161/#REF!,0)</f>
        <v>0</v>
      </c>
      <c r="M161" s="25" t="s">
        <v>104</v>
      </c>
      <c r="N161" s="91">
        <f ca="1">O153+N160</f>
        <v>0</v>
      </c>
      <c r="O161" s="125">
        <f ca="1">IFERROR(N161/#REF!,0)</f>
        <v>0</v>
      </c>
      <c r="S161" s="647" t="s">
        <v>104</v>
      </c>
      <c r="T161" s="91">
        <f ca="1">U153+T160</f>
        <v>0</v>
      </c>
      <c r="U161" s="648">
        <f ca="1"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165926129.15419883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 ca="1">G162*I$153</f>
        <v>0</v>
      </c>
      <c r="I162" s="648">
        <f ca="1">IFERROR(H162/#REF!,0)</f>
        <v>0</v>
      </c>
      <c r="J162" s="21"/>
      <c r="K162" s="347"/>
      <c r="L162" s="347"/>
      <c r="M162" s="126">
        <f>Assumptions!$H$14</f>
        <v>0.5</v>
      </c>
      <c r="N162" s="92">
        <f ca="1">M162*O$153</f>
        <v>0</v>
      </c>
      <c r="O162" s="125">
        <f ca="1">IFERROR(N162/#REF!,0)</f>
        <v>0</v>
      </c>
      <c r="P162" s="21"/>
      <c r="Q162" s="347"/>
      <c r="R162" s="347"/>
      <c r="S162" s="126">
        <f>Assumptions!$H$14</f>
        <v>0.5</v>
      </c>
      <c r="T162" s="92">
        <f ca="1">S162*U$153</f>
        <v>0</v>
      </c>
      <c r="U162" s="648">
        <f ca="1"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165926129.15419883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 ca="1">G163*I$153</f>
        <v>0</v>
      </c>
      <c r="I163" s="649">
        <f ca="1">IFERROR(H163/#REF!,0)</f>
        <v>0</v>
      </c>
      <c r="J163" s="5"/>
      <c r="K163" s="347"/>
      <c r="L163" s="347"/>
      <c r="M163" s="127">
        <f>1-M162</f>
        <v>0.5</v>
      </c>
      <c r="N163" s="240">
        <f ca="1">M163*O$153</f>
        <v>0</v>
      </c>
      <c r="O163" s="241">
        <f ca="1">IFERROR(N163/#REF!,0)</f>
        <v>0</v>
      </c>
      <c r="P163" s="5"/>
      <c r="Q163" s="347"/>
      <c r="R163" s="347"/>
      <c r="S163" s="127">
        <f>1-S162</f>
        <v>0.5</v>
      </c>
      <c r="T163" s="240">
        <f ca="1">S163*U$153</f>
        <v>0</v>
      </c>
      <c r="U163" s="649">
        <f ca="1"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331852258.30839765</v>
      </c>
      <c r="C164" s="652">
        <f>ROUND((C163+C162),-3)</f>
        <v>0</v>
      </c>
      <c r="D164" s="23"/>
      <c r="G164" s="650" t="s">
        <v>105</v>
      </c>
      <c r="H164" s="651">
        <f ca="1">H162+H163</f>
        <v>0</v>
      </c>
      <c r="I164" s="652">
        <f ca="1">ROUND((I163+I162),-3)</f>
        <v>0</v>
      </c>
      <c r="J164" s="23"/>
      <c r="M164" s="54" t="s">
        <v>105</v>
      </c>
      <c r="N164" s="128">
        <f ca="1">N162+N163</f>
        <v>0</v>
      </c>
      <c r="O164" s="93">
        <f ca="1">ROUND((O163+O162),-3)</f>
        <v>0</v>
      </c>
      <c r="P164" s="23"/>
      <c r="S164" s="650" t="s">
        <v>105</v>
      </c>
      <c r="T164" s="651">
        <f ca="1">T162+T163</f>
        <v>0</v>
      </c>
      <c r="U164" s="652">
        <f ca="1"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296" priority="19">
      <formula>C53&gt;D46</formula>
    </cfRule>
  </conditionalFormatting>
  <conditionalFormatting sqref="C63">
    <cfRule type="expression" dxfId="295" priority="18">
      <formula>C69&gt;D62</formula>
    </cfRule>
  </conditionalFormatting>
  <conditionalFormatting sqref="C79">
    <cfRule type="expression" dxfId="294" priority="17">
      <formula>C85&gt;D78</formula>
    </cfRule>
  </conditionalFormatting>
  <conditionalFormatting sqref="I79">
    <cfRule type="expression" dxfId="293" priority="12">
      <formula>I85&gt;J78</formula>
    </cfRule>
  </conditionalFormatting>
  <conditionalFormatting sqref="C56">
    <cfRule type="expression" dxfId="292" priority="20">
      <formula>C60&gt;D55</formula>
    </cfRule>
  </conditionalFormatting>
  <conditionalFormatting sqref="I47">
    <cfRule type="expression" dxfId="291" priority="14">
      <formula>I53&gt;J46</formula>
    </cfRule>
  </conditionalFormatting>
  <conditionalFormatting sqref="I63">
    <cfRule type="expression" dxfId="290" priority="13">
      <formula>I69&gt;J62</formula>
    </cfRule>
  </conditionalFormatting>
  <conditionalFormatting sqref="I56">
    <cfRule type="expression" dxfId="289" priority="15">
      <formula>I60&gt;J55</formula>
    </cfRule>
  </conditionalFormatting>
  <conditionalFormatting sqref="C72">
    <cfRule type="expression" dxfId="288" priority="16">
      <formula>C76&gt;D71</formula>
    </cfRule>
  </conditionalFormatting>
  <conditionalFormatting sqref="I72">
    <cfRule type="expression" dxfId="287" priority="11">
      <formula>I76&gt;J71</formula>
    </cfRule>
  </conditionalFormatting>
  <conditionalFormatting sqref="O47">
    <cfRule type="expression" dxfId="286" priority="9">
      <formula>O53&gt;P46</formula>
    </cfRule>
  </conditionalFormatting>
  <conditionalFormatting sqref="O63">
    <cfRule type="expression" dxfId="285" priority="8">
      <formula>O69&gt;P62</formula>
    </cfRule>
  </conditionalFormatting>
  <conditionalFormatting sqref="O79">
    <cfRule type="expression" dxfId="284" priority="7">
      <formula>O85&gt;P78</formula>
    </cfRule>
  </conditionalFormatting>
  <conditionalFormatting sqref="O56">
    <cfRule type="expression" dxfId="283" priority="10">
      <formula>O60&gt;P55</formula>
    </cfRule>
  </conditionalFormatting>
  <conditionalFormatting sqref="O72">
    <cfRule type="expression" dxfId="282" priority="6">
      <formula>O76&gt;P71</formula>
    </cfRule>
  </conditionalFormatting>
  <conditionalFormatting sqref="U47">
    <cfRule type="expression" dxfId="281" priority="4">
      <formula>U53&gt;V46</formula>
    </cfRule>
  </conditionalFormatting>
  <conditionalFormatting sqref="U63">
    <cfRule type="expression" dxfId="280" priority="3">
      <formula>U69&gt;V62</formula>
    </cfRule>
  </conditionalFormatting>
  <conditionalFormatting sqref="U79">
    <cfRule type="expression" dxfId="279" priority="2">
      <formula>U85&gt;V78</formula>
    </cfRule>
  </conditionalFormatting>
  <conditionalFormatting sqref="U56">
    <cfRule type="expression" dxfId="278" priority="5">
      <formula>U60&gt;V55</formula>
    </cfRule>
  </conditionalFormatting>
  <conditionalFormatting sqref="U72">
    <cfRule type="expression" dxfId="277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32A7AC-BD71-48F4-BA41-F4804A36D7B1}">
  <sheetPr>
    <tabColor rgb="FF0070C0"/>
  </sheetPr>
  <dimension ref="A1:BX608"/>
  <sheetViews>
    <sheetView zoomScale="85" zoomScaleNormal="85" zoomScalePageLayoutView="125" workbookViewId="0">
      <pane xSplit="1" ySplit="3" topLeftCell="B16" activePane="bottomRight" state="frozen"/>
      <selection activeCell="B11" sqref="B11"/>
      <selection pane="topRight" activeCell="B11" sqref="B11"/>
      <selection pane="bottomLeft" activeCell="B11" sqref="B11"/>
      <selection pane="bottomRight" activeCell="C32" sqref="C32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bestFit="1" customWidth="1"/>
    <col min="4" max="4" width="19.54296875" style="5" bestFit="1" customWidth="1"/>
    <col min="5" max="6" width="17.6328125" style="5" customWidth="1"/>
    <col min="7" max="7" width="17.6328125" style="55" customWidth="1"/>
    <col min="8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196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1/1/26 to 6/30/27</v>
      </c>
      <c r="D2" s="518" t="str">
        <f>INDEX('Development Program'!$B$62:$H$71,MATCH($A$1,'Development Program'!$B$62:$B$71,0),MATCH(D1,'Development Program'!$B$62:$H$62,0))</f>
        <v>7/1/27 to 6/30/29</v>
      </c>
      <c r="E2" s="518" t="str">
        <f>INDEX('Development Program'!$B$62:$H$71,MATCH($A$1,'Development Program'!$B$62:$B$71,0),MATCH(E1,'Development Program'!$B$62:$H$62,0))</f>
        <v>7/1/29 to 9/30/29</v>
      </c>
      <c r="G2" s="5"/>
      <c r="J2" s="601" t="s">
        <v>121</v>
      </c>
      <c r="K2" s="601" t="s">
        <v>122</v>
      </c>
      <c r="R2" s="601" t="s">
        <v>123</v>
      </c>
      <c r="S2" s="601" t="s">
        <v>65</v>
      </c>
      <c r="T2" s="669"/>
      <c r="W2" s="99"/>
      <c r="X2" s="99"/>
      <c r="Y2" s="99"/>
      <c r="Z2" s="99"/>
      <c r="AA2" s="99"/>
      <c r="AB2" s="99"/>
      <c r="AC2" s="99"/>
      <c r="AD2" s="99"/>
      <c r="AE2" s="99"/>
      <c r="AF2" s="99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602">
        <v>46388</v>
      </c>
      <c r="J3" s="83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602">
        <f t="shared" si="0"/>
        <v>46873</v>
      </c>
      <c r="O3" s="602">
        <f t="shared" si="0"/>
        <v>46965</v>
      </c>
      <c r="P3" s="602">
        <f t="shared" si="0"/>
        <v>47057</v>
      </c>
      <c r="Q3" s="602">
        <f t="shared" si="0"/>
        <v>47149</v>
      </c>
      <c r="R3" s="102">
        <f t="shared" si="0"/>
        <v>47238</v>
      </c>
      <c r="S3" s="102">
        <f t="shared" si="0"/>
        <v>47330</v>
      </c>
      <c r="T3" s="602">
        <f t="shared" si="0"/>
        <v>47422</v>
      </c>
      <c r="U3" s="102">
        <f t="shared" si="0"/>
        <v>47514</v>
      </c>
      <c r="V3" s="102">
        <f>EOMONTH(U3,5)</f>
        <v>47664</v>
      </c>
      <c r="W3" s="100">
        <f t="shared" si="0"/>
        <v>47756</v>
      </c>
      <c r="X3" s="102">
        <f t="shared" si="0"/>
        <v>47848</v>
      </c>
      <c r="Y3" s="102">
        <f t="shared" si="0"/>
        <v>47938</v>
      </c>
      <c r="Z3" s="102">
        <f t="shared" si="0"/>
        <v>48029</v>
      </c>
      <c r="AA3" s="102">
        <f t="shared" si="0"/>
        <v>48121</v>
      </c>
      <c r="AB3" s="102">
        <f t="shared" si="0"/>
        <v>48213</v>
      </c>
      <c r="AC3" s="102">
        <f t="shared" si="0"/>
        <v>48304</v>
      </c>
      <c r="AD3" s="102">
        <f t="shared" si="0"/>
        <v>48395</v>
      </c>
      <c r="AE3" s="102">
        <f t="shared" si="0"/>
        <v>48487</v>
      </c>
      <c r="AF3" s="102">
        <f t="shared" si="0"/>
        <v>48579</v>
      </c>
      <c r="AG3" s="102">
        <f t="shared" si="0"/>
        <v>48669</v>
      </c>
      <c r="AH3" s="102">
        <f t="shared" si="0"/>
        <v>48760</v>
      </c>
      <c r="AI3" s="102">
        <f t="shared" si="0"/>
        <v>48852</v>
      </c>
      <c r="AJ3" s="102">
        <f t="shared" si="0"/>
        <v>48944</v>
      </c>
      <c r="AK3" s="102">
        <f t="shared" si="0"/>
        <v>49034</v>
      </c>
      <c r="AL3" s="102">
        <f>EOMONTH(AK3,3)</f>
        <v>49125</v>
      </c>
      <c r="AM3" s="102">
        <f t="shared" ref="AM3:AU3" si="1">EOMONTH(AL3,3)</f>
        <v>49217</v>
      </c>
      <c r="AN3" s="102">
        <f t="shared" si="1"/>
        <v>49309</v>
      </c>
      <c r="AO3" s="102">
        <f t="shared" si="1"/>
        <v>49399</v>
      </c>
      <c r="AP3" s="102">
        <f t="shared" si="1"/>
        <v>49490</v>
      </c>
      <c r="AQ3" s="102">
        <f t="shared" si="1"/>
        <v>49582</v>
      </c>
      <c r="AR3" s="102">
        <f t="shared" si="1"/>
        <v>49674</v>
      </c>
      <c r="AS3" s="102">
        <f>EOMONTH(AR3,3)</f>
        <v>49765</v>
      </c>
      <c r="AT3" s="102">
        <f t="shared" si="1"/>
        <v>49856</v>
      </c>
      <c r="AU3" s="102">
        <f t="shared" si="1"/>
        <v>49948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>
        <v>0</v>
      </c>
      <c r="D4" s="97">
        <v>0</v>
      </c>
      <c r="E4" s="97">
        <v>0</v>
      </c>
      <c r="F4" s="96">
        <f t="shared" ref="F4:G4" si="2">E4</f>
        <v>0</v>
      </c>
      <c r="G4" s="96">
        <f t="shared" si="2"/>
        <v>0</v>
      </c>
      <c r="H4" s="96">
        <v>0</v>
      </c>
      <c r="I4" s="96">
        <v>0</v>
      </c>
      <c r="J4" s="96">
        <v>0</v>
      </c>
      <c r="K4" s="96">
        <v>0.05</v>
      </c>
      <c r="L4" s="96">
        <v>0.1</v>
      </c>
      <c r="M4" s="96">
        <v>0.15</v>
      </c>
      <c r="N4" s="96">
        <v>0.2</v>
      </c>
      <c r="O4" s="96">
        <v>0.25</v>
      </c>
      <c r="P4" s="96">
        <v>0.1</v>
      </c>
      <c r="Q4" s="96">
        <v>0.08</v>
      </c>
      <c r="R4" s="96">
        <v>7.0000000000000007E-2</v>
      </c>
      <c r="S4" s="96"/>
      <c r="T4" s="96"/>
      <c r="U4" s="96"/>
      <c r="V4" s="96"/>
      <c r="W4" s="97"/>
      <c r="X4" s="97"/>
      <c r="Y4" s="97"/>
      <c r="Z4" s="97"/>
      <c r="AA4" s="97"/>
      <c r="AB4" s="97"/>
      <c r="AC4" s="97"/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'C Financial'!$A7</f>
        <v>Hard Costs for Construction</v>
      </c>
      <c r="B5" s="140">
        <f>'C Financial'!$B7</f>
        <v>208175979.00000003</v>
      </c>
      <c r="C5" s="141">
        <f>$B$5*C4</f>
        <v>0</v>
      </c>
      <c r="D5" s="141">
        <f t="shared" ref="D5:I5" si="3">$B$5*D4</f>
        <v>0</v>
      </c>
      <c r="E5" s="141">
        <f t="shared" si="3"/>
        <v>0</v>
      </c>
      <c r="F5" s="141">
        <f t="shared" si="3"/>
        <v>0</v>
      </c>
      <c r="G5" s="141">
        <f t="shared" si="3"/>
        <v>0</v>
      </c>
      <c r="H5" s="141">
        <f t="shared" si="3"/>
        <v>0</v>
      </c>
      <c r="I5" s="141">
        <f t="shared" si="3"/>
        <v>0</v>
      </c>
      <c r="J5" s="141">
        <f t="shared" ref="J5:O5" si="4">$B$5*K4</f>
        <v>10408798.950000003</v>
      </c>
      <c r="K5" s="141">
        <f t="shared" si="4"/>
        <v>20817597.900000006</v>
      </c>
      <c r="L5" s="141">
        <f t="shared" si="4"/>
        <v>31226396.850000001</v>
      </c>
      <c r="M5" s="141">
        <f t="shared" si="4"/>
        <v>41635195.800000012</v>
      </c>
      <c r="N5" s="141">
        <f t="shared" si="4"/>
        <v>52043994.750000007</v>
      </c>
      <c r="O5" s="141">
        <f t="shared" si="4"/>
        <v>20817597.900000006</v>
      </c>
      <c r="P5" s="141">
        <f t="shared" ref="P5:R5" si="5">$B$5*Q4</f>
        <v>16654078.320000002</v>
      </c>
      <c r="Q5" s="141">
        <f t="shared" si="5"/>
        <v>14572318.530000003</v>
      </c>
      <c r="R5" s="141">
        <f t="shared" si="5"/>
        <v>0</v>
      </c>
      <c r="S5" s="141"/>
      <c r="T5" s="141"/>
      <c r="U5" s="141"/>
      <c r="V5" s="141"/>
      <c r="W5" s="142"/>
      <c r="X5" s="142"/>
      <c r="Y5" s="142"/>
      <c r="Z5" s="142"/>
      <c r="AA5" s="142"/>
      <c r="AB5" s="142"/>
      <c r="AC5" s="142"/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208175979.00000003</v>
      </c>
      <c r="AW5" s="142">
        <f t="shared" ref="AW5:AW24" si="6">B5</f>
        <v>208175979.00000003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'C Financial'!$A8</f>
        <v>Hard Cost Contingency</v>
      </c>
      <c r="B6" s="140">
        <f>'C Financial'!$B8</f>
        <v>20817597.900000006</v>
      </c>
      <c r="C6" s="141">
        <f t="shared" ref="C6:I6" si="7">$B6*C$4</f>
        <v>0</v>
      </c>
      <c r="D6" s="141">
        <f t="shared" si="7"/>
        <v>0</v>
      </c>
      <c r="E6" s="141">
        <f t="shared" si="7"/>
        <v>0</v>
      </c>
      <c r="F6" s="141">
        <f t="shared" si="7"/>
        <v>0</v>
      </c>
      <c r="G6" s="141">
        <f t="shared" si="7"/>
        <v>0</v>
      </c>
      <c r="H6" s="141">
        <f t="shared" si="7"/>
        <v>0</v>
      </c>
      <c r="I6" s="141">
        <f t="shared" si="7"/>
        <v>0</v>
      </c>
      <c r="J6" s="141">
        <f t="shared" ref="J6:O6" si="8">$B6*K$4</f>
        <v>1040879.8950000004</v>
      </c>
      <c r="K6" s="141">
        <f t="shared" si="8"/>
        <v>2081759.7900000007</v>
      </c>
      <c r="L6" s="141">
        <f t="shared" si="8"/>
        <v>3122639.685000001</v>
      </c>
      <c r="M6" s="141">
        <f t="shared" si="8"/>
        <v>4163519.5800000015</v>
      </c>
      <c r="N6" s="141">
        <f t="shared" si="8"/>
        <v>5204399.4750000015</v>
      </c>
      <c r="O6" s="141">
        <f t="shared" si="8"/>
        <v>2081759.7900000007</v>
      </c>
      <c r="P6" s="141">
        <f t="shared" ref="P6:R6" si="9">$B6*Q$4</f>
        <v>1665407.8320000004</v>
      </c>
      <c r="Q6" s="141">
        <f t="shared" si="9"/>
        <v>1457231.8530000006</v>
      </c>
      <c r="R6" s="141">
        <f t="shared" si="9"/>
        <v>0</v>
      </c>
      <c r="S6" s="141"/>
      <c r="T6" s="141"/>
      <c r="U6" s="141"/>
      <c r="V6" s="141"/>
      <c r="W6" s="142"/>
      <c r="X6" s="142"/>
      <c r="Y6" s="142"/>
      <c r="Z6" s="142"/>
      <c r="AA6" s="142"/>
      <c r="AB6" s="142"/>
      <c r="AC6" s="142"/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20817597.900000006</v>
      </c>
      <c r="AW6" s="142">
        <f t="shared" si="6"/>
        <v>20817597.900000006</v>
      </c>
      <c r="AX6" s="142">
        <f t="shared" ref="AX6:AX24" si="10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'C Financial'!$A9</f>
        <v>Demolition</v>
      </c>
      <c r="B7" s="140">
        <f>'C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2"/>
      <c r="X7" s="142"/>
      <c r="Y7" s="142"/>
      <c r="Z7" s="142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6"/>
        <v>0</v>
      </c>
      <c r="AX7" s="142">
        <f t="shared" si="10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'C Financial'!$A10</f>
        <v>Land Cost</v>
      </c>
      <c r="B8" s="140">
        <f>'C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6"/>
      <c r="N8" s="143"/>
      <c r="O8" s="143"/>
      <c r="P8" s="143"/>
      <c r="Q8" s="143"/>
      <c r="R8" s="143"/>
      <c r="S8" s="143"/>
      <c r="T8" s="143"/>
      <c r="U8" s="143"/>
      <c r="V8" s="143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6"/>
        <v>0</v>
      </c>
      <c r="AX8" s="142">
        <f t="shared" si="10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'C Financial'!$A11</f>
        <v>Infrastructure Cost less Subsidy</v>
      </c>
      <c r="B9" s="140">
        <f>'C Financial'!$B11</f>
        <v>2047619.0476190476</v>
      </c>
      <c r="C9" s="146"/>
      <c r="D9" s="143"/>
      <c r="E9" s="141"/>
      <c r="F9" s="141"/>
      <c r="G9" s="141"/>
      <c r="H9" s="144"/>
      <c r="I9" s="141"/>
      <c r="J9" s="141"/>
      <c r="K9" s="143"/>
      <c r="N9" s="143"/>
      <c r="O9" s="143"/>
      <c r="P9" s="143"/>
      <c r="Q9" s="141">
        <f>$B$9/2</f>
        <v>1023809.5238095238</v>
      </c>
      <c r="R9" s="141">
        <f>$B$9/2</f>
        <v>1023809.5238095238</v>
      </c>
      <c r="S9" s="654"/>
      <c r="T9" s="143"/>
      <c r="U9" s="143"/>
      <c r="V9" s="143"/>
      <c r="W9" s="147"/>
      <c r="X9" s="147"/>
      <c r="Y9" s="147"/>
      <c r="Z9" s="147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11">SUM(C9:AU9)</f>
        <v>2047619.0476190476</v>
      </c>
      <c r="AW9" s="142">
        <f t="shared" si="6"/>
        <v>2047619.0476190476</v>
      </c>
      <c r="AX9" s="142">
        <f t="shared" si="10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'C Financial'!$A12</f>
        <v>Municipal Fees and Allowances</v>
      </c>
      <c r="B10" s="140">
        <f>'C Financial'!$B12</f>
        <v>11449678.845000003</v>
      </c>
      <c r="C10" s="148"/>
      <c r="D10" s="147"/>
      <c r="E10" s="149"/>
      <c r="F10" s="149"/>
      <c r="G10" s="149"/>
      <c r="H10" s="149"/>
      <c r="I10" s="149"/>
      <c r="K10" s="141">
        <f>B10</f>
        <v>11449678.845000003</v>
      </c>
      <c r="L10" s="147"/>
      <c r="M10" s="147"/>
      <c r="N10" s="147"/>
      <c r="O10" s="147"/>
      <c r="P10" s="141"/>
      <c r="Q10" s="141"/>
      <c r="R10" s="487"/>
      <c r="S10" s="487"/>
      <c r="T10" s="147"/>
      <c r="U10" s="144"/>
      <c r="V10" s="144"/>
      <c r="W10" s="150"/>
      <c r="X10" s="150"/>
      <c r="Y10" s="150"/>
      <c r="Z10" s="150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11"/>
        <v>11449678.845000003</v>
      </c>
      <c r="AW10" s="142">
        <f t="shared" si="6"/>
        <v>11449678.845000003</v>
      </c>
      <c r="AX10" s="142">
        <f t="shared" si="10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'C Financial'!$A13</f>
        <v>Legal</v>
      </c>
      <c r="B11" s="140">
        <f>'C Financial'!$B13</f>
        <v>4579871.5380000006</v>
      </c>
      <c r="C11" s="148"/>
      <c r="D11" s="148"/>
      <c r="E11" s="141">
        <f>$B$11/6</f>
        <v>763311.92300000007</v>
      </c>
      <c r="F11" s="141">
        <f t="shared" ref="F11:J11" si="12">$B$11/6</f>
        <v>763311.92300000007</v>
      </c>
      <c r="G11" s="141">
        <f t="shared" si="12"/>
        <v>763311.92300000007</v>
      </c>
      <c r="H11" s="141">
        <f t="shared" si="12"/>
        <v>763311.92300000007</v>
      </c>
      <c r="I11" s="141">
        <f t="shared" si="12"/>
        <v>763311.92300000007</v>
      </c>
      <c r="J11" s="141">
        <f t="shared" si="12"/>
        <v>763311.92300000007</v>
      </c>
      <c r="K11" s="147"/>
      <c r="L11" s="147"/>
      <c r="M11" s="147"/>
      <c r="N11" s="147"/>
      <c r="O11" s="147"/>
      <c r="P11" s="147"/>
      <c r="Q11" s="147"/>
      <c r="R11" s="147"/>
      <c r="S11" s="147"/>
      <c r="T11" s="147"/>
      <c r="U11" s="143"/>
      <c r="V11" s="143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11"/>
        <v>4579871.5380000006</v>
      </c>
      <c r="AW11" s="142">
        <f t="shared" si="6"/>
        <v>4579871.5380000006</v>
      </c>
      <c r="AX11" s="142">
        <f t="shared" si="10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'C Financial'!$A14</f>
        <v>Land Closing Costs/commissions</v>
      </c>
      <c r="B12" s="140">
        <f>'C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2"/>
      <c r="X12" s="142"/>
      <c r="Y12" s="142"/>
      <c r="Z12" s="142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11"/>
        <v>0</v>
      </c>
      <c r="AW12" s="142">
        <f t="shared" si="6"/>
        <v>0</v>
      </c>
      <c r="AX12" s="142">
        <f t="shared" si="10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'C Financial'!$A15</f>
        <v xml:space="preserve">Design </v>
      </c>
      <c r="B13" s="140">
        <f>'C Financial'!$B15</f>
        <v>9159743.0760000013</v>
      </c>
      <c r="C13" s="141"/>
      <c r="D13" s="141">
        <f>$B$13/15</f>
        <v>610649.53840000008</v>
      </c>
      <c r="E13" s="141">
        <f t="shared" ref="E13:R13" si="13">$B$13/15</f>
        <v>610649.53840000008</v>
      </c>
      <c r="F13" s="141">
        <f t="shared" si="13"/>
        <v>610649.53840000008</v>
      </c>
      <c r="G13" s="141">
        <f t="shared" si="13"/>
        <v>610649.53840000008</v>
      </c>
      <c r="H13" s="141">
        <f t="shared" si="13"/>
        <v>610649.53840000008</v>
      </c>
      <c r="I13" s="141">
        <f t="shared" si="13"/>
        <v>610649.53840000008</v>
      </c>
      <c r="J13" s="141">
        <f t="shared" si="13"/>
        <v>610649.53840000008</v>
      </c>
      <c r="K13" s="141">
        <f t="shared" si="13"/>
        <v>610649.53840000008</v>
      </c>
      <c r="L13" s="141">
        <f t="shared" si="13"/>
        <v>610649.53840000008</v>
      </c>
      <c r="M13" s="141">
        <f t="shared" si="13"/>
        <v>610649.53840000008</v>
      </c>
      <c r="N13" s="141">
        <f t="shared" si="13"/>
        <v>610649.53840000008</v>
      </c>
      <c r="O13" s="141">
        <f t="shared" si="13"/>
        <v>610649.53840000008</v>
      </c>
      <c r="P13" s="141">
        <f t="shared" si="13"/>
        <v>610649.53840000008</v>
      </c>
      <c r="Q13" s="141">
        <f t="shared" si="13"/>
        <v>610649.53840000008</v>
      </c>
      <c r="R13" s="141">
        <f t="shared" si="13"/>
        <v>610649.53840000008</v>
      </c>
      <c r="S13" s="141"/>
      <c r="T13" s="141"/>
      <c r="U13" s="141"/>
      <c r="V13" s="141"/>
      <c r="W13" s="142"/>
      <c r="X13" s="142"/>
      <c r="Y13" s="142"/>
      <c r="Z13" s="142"/>
      <c r="AA13" s="142"/>
      <c r="AB13" s="142"/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11"/>
        <v>9159743.0760000013</v>
      </c>
      <c r="AW13" s="142">
        <f t="shared" si="6"/>
        <v>9159743.0760000013</v>
      </c>
      <c r="AX13" s="142">
        <f t="shared" si="10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'C Financial'!$A16</f>
        <v>Developer Fee</v>
      </c>
      <c r="B14" s="140">
        <f>'C Financial'!$B16</f>
        <v>6869807.307000001</v>
      </c>
      <c r="C14" s="141"/>
      <c r="D14" s="141"/>
      <c r="E14" s="141"/>
      <c r="F14" s="141"/>
      <c r="G14" s="141"/>
      <c r="H14" s="141"/>
      <c r="I14" s="141"/>
      <c r="J14" s="141"/>
      <c r="K14" s="141">
        <f t="shared" ref="K14:R14" si="14">$B$14/8</f>
        <v>858725.91337500012</v>
      </c>
      <c r="L14" s="141">
        <f t="shared" si="14"/>
        <v>858725.91337500012</v>
      </c>
      <c r="M14" s="141">
        <f t="shared" si="14"/>
        <v>858725.91337500012</v>
      </c>
      <c r="N14" s="141">
        <f t="shared" si="14"/>
        <v>858725.91337500012</v>
      </c>
      <c r="O14" s="141">
        <f t="shared" si="14"/>
        <v>858725.91337500012</v>
      </c>
      <c r="P14" s="141">
        <f t="shared" si="14"/>
        <v>858725.91337500012</v>
      </c>
      <c r="Q14" s="141">
        <f t="shared" si="14"/>
        <v>858725.91337500012</v>
      </c>
      <c r="R14" s="141">
        <f t="shared" si="14"/>
        <v>858725.91337500012</v>
      </c>
      <c r="S14" s="141"/>
      <c r="T14" s="141"/>
      <c r="U14" s="141"/>
      <c r="V14" s="141"/>
      <c r="W14" s="142"/>
      <c r="X14" s="142"/>
      <c r="Y14" s="142"/>
      <c r="Z14" s="142"/>
      <c r="AA14" s="142"/>
      <c r="AB14" s="142"/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11"/>
        <v>6869807.3070000019</v>
      </c>
      <c r="AW14" s="142">
        <f t="shared" si="6"/>
        <v>6869807.307000001</v>
      </c>
      <c r="AX14" s="142">
        <f t="shared" si="10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'C Financial'!$A17</f>
        <v>Construction Management Fee</v>
      </c>
      <c r="B15" s="140">
        <f>'C Financial'!$B17</f>
        <v>11449678.845000003</v>
      </c>
      <c r="C15" s="141"/>
      <c r="D15" s="141"/>
      <c r="E15" s="141"/>
      <c r="F15" s="141"/>
      <c r="G15" s="141"/>
      <c r="H15" s="141"/>
      <c r="I15" s="141"/>
      <c r="J15" s="141"/>
      <c r="K15" s="141">
        <f t="shared" ref="K15:R15" si="15">$B$15/8</f>
        <v>1431209.8556250003</v>
      </c>
      <c r="L15" s="141">
        <f t="shared" si="15"/>
        <v>1431209.8556250003</v>
      </c>
      <c r="M15" s="141">
        <f t="shared" si="15"/>
        <v>1431209.8556250003</v>
      </c>
      <c r="N15" s="141">
        <f t="shared" si="15"/>
        <v>1431209.8556250003</v>
      </c>
      <c r="O15" s="141">
        <f t="shared" si="15"/>
        <v>1431209.8556250003</v>
      </c>
      <c r="P15" s="141">
        <f t="shared" si="15"/>
        <v>1431209.8556250003</v>
      </c>
      <c r="Q15" s="141">
        <f t="shared" si="15"/>
        <v>1431209.8556250003</v>
      </c>
      <c r="R15" s="141">
        <f t="shared" si="15"/>
        <v>1431209.8556250003</v>
      </c>
      <c r="S15" s="141"/>
      <c r="T15" s="141"/>
      <c r="U15" s="141"/>
      <c r="V15" s="141"/>
      <c r="W15" s="142"/>
      <c r="X15" s="142"/>
      <c r="Y15" s="142"/>
      <c r="Z15" s="142"/>
      <c r="AA15" s="142"/>
      <c r="AB15" s="142"/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11"/>
        <v>11449678.845000001</v>
      </c>
      <c r="AW15" s="142">
        <f t="shared" si="6"/>
        <v>11449678.845000003</v>
      </c>
      <c r="AX15" s="142">
        <f t="shared" si="10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'C Financial'!$A18</f>
        <v>Taxes</v>
      </c>
      <c r="B16" s="140">
        <f>'C Financial'!$B18</f>
        <v>6142316.4046666659</v>
      </c>
      <c r="C16" s="145"/>
      <c r="D16" s="141"/>
      <c r="E16" s="141"/>
      <c r="F16" s="141"/>
      <c r="G16" s="144"/>
      <c r="H16" s="141"/>
      <c r="I16" s="141"/>
      <c r="J16" s="141">
        <f>$B$16/6</f>
        <v>1023719.4007777777</v>
      </c>
      <c r="K16" s="141">
        <f t="shared" ref="K16:O16" si="16">$B$16/6</f>
        <v>1023719.4007777777</v>
      </c>
      <c r="L16" s="141">
        <f t="shared" si="16"/>
        <v>1023719.4007777777</v>
      </c>
      <c r="M16" s="141">
        <f t="shared" si="16"/>
        <v>1023719.4007777777</v>
      </c>
      <c r="N16" s="141">
        <f t="shared" si="16"/>
        <v>1023719.4007777777</v>
      </c>
      <c r="O16" s="141">
        <f t="shared" si="16"/>
        <v>1023719.4007777777</v>
      </c>
      <c r="P16" s="141"/>
      <c r="Q16" s="98"/>
      <c r="R16" s="141"/>
      <c r="S16" s="98"/>
      <c r="T16" s="141"/>
      <c r="U16" s="141"/>
      <c r="V16" s="141"/>
      <c r="W16" s="142"/>
      <c r="X16" s="142"/>
      <c r="Y16" s="142"/>
      <c r="Z16" s="142"/>
      <c r="AA16" s="142"/>
      <c r="AB16" s="142"/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11"/>
        <v>6142316.4046666659</v>
      </c>
      <c r="AW16" s="142">
        <f t="shared" si="6"/>
        <v>6142316.4046666659</v>
      </c>
      <c r="AX16" s="142">
        <f t="shared" si="10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'C Financial'!$A19</f>
        <v>Insurance</v>
      </c>
      <c r="B17" s="140">
        <f>'C Financial'!$B19</f>
        <v>3434903.6535000005</v>
      </c>
      <c r="C17" s="145"/>
      <c r="D17" s="144"/>
      <c r="E17" s="144"/>
      <c r="F17" s="141"/>
      <c r="G17" s="141"/>
      <c r="H17" s="141"/>
      <c r="I17" s="141"/>
      <c r="J17" s="141">
        <f>B17</f>
        <v>3434903.6535000005</v>
      </c>
      <c r="K17" s="141"/>
      <c r="L17" s="145"/>
      <c r="M17" s="141"/>
      <c r="N17" s="141"/>
      <c r="O17" s="141"/>
      <c r="P17" s="141"/>
      <c r="Q17" s="141"/>
      <c r="R17" s="141"/>
      <c r="S17" s="141"/>
      <c r="T17" s="98"/>
      <c r="U17" s="141"/>
      <c r="V17" s="141"/>
      <c r="W17" s="142"/>
      <c r="X17" s="142"/>
      <c r="Y17" s="142"/>
      <c r="Z17" s="142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11"/>
        <v>3434903.6535000005</v>
      </c>
      <c r="AW17" s="142">
        <f t="shared" si="6"/>
        <v>3434903.6535000005</v>
      </c>
      <c r="AX17" s="142">
        <f t="shared" si="10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'C Financial'!$A20</f>
        <v>Marketing, FFE and Preleasing</v>
      </c>
      <c r="B18" s="140">
        <f>'C Financial'!$B20</f>
        <v>800000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>
        <f>$B$18/2</f>
        <v>400000</v>
      </c>
      <c r="O18" s="141">
        <f>$B$18/2</f>
        <v>400000</v>
      </c>
      <c r="P18" s="141"/>
      <c r="Q18" s="141"/>
      <c r="R18" s="141"/>
      <c r="S18" s="141"/>
      <c r="T18" s="141"/>
      <c r="U18" s="141"/>
      <c r="V18" s="141"/>
      <c r="W18" s="142"/>
      <c r="X18" s="142"/>
      <c r="Y18" s="142"/>
      <c r="Z18" s="142"/>
      <c r="AA18" s="142"/>
      <c r="AB18" s="142"/>
      <c r="AC18" s="142"/>
      <c r="AD18" s="142"/>
      <c r="AE18" s="142"/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11"/>
        <v>800000</v>
      </c>
      <c r="AW18" s="142">
        <f t="shared" si="6"/>
        <v>800000</v>
      </c>
      <c r="AX18" s="142">
        <f t="shared" si="10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'C Financial'!$A21</f>
        <v>Operating Deficit</v>
      </c>
      <c r="B19" s="140">
        <f>'C Financial'!$B21</f>
        <v>8121588.5249999985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487"/>
      <c r="O19" s="487"/>
      <c r="P19" s="487"/>
      <c r="Q19" s="487"/>
      <c r="R19" s="141">
        <f>$B$19/2</f>
        <v>4060794.2624999993</v>
      </c>
      <c r="S19" s="141">
        <f>$B$19/2</f>
        <v>4060794.2624999993</v>
      </c>
      <c r="T19" s="141"/>
      <c r="U19" s="151"/>
      <c r="V19" s="151"/>
      <c r="W19" s="104"/>
      <c r="X19" s="104"/>
      <c r="Y19" s="104"/>
      <c r="Z19" s="104"/>
      <c r="AA19" s="104"/>
      <c r="AB19" s="104"/>
      <c r="AC19" s="104"/>
      <c r="AD19" s="104"/>
      <c r="AE19" s="104"/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11"/>
        <v>8121588.5249999985</v>
      </c>
      <c r="AW19" s="142">
        <f t="shared" si="6"/>
        <v>8121588.5249999985</v>
      </c>
      <c r="AX19" s="142">
        <f t="shared" si="10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'C Financial'!$A22</f>
        <v>Commercial Tenant Improvements</v>
      </c>
      <c r="B20" s="140">
        <f>'C Financial'!$B22</f>
        <v>15238340.249999998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>
        <f>$B$20/2</f>
        <v>7619170.1249999991</v>
      </c>
      <c r="S20" s="141">
        <f>$B$20/2</f>
        <v>7619170.1249999991</v>
      </c>
      <c r="T20" s="141"/>
      <c r="U20" s="141"/>
      <c r="V20" s="141"/>
      <c r="W20" s="142"/>
      <c r="X20" s="142"/>
      <c r="Y20" s="142"/>
      <c r="Z20" s="142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11"/>
        <v>15238340.249999998</v>
      </c>
      <c r="AW20" s="142">
        <f t="shared" si="6"/>
        <v>15238340.249999998</v>
      </c>
      <c r="AX20" s="142">
        <f t="shared" si="10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'C Financial'!$A23</f>
        <v>Commercial brokerage</v>
      </c>
      <c r="B21" s="140">
        <f>'C Financial'!$B23</f>
        <v>1959215.1749999998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>
        <f>$B$21/2</f>
        <v>979607.58749999991</v>
      </c>
      <c r="S21" s="141">
        <f>$B$21/2</f>
        <v>979607.58749999991</v>
      </c>
      <c r="T21" s="141"/>
      <c r="U21" s="141"/>
      <c r="V21" s="141"/>
      <c r="W21" s="142"/>
      <c r="X21" s="142"/>
      <c r="Y21" s="142"/>
      <c r="Z21" s="142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11"/>
        <v>1959215.1749999998</v>
      </c>
      <c r="AW21" s="142">
        <f t="shared" si="6"/>
        <v>1959215.1749999998</v>
      </c>
      <c r="AX21" s="142">
        <f t="shared" si="10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'C Financial'!$A24</f>
        <v>Construction Loan Origination</v>
      </c>
      <c r="B22" s="140">
        <f ca="1">'C Financial'!$B24</f>
        <v>2986670.3247755785</v>
      </c>
      <c r="C22" s="141"/>
      <c r="D22" s="141"/>
      <c r="E22" s="141"/>
      <c r="F22" s="141"/>
      <c r="G22" s="141"/>
      <c r="H22" s="141"/>
      <c r="I22" s="141"/>
      <c r="J22" s="141">
        <f ca="1">$B22</f>
        <v>2986670.3247755785</v>
      </c>
      <c r="K22" s="141"/>
      <c r="L22" s="141"/>
      <c r="M22" s="98"/>
      <c r="N22" s="141"/>
      <c r="O22" s="141"/>
      <c r="P22" s="98"/>
      <c r="Q22" s="141"/>
      <c r="R22" s="141"/>
      <c r="S22" s="141"/>
      <c r="T22" s="141"/>
      <c r="U22" s="141"/>
      <c r="V22" s="141"/>
      <c r="W22" s="142"/>
      <c r="X22" s="142"/>
      <c r="Y22" s="142"/>
      <c r="Z22" s="142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11"/>
        <v>2986670.3247755785</v>
      </c>
      <c r="AW22" s="142">
        <f t="shared" ca="1" si="6"/>
        <v>2986670.3247755785</v>
      </c>
      <c r="AX22" s="142">
        <f t="shared" ca="1" si="10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'C Financial'!$A25</f>
        <v>Construction Interest</v>
      </c>
      <c r="B23" s="140">
        <f ca="1">'C Financial'!$B25</f>
        <v>13937794.848952701</v>
      </c>
      <c r="C23" s="153"/>
      <c r="D23" s="141"/>
      <c r="E23" s="141"/>
      <c r="F23" s="141"/>
      <c r="G23" s="141"/>
      <c r="H23" s="141"/>
      <c r="I23" s="141"/>
      <c r="J23" s="141"/>
      <c r="K23" s="141"/>
      <c r="L23" s="141"/>
      <c r="M23" s="141">
        <f ca="1">$B$23*0.1</f>
        <v>1393779.4848952703</v>
      </c>
      <c r="N23" s="141">
        <f ca="1">$B$23*0.1</f>
        <v>1393779.4848952703</v>
      </c>
      <c r="O23" s="141">
        <f ca="1">$B$23*0.1</f>
        <v>1393779.4848952703</v>
      </c>
      <c r="P23" s="141">
        <f ca="1">$B$23*0.1</f>
        <v>1393779.4848952703</v>
      </c>
      <c r="Q23" s="141">
        <f ca="1">$B$23*0.2</f>
        <v>2787558.9697905406</v>
      </c>
      <c r="R23" s="141">
        <f ca="1">$B$23*0.2</f>
        <v>2787558.9697905406</v>
      </c>
      <c r="S23" s="141">
        <f ca="1">$B$23*0.2</f>
        <v>2787558.9697905406</v>
      </c>
      <c r="T23" s="141"/>
      <c r="U23" s="141"/>
      <c r="V23" s="141"/>
      <c r="W23" s="142"/>
      <c r="X23" s="142"/>
      <c r="Y23" s="142"/>
      <c r="Z23" s="142"/>
      <c r="AA23" s="142"/>
      <c r="AB23" s="142"/>
      <c r="AC23" s="142"/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ca="1" si="11"/>
        <v>13937794.848952703</v>
      </c>
      <c r="AW23" s="142">
        <f t="shared" ca="1" si="6"/>
        <v>13937794.848952701</v>
      </c>
      <c r="AX23" s="142">
        <f t="shared" ca="1" si="10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'C Financial'!$A26</f>
        <v>Additional Contingency</v>
      </c>
      <c r="B24" s="154">
        <f ca="1">'C Financial'!$B26</f>
        <v>6729072.6155026471</v>
      </c>
      <c r="C24" s="155">
        <f ca="1">$B$24*C4</f>
        <v>0</v>
      </c>
      <c r="D24" s="155">
        <f t="shared" ref="D24:I24" ca="1" si="17">$B$24*D4</f>
        <v>0</v>
      </c>
      <c r="E24" s="155">
        <f t="shared" ca="1" si="17"/>
        <v>0</v>
      </c>
      <c r="F24" s="155">
        <f t="shared" ca="1" si="17"/>
        <v>0</v>
      </c>
      <c r="G24" s="155">
        <f t="shared" ca="1" si="17"/>
        <v>0</v>
      </c>
      <c r="H24" s="155">
        <f t="shared" ca="1" si="17"/>
        <v>0</v>
      </c>
      <c r="I24" s="155">
        <f t="shared" ca="1" si="17"/>
        <v>0</v>
      </c>
      <c r="J24" s="155">
        <f ca="1">$B$24*J4</f>
        <v>0</v>
      </c>
      <c r="K24" s="155">
        <f t="shared" ref="K24:S24" ca="1" si="18">$B$24*K4</f>
        <v>336453.63077513239</v>
      </c>
      <c r="L24" s="155">
        <f t="shared" ca="1" si="18"/>
        <v>672907.26155026478</v>
      </c>
      <c r="M24" s="155">
        <f t="shared" ca="1" si="18"/>
        <v>1009360.892325397</v>
      </c>
      <c r="N24" s="155">
        <f t="shared" ca="1" si="18"/>
        <v>1345814.5231005296</v>
      </c>
      <c r="O24" s="155">
        <f t="shared" ca="1" si="18"/>
        <v>1682268.1538756618</v>
      </c>
      <c r="P24" s="155">
        <f t="shared" ca="1" si="18"/>
        <v>672907.26155026478</v>
      </c>
      <c r="Q24" s="155">
        <f t="shared" ca="1" si="18"/>
        <v>538325.80924021173</v>
      </c>
      <c r="R24" s="155">
        <f t="shared" ca="1" si="18"/>
        <v>471035.08308518532</v>
      </c>
      <c r="S24" s="155">
        <f t="shared" ca="1" si="18"/>
        <v>0</v>
      </c>
      <c r="T24" s="610"/>
      <c r="U24" s="610"/>
      <c r="V24" s="610"/>
      <c r="W24" s="610"/>
      <c r="X24" s="610"/>
      <c r="Y24" s="610"/>
      <c r="Z24" s="610"/>
      <c r="AA24" s="610"/>
      <c r="AB24" s="610"/>
      <c r="AC24" s="610"/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ca="1" si="11"/>
        <v>6729072.6155026471</v>
      </c>
      <c r="AW24" s="156">
        <f t="shared" ca="1" si="6"/>
        <v>6729072.6155026471</v>
      </c>
      <c r="AX24" s="156">
        <f t="shared" ca="1" si="10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'C Financial'!$A27</f>
        <v>Total Project Cost</v>
      </c>
      <c r="B25" s="608">
        <f ca="1">'C Financial'!$B27</f>
        <v>333899877.3560167</v>
      </c>
      <c r="C25" s="62">
        <f ca="1">SUM(C5:C24)</f>
        <v>0</v>
      </c>
      <c r="D25" s="62">
        <f t="shared" ref="D25:W25" ca="1" si="19">SUM(D5:D24)</f>
        <v>610649.53840000008</v>
      </c>
      <c r="E25" s="62">
        <f t="shared" ca="1" si="19"/>
        <v>1373961.4614000001</v>
      </c>
      <c r="F25" s="62">
        <f t="shared" ca="1" si="19"/>
        <v>1373961.4614000001</v>
      </c>
      <c r="G25" s="62">
        <f t="shared" ca="1" si="19"/>
        <v>1373961.4614000001</v>
      </c>
      <c r="H25" s="62">
        <f t="shared" ca="1" si="19"/>
        <v>1373961.4614000001</v>
      </c>
      <c r="I25" s="62">
        <f t="shared" ca="1" si="19"/>
        <v>1373961.4614000001</v>
      </c>
      <c r="J25" s="62">
        <f t="shared" ca="1" si="19"/>
        <v>20268933.685453363</v>
      </c>
      <c r="K25" s="62">
        <f t="shared" ca="1" si="19"/>
        <v>38609794.873952925</v>
      </c>
      <c r="L25" s="62">
        <f t="shared" ca="1" si="19"/>
        <v>38946248.504728049</v>
      </c>
      <c r="M25" s="62">
        <f t="shared" ca="1" si="19"/>
        <v>52126160.465398453</v>
      </c>
      <c r="N25" s="62">
        <f t="shared" ca="1" si="19"/>
        <v>64312292.941173591</v>
      </c>
      <c r="O25" s="62">
        <f t="shared" ca="1" si="19"/>
        <v>30299710.036948718</v>
      </c>
      <c r="P25" s="62">
        <f t="shared" ca="1" si="19"/>
        <v>23286758.205845542</v>
      </c>
      <c r="Q25" s="62">
        <f t="shared" ca="1" si="19"/>
        <v>23279829.993240282</v>
      </c>
      <c r="R25" s="62">
        <f t="shared" ca="1" si="19"/>
        <v>19842560.859085247</v>
      </c>
      <c r="S25" s="62">
        <f t="shared" ca="1" si="19"/>
        <v>15447130.94479054</v>
      </c>
      <c r="T25" s="62">
        <f t="shared" si="19"/>
        <v>0</v>
      </c>
      <c r="U25" s="62">
        <f t="shared" si="19"/>
        <v>0</v>
      </c>
      <c r="V25" s="62">
        <f t="shared" si="19"/>
        <v>0</v>
      </c>
      <c r="W25" s="62">
        <f t="shared" si="19"/>
        <v>0</v>
      </c>
      <c r="X25" s="62">
        <f t="shared" ref="X25:AX25" si="20">SUM(X4:X24)</f>
        <v>0</v>
      </c>
      <c r="Y25" s="62">
        <f t="shared" si="20"/>
        <v>0</v>
      </c>
      <c r="Z25" s="62">
        <f t="shared" si="20"/>
        <v>0</v>
      </c>
      <c r="AA25" s="62">
        <f t="shared" si="20"/>
        <v>0</v>
      </c>
      <c r="AB25" s="62">
        <f t="shared" si="20"/>
        <v>0</v>
      </c>
      <c r="AC25" s="62">
        <f t="shared" si="20"/>
        <v>0</v>
      </c>
      <c r="AD25" s="62">
        <f t="shared" si="20"/>
        <v>0</v>
      </c>
      <c r="AE25" s="62">
        <f t="shared" si="20"/>
        <v>0</v>
      </c>
      <c r="AF25" s="62">
        <f t="shared" si="20"/>
        <v>0</v>
      </c>
      <c r="AG25" s="62">
        <f t="shared" si="20"/>
        <v>0</v>
      </c>
      <c r="AH25" s="62">
        <f t="shared" si="20"/>
        <v>0</v>
      </c>
      <c r="AI25" s="62">
        <f t="shared" si="20"/>
        <v>0</v>
      </c>
      <c r="AJ25" s="62">
        <f t="shared" si="20"/>
        <v>0</v>
      </c>
      <c r="AK25" s="62">
        <f t="shared" si="20"/>
        <v>0</v>
      </c>
      <c r="AL25" s="62">
        <f t="shared" si="20"/>
        <v>0</v>
      </c>
      <c r="AM25" s="62">
        <f t="shared" si="20"/>
        <v>0</v>
      </c>
      <c r="AN25" s="62">
        <f t="shared" si="20"/>
        <v>0</v>
      </c>
      <c r="AO25" s="62">
        <f t="shared" si="20"/>
        <v>0</v>
      </c>
      <c r="AP25" s="62">
        <f t="shared" si="20"/>
        <v>0</v>
      </c>
      <c r="AQ25" s="62">
        <f t="shared" si="20"/>
        <v>0</v>
      </c>
      <c r="AR25" s="62">
        <f t="shared" si="20"/>
        <v>0</v>
      </c>
      <c r="AS25" s="62">
        <f t="shared" si="20"/>
        <v>0</v>
      </c>
      <c r="AT25" s="62">
        <f t="shared" si="20"/>
        <v>0</v>
      </c>
      <c r="AU25" s="62">
        <f t="shared" si="20"/>
        <v>0</v>
      </c>
      <c r="AV25" s="62">
        <f t="shared" ca="1" si="20"/>
        <v>333899878.3560167</v>
      </c>
      <c r="AW25" s="62">
        <f t="shared" ca="1" si="20"/>
        <v>333899877.3560167</v>
      </c>
      <c r="AX25" s="62">
        <f t="shared" ca="1" si="20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'C Financial'!D11</f>
        <v>0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333899877.3560167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166949938.67800835</v>
      </c>
      <c r="C28" s="142">
        <f ca="1">C25</f>
        <v>0</v>
      </c>
      <c r="D28" s="142">
        <f t="shared" ref="D28:R28" ca="1" si="21">IF(((C29+D25)&lt;=$B$29),D25,($B$29-C29))</f>
        <v>610649.53840000008</v>
      </c>
      <c r="E28" s="142">
        <f t="shared" ca="1" si="21"/>
        <v>1373961.4614000001</v>
      </c>
      <c r="F28" s="142">
        <f t="shared" ca="1" si="21"/>
        <v>1373961.4614000001</v>
      </c>
      <c r="G28" s="142">
        <f t="shared" ca="1" si="21"/>
        <v>1373961.4614000001</v>
      </c>
      <c r="H28" s="142">
        <f t="shared" ca="1" si="21"/>
        <v>1373961.4614000001</v>
      </c>
      <c r="I28" s="142">
        <f t="shared" ca="1" si="21"/>
        <v>1373961.4614000001</v>
      </c>
      <c r="J28" s="142">
        <f t="shared" ca="1" si="21"/>
        <v>20268933.685453363</v>
      </c>
      <c r="K28" s="142">
        <f t="shared" ca="1" si="21"/>
        <v>38609794.873952925</v>
      </c>
      <c r="L28" s="142">
        <f t="shared" ca="1" si="21"/>
        <v>38946248.504728049</v>
      </c>
      <c r="M28" s="142">
        <f t="shared" ca="1" si="21"/>
        <v>52126160.465398453</v>
      </c>
      <c r="N28" s="142">
        <f t="shared" ca="1" si="21"/>
        <v>9518344.303075552</v>
      </c>
      <c r="O28" s="142">
        <f t="shared" ca="1" si="21"/>
        <v>0</v>
      </c>
      <c r="P28" s="142">
        <f t="shared" ca="1" si="21"/>
        <v>0</v>
      </c>
      <c r="Q28" s="142">
        <f t="shared" ca="1" si="21"/>
        <v>0</v>
      </c>
      <c r="R28" s="142">
        <f t="shared" ca="1" si="21"/>
        <v>0</v>
      </c>
      <c r="S28" s="142"/>
      <c r="T28" s="142"/>
      <c r="U28" s="142"/>
      <c r="V28" s="142"/>
      <c r="W28" s="142"/>
      <c r="X28" s="142"/>
      <c r="Y28" s="142"/>
      <c r="Z28" s="142"/>
      <c r="AA28" s="142"/>
      <c r="AB28" s="142"/>
      <c r="AC28" s="142"/>
      <c r="AD28" s="142"/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'C Financial'!D15</f>
        <v>166949938.67800835</v>
      </c>
      <c r="C29" s="142">
        <f ca="1">C28</f>
        <v>0</v>
      </c>
      <c r="D29" s="142">
        <f ca="1">IF(SUM($C$28:D$28)&lt;=$B29,SUM($C$28:D$28),0)</f>
        <v>610649.53840000008</v>
      </c>
      <c r="E29" s="142">
        <f ca="1">IF(SUM($C$28:E28)&lt;=$B29,SUM($C$28:E28),0)</f>
        <v>1984610.9998000003</v>
      </c>
      <c r="F29" s="142">
        <f ca="1">IF(SUM($C$28:F28)&lt;=$B29,SUM($C$28:F28),0)</f>
        <v>3358572.4612000007</v>
      </c>
      <c r="G29" s="142">
        <f ca="1">IF(SUM($C$28:G28)&lt;=$B29,SUM($C$28:G28),0)</f>
        <v>4732533.9226000011</v>
      </c>
      <c r="H29" s="142">
        <f ca="1">IF(SUM($C$28:H28)&lt;=$B29,SUM($C$28:H28),0)</f>
        <v>6106495.3840000015</v>
      </c>
      <c r="I29" s="142">
        <f ca="1">IF(SUM($C$28:I28)&lt;=$B29,SUM($C$28:I28),0)</f>
        <v>7480456.8454000019</v>
      </c>
      <c r="J29" s="142">
        <f ca="1">IF(SUM($C$28:J28)&lt;=$B29,SUM($C$28:J28),0)</f>
        <v>27749390.530853365</v>
      </c>
      <c r="K29" s="142">
        <f ca="1">IF(SUM($C$28:K28)&lt;=$B29,SUM($C$28:K28),0)</f>
        <v>66359185.404806286</v>
      </c>
      <c r="L29" s="142">
        <f ca="1">IF(SUM($C$28:L28)&lt;=$B29,SUM($C$28:L28),0)</f>
        <v>105305433.90953434</v>
      </c>
      <c r="M29" s="142">
        <f ca="1">IF(SUM($C$28:M28)&lt;=$B29,SUM($C$28:M28),0)</f>
        <v>157431594.3749328</v>
      </c>
      <c r="N29" s="142">
        <f ca="1">IF(SUM($C$28:N28)&lt;=$B29,SUM($C$28:N28),0)</f>
        <v>166949938.67800835</v>
      </c>
      <c r="O29" s="142">
        <f ca="1">IF(SUM($C$28:O28)&lt;=$B29,SUM($C$28:O28),0)</f>
        <v>166949938.67800835</v>
      </c>
      <c r="P29" s="142">
        <f ca="1">IF(SUM($C$28:P28)&lt;=$B29,SUM($C$28:P28),0)</f>
        <v>166949938.67800835</v>
      </c>
      <c r="Q29" s="142">
        <f ca="1">IF(SUM($C$28:Q28)&lt;=$B29,SUM($C$28:Q28),0)</f>
        <v>166949938.67800835</v>
      </c>
      <c r="R29" s="142">
        <f ca="1">IF(SUM($C$28:R28)&lt;=$B29,SUM($C$28:R28),0)</f>
        <v>166949938.67800835</v>
      </c>
      <c r="S29" s="142"/>
      <c r="T29" s="142"/>
      <c r="U29" s="142"/>
      <c r="V29" s="142"/>
      <c r="W29" s="142"/>
      <c r="X29" s="142"/>
      <c r="Y29" s="142"/>
      <c r="Z29" s="142"/>
      <c r="AA29" s="142"/>
      <c r="AB29" s="142"/>
      <c r="AC29" s="142"/>
      <c r="AD29" s="142"/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'C Financial'!D14</f>
        <v>166949938.67800835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PMT(0.065,30,(B30))</f>
        <v>-12784599.2870735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'C Financial'!D21+'C Financial'!D22</f>
        <v>278936733.66075706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SUM(C35:AU35)</f>
        <v>111986794.98274872</v>
      </c>
      <c r="C35" s="170">
        <f t="shared" ref="C35:Q35" ca="1" si="22">-C28</f>
        <v>0</v>
      </c>
      <c r="D35" s="170">
        <f t="shared" ca="1" si="22"/>
        <v>-610649.53840000008</v>
      </c>
      <c r="E35" s="170">
        <f t="shared" ca="1" si="22"/>
        <v>-1373961.4614000001</v>
      </c>
      <c r="F35" s="170">
        <f t="shared" ca="1" si="22"/>
        <v>-1373961.4614000001</v>
      </c>
      <c r="G35" s="170">
        <f t="shared" ca="1" si="22"/>
        <v>-1373961.4614000001</v>
      </c>
      <c r="H35" s="170">
        <f t="shared" ca="1" si="22"/>
        <v>-1373961.4614000001</v>
      </c>
      <c r="I35" s="170">
        <f t="shared" ca="1" si="22"/>
        <v>-1373961.4614000001</v>
      </c>
      <c r="J35" s="170">
        <f t="shared" ca="1" si="22"/>
        <v>-20268933.685453363</v>
      </c>
      <c r="K35" s="170">
        <f t="shared" ca="1" si="22"/>
        <v>-38609794.873952925</v>
      </c>
      <c r="L35" s="170">
        <f t="shared" ca="1" si="22"/>
        <v>-38946248.504728049</v>
      </c>
      <c r="M35" s="170">
        <f t="shared" ca="1" si="22"/>
        <v>-52126160.465398453</v>
      </c>
      <c r="N35" s="170">
        <f t="shared" ca="1" si="22"/>
        <v>-9518344.303075552</v>
      </c>
      <c r="O35" s="170">
        <f t="shared" ca="1" si="22"/>
        <v>0</v>
      </c>
      <c r="P35" s="170">
        <f t="shared" ca="1" si="22"/>
        <v>0</v>
      </c>
      <c r="Q35" s="170">
        <f t="shared" ca="1" si="22"/>
        <v>0</v>
      </c>
      <c r="R35" s="170">
        <f t="shared" ref="R35" ca="1" si="23">-R28</f>
        <v>0</v>
      </c>
      <c r="S35" s="171">
        <f ca="1">B34</f>
        <v>278936733.66075706</v>
      </c>
      <c r="T35" s="170"/>
      <c r="U35" s="170"/>
      <c r="V35" s="171"/>
      <c r="W35" s="170"/>
      <c r="X35" s="170"/>
      <c r="Y35" s="170"/>
      <c r="Z35" s="170"/>
      <c r="AA35" s="170"/>
      <c r="AB35" s="170"/>
      <c r="AC35" s="170"/>
      <c r="AD35" s="170"/>
      <c r="AE35" s="170"/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7.2064925853976947E-2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0.32094383011761285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6"/>
      <c r="R37" s="176"/>
      <c r="S37" s="176"/>
      <c r="T37" s="176"/>
      <c r="U37" s="176"/>
      <c r="V37" s="177"/>
      <c r="W37" s="176"/>
      <c r="X37" s="176"/>
      <c r="Y37" s="176"/>
      <c r="Z37" s="176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6"/>
      <c r="R38" s="176"/>
      <c r="S38" s="176"/>
      <c r="T38" s="176"/>
      <c r="U38" s="176"/>
      <c r="V38" s="177"/>
      <c r="W38" s="176"/>
      <c r="X38" s="176"/>
      <c r="Y38" s="176"/>
      <c r="Z38" s="176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'C Financial'!D21-B26</f>
        <v>445886672.33876538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6"/>
      <c r="R39" s="176"/>
      <c r="S39" s="176"/>
      <c r="T39" s="176"/>
      <c r="U39" s="176"/>
      <c r="V39" s="177"/>
      <c r="W39" s="176"/>
      <c r="X39" s="176"/>
      <c r="Y39" s="176"/>
      <c r="Z39" s="176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111986794.98274863</v>
      </c>
      <c r="C40" s="142">
        <f t="shared" ref="C40:V40" ca="1" si="24">-C25</f>
        <v>0</v>
      </c>
      <c r="D40" s="142">
        <f t="shared" ca="1" si="24"/>
        <v>-610649.53840000008</v>
      </c>
      <c r="E40" s="142">
        <f t="shared" ca="1" si="24"/>
        <v>-1373961.4614000001</v>
      </c>
      <c r="F40" s="142">
        <f t="shared" ca="1" si="24"/>
        <v>-1373961.4614000001</v>
      </c>
      <c r="G40" s="142">
        <f t="shared" ca="1" si="24"/>
        <v>-1373961.4614000001</v>
      </c>
      <c r="H40" s="142">
        <f t="shared" ca="1" si="24"/>
        <v>-1373961.4614000001</v>
      </c>
      <c r="I40" s="142">
        <f t="shared" ca="1" si="24"/>
        <v>-1373961.4614000001</v>
      </c>
      <c r="J40" s="142">
        <f t="shared" ca="1" si="24"/>
        <v>-20268933.685453363</v>
      </c>
      <c r="K40" s="142">
        <f t="shared" ca="1" si="24"/>
        <v>-38609794.873952925</v>
      </c>
      <c r="L40" s="142">
        <f t="shared" ca="1" si="24"/>
        <v>-38946248.504728049</v>
      </c>
      <c r="M40" s="142">
        <f t="shared" ca="1" si="24"/>
        <v>-52126160.465398453</v>
      </c>
      <c r="N40" s="142">
        <f t="shared" ca="1" si="24"/>
        <v>-64312292.941173591</v>
      </c>
      <c r="O40" s="142">
        <f t="shared" ca="1" si="24"/>
        <v>-30299710.036948718</v>
      </c>
      <c r="P40" s="142">
        <f t="shared" ca="1" si="24"/>
        <v>-23286758.205845542</v>
      </c>
      <c r="Q40" s="142">
        <f t="shared" ca="1" si="24"/>
        <v>-23279829.993240282</v>
      </c>
      <c r="R40" s="142">
        <f t="shared" ca="1" si="24"/>
        <v>-19842560.859085247</v>
      </c>
      <c r="S40" s="174">
        <f ca="1">B39-S25</f>
        <v>430439541.39397484</v>
      </c>
      <c r="T40" s="142">
        <f t="shared" si="24"/>
        <v>0</v>
      </c>
      <c r="U40" s="142">
        <f t="shared" si="24"/>
        <v>0</v>
      </c>
      <c r="V40" s="142">
        <f t="shared" si="24"/>
        <v>0</v>
      </c>
      <c r="W40" s="142"/>
      <c r="X40" s="142"/>
      <c r="Y40" s="142"/>
      <c r="Z40" s="142"/>
      <c r="AA40" s="142"/>
      <c r="AB40" s="142"/>
      <c r="AC40" s="142"/>
      <c r="AD40" s="142"/>
      <c r="AE40" s="142"/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5.4831102226384765E-2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0.23803153409293598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276" priority="1" operator="equal">
      <formula>#REF!</formula>
    </cfRule>
    <cfRule type="cellIs" dxfId="275" priority="2" operator="equal">
      <formula>#REF!</formula>
    </cfRule>
    <cfRule type="cellIs" dxfId="274" priority="3" operator="equal">
      <formula>#REF!</formula>
    </cfRule>
    <cfRule type="cellIs" dxfId="273" priority="4" operator="equal">
      <formula>#REF!</formula>
    </cfRule>
  </conditionalFormatting>
  <conditionalFormatting sqref="AT4:AU4">
    <cfRule type="cellIs" dxfId="272" priority="5" operator="equal">
      <formula>#REF!</formula>
    </cfRule>
    <cfRule type="cellIs" dxfId="271" priority="6" operator="equal">
      <formula>#REF!</formula>
    </cfRule>
    <cfRule type="cellIs" dxfId="270" priority="7" operator="equal">
      <formula>#REF!</formula>
    </cfRule>
    <cfRule type="cellIs" dxfId="269" priority="8" operator="equal">
      <formula>#REF!</formula>
    </cfRule>
    <cfRule type="cellIs" dxfId="268" priority="9" operator="equal">
      <formula>#REF!</formula>
    </cfRule>
    <cfRule type="cellIs" dxfId="267" priority="10" operator="equal">
      <formula>#REF!</formula>
    </cfRule>
    <cfRule type="cellIs" dxfId="266" priority="11" operator="equal">
      <formula>#REF!</formula>
    </cfRule>
    <cfRule type="cellIs" dxfId="265" priority="12" operator="equal">
      <formula>#REF!</formula>
    </cfRule>
  </conditionalFormatting>
  <conditionalFormatting sqref="AV3:AX3">
    <cfRule type="cellIs" dxfId="264" priority="13" operator="equal">
      <formula>#REF!</formula>
    </cfRule>
    <cfRule type="cellIs" dxfId="263" priority="14" operator="equal">
      <formula>#REF!</formula>
    </cfRule>
    <cfRule type="cellIs" dxfId="262" priority="15" operator="equal">
      <formula>#REF!</formula>
    </cfRule>
    <cfRule type="cellIs" dxfId="261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5E1204-62F0-46FC-9E23-4A3931AC56BE}">
  <sheetPr>
    <tabColor theme="6" tint="-0.249977111117893"/>
    <pageSetUpPr fitToPage="1"/>
  </sheetPr>
  <dimension ref="A1:AC164"/>
  <sheetViews>
    <sheetView showGridLines="0" zoomScale="70" zoomScaleNormal="70" zoomScaleSheetLayoutView="90" workbookViewId="0">
      <selection activeCell="A7" sqref="A7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197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0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0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169217631</v>
      </c>
      <c r="C7" s="637" t="s">
        <v>381</v>
      </c>
      <c r="D7" s="545">
        <f>SUM(E131,K131,Q131,W131)</f>
        <v>280290746.13333333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16921763.100000001</v>
      </c>
      <c r="C8" s="637" t="s">
        <v>321</v>
      </c>
      <c r="D8" s="545">
        <f>SUM(E130:E131,K130:K131,Q130:Q131,W130:W131)</f>
        <v>280290746.13333333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Program'!$F$39-'Development Program'!F40</f>
        <v>-9952380.9523809515</v>
      </c>
      <c r="C11" s="25" t="s">
        <v>103</v>
      </c>
      <c r="D11" s="354">
        <f ca="1">IF(B31&lt;0,B31,0)</f>
        <v>-16319841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9306969.7050000001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3722787.8820000002</v>
      </c>
      <c r="C13" s="25" t="s">
        <v>104</v>
      </c>
      <c r="D13" s="354">
        <f ca="1">B27+D11</f>
        <v>215608266.49820241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v>0.6</v>
      </c>
      <c r="D14" s="355">
        <f ca="1">C14*B$27</f>
        <v>139156864.49892145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7445575.7640000004</v>
      </c>
      <c r="C15" s="382">
        <f>1-C14</f>
        <v>0.4</v>
      </c>
      <c r="D15" s="356">
        <f ca="1">C15*B$27</f>
        <v>92771242.999280974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5584181.8229999999</v>
      </c>
      <c r="C16" s="383" t="s">
        <v>105</v>
      </c>
      <c r="D16" s="93">
        <f ca="1">D14+D15</f>
        <v>231928107.49820244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9306969.7050000001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 t="shared" si="0"/>
        <v>0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2792090.9114999999</v>
      </c>
      <c r="C19" s="385" t="s">
        <v>108</v>
      </c>
      <c r="D19" s="130">
        <f>D7</f>
        <v>280290746.13333333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1600000</v>
      </c>
      <c r="C20" s="386">
        <v>0.02</v>
      </c>
      <c r="D20" s="131">
        <f>-C20*D19</f>
        <v>-5605814.922666667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0</v>
      </c>
      <c r="C21" s="387" t="s">
        <v>109</v>
      </c>
      <c r="D21" s="94">
        <f>D19+D20</f>
        <v>274684931.21066666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0</v>
      </c>
      <c r="C22" s="385" t="s">
        <v>110</v>
      </c>
      <c r="D22" s="130">
        <f ca="1">-D14</f>
        <v>-139156864.49892145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0</v>
      </c>
      <c r="C23" s="388" t="s">
        <v>111</v>
      </c>
      <c r="D23" s="132">
        <f ca="1">-D15</f>
        <v>-92771242.999280974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 ca="1">SUM(C150,I150,O150,U150)</f>
        <v>2176924.3960552495</v>
      </c>
      <c r="C24" s="389" t="s">
        <v>112</v>
      </c>
      <c r="D24" s="95">
        <f ca="1">ROUND(D21+D22+D23,-2)</f>
        <v>42756800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 thickBot="1">
      <c r="A25" s="642" t="s">
        <v>58</v>
      </c>
      <c r="B25" s="396">
        <f ca="1">SUM(C151,I151,O151,U151)</f>
        <v>10158980.5149245</v>
      </c>
      <c r="C25" s="390" t="s">
        <v>113</v>
      </c>
      <c r="D25" s="378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3646613.6491035828</v>
      </c>
      <c r="C26" s="391"/>
      <c r="D26" s="129" t="s">
        <v>107</v>
      </c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SUM(B7:B26)</f>
        <v>231928107.49820241</v>
      </c>
      <c r="C27" s="392" t="s">
        <v>114</v>
      </c>
      <c r="D27" s="357">
        <f ca="1">(D24+D15)/D15</f>
        <v>1.4608841987848691</v>
      </c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0</v>
      </c>
      <c r="C28" s="393" t="s">
        <v>115</v>
      </c>
      <c r="D28" s="358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0.20852426709645688</v>
      </c>
      <c r="C29" s="393" t="s">
        <v>116</v>
      </c>
      <c r="D29" s="358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0.3</v>
      </c>
      <c r="B30" s="120">
        <f>D8/(1+A30)</f>
        <v>215608266.25641024</v>
      </c>
      <c r="C30" s="392" t="s">
        <v>117</v>
      </c>
      <c r="D30" s="359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0.3</v>
      </c>
      <c r="B31" s="120">
        <f ca="1">ROUND((D8/(1+A31))-B27,0)</f>
        <v>-16319841</v>
      </c>
      <c r="C31" s="394" t="s">
        <v>118</v>
      </c>
      <c r="D31" s="360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244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278773.7</v>
      </c>
      <c r="E34" s="230"/>
      <c r="G34" s="515" t="s">
        <v>259</v>
      </c>
      <c r="H34" s="516" t="s">
        <v>245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257407.7</v>
      </c>
      <c r="K34" s="230"/>
      <c r="L34" s="328"/>
      <c r="M34" s="515" t="s">
        <v>259</v>
      </c>
      <c r="N34" s="516"/>
      <c r="O34" s="319" t="s">
        <v>203</v>
      </c>
      <c r="P34" s="320">
        <f>IFERROR(INDEX('Building Configuration'!$B$2:$Z$45,MATCH(N$34,'Building Configuration'!$C$2:$C$45,0),MATCH("Total",'Building Configuration'!$B$2:$Z$2,0)),0)</f>
        <v>0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-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0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-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0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Multifamily-Market-Sale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192352.59000000003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Multifamily-Market-Sale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153721.89000000001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-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0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Multifamily-Affordable-Sale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21372.510000000006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Multifamily-Affordable-Sale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17080.210000000003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-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0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-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YES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65048.6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YES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86605.6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-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0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1</v>
      </c>
      <c r="C44" s="460">
        <v>0</v>
      </c>
      <c r="D44" s="322"/>
      <c r="E44" s="231"/>
      <c r="F44" s="223"/>
      <c r="G44" s="6" t="s">
        <v>315</v>
      </c>
      <c r="H44" s="459">
        <v>1</v>
      </c>
      <c r="I44" s="460">
        <v>0</v>
      </c>
      <c r="J44" s="322"/>
      <c r="K44" s="231"/>
      <c r="L44" s="212"/>
      <c r="M44" s="6" t="s">
        <v>315</v>
      </c>
      <c r="N44" s="459">
        <v>0.8</v>
      </c>
      <c r="O44" s="460">
        <v>0.2</v>
      </c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-</v>
      </c>
      <c r="C46" s="510" t="s">
        <v>298</v>
      </c>
      <c r="D46" s="308">
        <f>D$35*E$46</f>
        <v>0</v>
      </c>
      <c r="E46" s="303">
        <f>Assumptions!$C$44</f>
        <v>0.75</v>
      </c>
      <c r="F46" s="296"/>
      <c r="G46" s="301" t="s">
        <v>293</v>
      </c>
      <c r="H46" s="302" t="str">
        <f>H$35</f>
        <v>-</v>
      </c>
      <c r="I46" s="510" t="s">
        <v>298</v>
      </c>
      <c r="J46" s="308">
        <f>J$35*K$46</f>
        <v>0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0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/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/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0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0</v>
      </c>
      <c r="F49" s="296"/>
      <c r="G49" s="109" t="s">
        <v>72</v>
      </c>
      <c r="H49" s="255">
        <f>H$47*INDEX(Assumptions!$C$52:$C$55,MATCH(G49,Assumptions!$A$52:$A$55,0))</f>
        <v>0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0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0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0</v>
      </c>
      <c r="F50" s="296"/>
      <c r="G50" s="106" t="s">
        <v>73</v>
      </c>
      <c r="H50" s="255">
        <f>H$47*INDEX(Assumptions!$C$52:$C$55,MATCH(G50,Assumptions!$A$52:$A$55,0))</f>
        <v>0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0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0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0</v>
      </c>
      <c r="F51" s="297"/>
      <c r="G51" s="109" t="s">
        <v>74</v>
      </c>
      <c r="H51" s="255">
        <f>H$47*INDEX(Assumptions!$C$52:$C$55,MATCH(G51,Assumptions!$A$52:$A$55,0))</f>
        <v>0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0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0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0</v>
      </c>
      <c r="F52" s="223"/>
      <c r="G52" s="109" t="s">
        <v>75</v>
      </c>
      <c r="H52" s="255">
        <f>H$47*INDEX(Assumptions!$C$52:$C$55,MATCH(G52,Assumptions!$A$52:$A$55,0))</f>
        <v>0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0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0</v>
      </c>
      <c r="C53" s="9">
        <f>SUMPRODUCT(B49:B52,C49:C52)</f>
        <v>0</v>
      </c>
      <c r="D53" s="225"/>
      <c r="E53" s="226">
        <f>SUM(E49:E52)</f>
        <v>0</v>
      </c>
      <c r="F53" s="297"/>
      <c r="G53" s="7" t="s">
        <v>76</v>
      </c>
      <c r="H53" s="8">
        <f>SUM(H49:H52)</f>
        <v>0</v>
      </c>
      <c r="I53" s="9">
        <f>SUMPRODUCT(H49:H52,I49:I52)</f>
        <v>0</v>
      </c>
      <c r="J53" s="225"/>
      <c r="K53" s="226">
        <f>SUM(K49:K52)</f>
        <v>0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0</v>
      </c>
      <c r="D54" s="227">
        <f>IFERROR((E53/12)/C53,0)</f>
        <v>0</v>
      </c>
      <c r="E54" s="228"/>
      <c r="F54" s="317"/>
      <c r="G54" s="10" t="s">
        <v>77</v>
      </c>
      <c r="H54" s="224"/>
      <c r="I54" s="11">
        <f>IFERROR(I53/H53,0)</f>
        <v>0</v>
      </c>
      <c r="J54" s="227">
        <f>IFERROR((K53/12)/I53,0)</f>
        <v>0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Multifamily-Market-Sale</v>
      </c>
      <c r="C55" s="510" t="s">
        <v>348</v>
      </c>
      <c r="D55" s="509">
        <f>D$36*E$55</f>
        <v>144264.4425</v>
      </c>
      <c r="E55" s="303">
        <f>Assumptions!$C$44</f>
        <v>0.75</v>
      </c>
      <c r="F55" s="317"/>
      <c r="G55" s="301" t="s">
        <v>290</v>
      </c>
      <c r="H55" s="302" t="str">
        <f>H$36</f>
        <v>Multifamily-Market-Sale</v>
      </c>
      <c r="I55" s="510" t="s">
        <v>348</v>
      </c>
      <c r="J55" s="509">
        <f>J$36*K$55</f>
        <v>115291.41750000001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94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75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56.4</v>
      </c>
      <c r="C58" s="110">
        <f>Assumptions!$C$12</f>
        <v>1181.7777777777778</v>
      </c>
      <c r="D58" s="108">
        <f>Assumptions!$D$13</f>
        <v>650</v>
      </c>
      <c r="E58" s="190">
        <f>B58*C58*D58</f>
        <v>43323973.333333328</v>
      </c>
      <c r="F58" s="211"/>
      <c r="G58" s="109" t="s">
        <v>74</v>
      </c>
      <c r="H58" s="255">
        <f>H$56*INDEX(Assumptions!$C$58:$C$59,MATCH(G58,Assumptions!$A$58:$A$59,0))</f>
        <v>45</v>
      </c>
      <c r="I58" s="110">
        <f>Assumptions!$C$12</f>
        <v>1181.7777777777778</v>
      </c>
      <c r="J58" s="108">
        <f>Assumptions!$D$13</f>
        <v>650</v>
      </c>
      <c r="K58" s="190">
        <f>H58*I58*J58</f>
        <v>34567000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37.6</v>
      </c>
      <c r="C59" s="107">
        <f>Assumptions!$C$15</f>
        <v>2056</v>
      </c>
      <c r="D59" s="108">
        <f>Assumptions!$D$15</f>
        <v>1400</v>
      </c>
      <c r="E59" s="190">
        <f>B59*C59*D59</f>
        <v>108227840.00000001</v>
      </c>
      <c r="F59" s="211"/>
      <c r="G59" s="109" t="s">
        <v>75</v>
      </c>
      <c r="H59" s="255">
        <f>H$56*INDEX(Assumptions!$C$58:$C$59,MATCH(G59,Assumptions!$A$58:$A$59,0))</f>
        <v>30</v>
      </c>
      <c r="I59" s="107">
        <f>Assumptions!$C$15</f>
        <v>2056</v>
      </c>
      <c r="J59" s="108">
        <f>Assumptions!$D$15</f>
        <v>1400</v>
      </c>
      <c r="K59" s="190">
        <f>H59*I59*J59</f>
        <v>86352000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94</v>
      </c>
      <c r="C60" s="9">
        <f>SUMPRODUCT(B58:B59,C58:C59)</f>
        <v>143957.86666666667</v>
      </c>
      <c r="D60" s="225"/>
      <c r="E60" s="226">
        <f>SUM(E58:E59)</f>
        <v>151551813.33333334</v>
      </c>
      <c r="F60" s="211"/>
      <c r="G60" s="7" t="s">
        <v>76</v>
      </c>
      <c r="H60" s="8">
        <f>SUM(H58:H59)</f>
        <v>75</v>
      </c>
      <c r="I60" s="9">
        <f>SUMPRODUCT(H58:H59,I58:I59)</f>
        <v>114860</v>
      </c>
      <c r="J60" s="225"/>
      <c r="K60" s="226">
        <f>SUM(K58:K59)</f>
        <v>120919000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1531.4666666666667</v>
      </c>
      <c r="D61" s="227">
        <f>IFERROR((E60/12)/C60,0)</f>
        <v>87.729264611991411</v>
      </c>
      <c r="E61" s="228"/>
      <c r="F61" s="211"/>
      <c r="G61" s="10" t="s">
        <v>77</v>
      </c>
      <c r="H61" s="224"/>
      <c r="I61" s="11">
        <f>IFERROR(I60/H60,0)</f>
        <v>1531.4666666666667</v>
      </c>
      <c r="J61" s="227">
        <f>IFERROR((K60/12)/I60,0)</f>
        <v>87.729264611991411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-</v>
      </c>
      <c r="C62" s="510" t="s">
        <v>298</v>
      </c>
      <c r="D62" s="308">
        <f>D$37*E$62</f>
        <v>0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0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0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0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0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0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0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0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0</v>
      </c>
      <c r="C69" s="9">
        <f>SUMPRODUCT(B65:B68,C65:C68)</f>
        <v>0</v>
      </c>
      <c r="D69" s="225"/>
      <c r="E69" s="226">
        <f>SUM(E65:E68)</f>
        <v>0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0</v>
      </c>
      <c r="D70" s="227">
        <f>IFERROR((E69/12)/C69,0)</f>
        <v>0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Multifamily-Affordable-Sale</v>
      </c>
      <c r="C71" s="510" t="s">
        <v>348</v>
      </c>
      <c r="D71" s="308">
        <f>D$38*E$71</f>
        <v>16029.382500000003</v>
      </c>
      <c r="E71" s="303">
        <f>Assumptions!$C$44</f>
        <v>0.75</v>
      </c>
      <c r="F71" s="211"/>
      <c r="G71" s="301" t="s">
        <v>343</v>
      </c>
      <c r="H71" s="302" t="str">
        <f>H$38</f>
        <v>Multifamily-Affordable-Sale</v>
      </c>
      <c r="I71" s="510" t="s">
        <v>348</v>
      </c>
      <c r="J71" s="308">
        <f>J$38*K$71</f>
        <v>12810.157500000001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16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13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8</v>
      </c>
      <c r="C74" s="110">
        <f>Assumptions!$C$9</f>
        <v>768.77777777777783</v>
      </c>
      <c r="D74" s="108">
        <f>Assumptions!$D$23</f>
        <v>750</v>
      </c>
      <c r="E74" s="190">
        <f>B74*C74*D74</f>
        <v>4612666.666666667</v>
      </c>
      <c r="F74" s="211"/>
      <c r="G74" s="109" t="s">
        <v>73</v>
      </c>
      <c r="H74" s="255">
        <f>H$72*INDEX(Assumptions!$C$61:$C$62,MATCH(G74,Assumptions!$A$61:$A$62,0))</f>
        <v>6.5</v>
      </c>
      <c r="I74" s="110">
        <f>Assumptions!$C$9</f>
        <v>768.77777777777783</v>
      </c>
      <c r="J74" s="108">
        <f>Assumptions!$D$23</f>
        <v>750</v>
      </c>
      <c r="K74" s="190">
        <f>H74*I74*J74</f>
        <v>3747791.6666666665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8</v>
      </c>
      <c r="C75" s="107">
        <f>Assumptions!$C$12</f>
        <v>1181.7777777777778</v>
      </c>
      <c r="D75" s="108">
        <f>Assumptions!$D$26</f>
        <v>650</v>
      </c>
      <c r="E75" s="190">
        <f>B75*C75*D75</f>
        <v>6145244.444444445</v>
      </c>
      <c r="F75" s="211"/>
      <c r="G75" s="109" t="s">
        <v>74</v>
      </c>
      <c r="H75" s="255">
        <f>H$72*INDEX(Assumptions!$C$61:$C$62,MATCH(G75,Assumptions!$A$61:$A$62,0))</f>
        <v>6.5</v>
      </c>
      <c r="I75" s="107">
        <f>Assumptions!$C$12</f>
        <v>1181.7777777777778</v>
      </c>
      <c r="J75" s="108">
        <f>Assumptions!$D$26</f>
        <v>650</v>
      </c>
      <c r="K75" s="190">
        <f>H75*I75*J75</f>
        <v>4993011.111111111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16</v>
      </c>
      <c r="C76" s="9">
        <f>SUMPRODUCT(B74:B75,C74:C75)</f>
        <v>15604.444444444445</v>
      </c>
      <c r="D76" s="225"/>
      <c r="E76" s="226">
        <f>SUM(E74:E75)</f>
        <v>10757911.111111112</v>
      </c>
      <c r="F76" s="211"/>
      <c r="G76" s="7" t="s">
        <v>76</v>
      </c>
      <c r="H76" s="8">
        <f>SUM(H74:H75)</f>
        <v>13</v>
      </c>
      <c r="I76" s="9">
        <f>SUMPRODUCT(H74:H75,I74:I75)</f>
        <v>12678.611111111111</v>
      </c>
      <c r="J76" s="225"/>
      <c r="K76" s="226">
        <f>SUM(K74:K75)</f>
        <v>8740802.777777778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975.27777777777783</v>
      </c>
      <c r="D77" s="227">
        <f>IFERROR((E76/12)/C76,0)</f>
        <v>57.451106047659742</v>
      </c>
      <c r="E77" s="228"/>
      <c r="F77" s="211"/>
      <c r="G77" s="10" t="s">
        <v>77</v>
      </c>
      <c r="H77" s="224"/>
      <c r="I77" s="11">
        <f>IFERROR(I76/H76,0)</f>
        <v>975.27777777777783</v>
      </c>
      <c r="J77" s="227">
        <f>IFERROR((K76/12)/I76,0)</f>
        <v>57.451106047659735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-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-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-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-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0</v>
      </c>
      <c r="C89" s="218">
        <f>IFERROR(B89*INDEX(Assumptions!$C$46:$C$47,MATCH(A89,Assumptions!$A$46:$A$47,0)),0)</f>
        <v>0</v>
      </c>
      <c r="D89" s="219">
        <f>IF(C89&gt;0,INDEX(Assumptions!$F$5:$F$6,MATCH(A89,Assumptions!$E$5:$E$6,0)),0)</f>
        <v>0</v>
      </c>
      <c r="E89" s="220">
        <f>C89*D89*12</f>
        <v>0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0</v>
      </c>
      <c r="C91" s="191">
        <f>SUM(C89:C90)</f>
        <v>0</v>
      </c>
      <c r="D91" s="188">
        <f>IF(B91=0,0,E91/B91)</f>
        <v>0</v>
      </c>
      <c r="E91" s="189">
        <f>SUM(E89:E90)</f>
        <v>0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0</v>
      </c>
      <c r="O91" s="191">
        <f>SUM(O89:O90)</f>
        <v>0</v>
      </c>
      <c r="P91" s="188">
        <f>IF(N91=0,0,Q91/N91)</f>
        <v>0</v>
      </c>
      <c r="Q91" s="189">
        <f>SUM(Q89:Q90)</f>
        <v>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65048.6</v>
      </c>
      <c r="C103" s="295">
        <f>IF(B103=0,0,IFERROR((B103/Assumptions!$C$82)-1,0))</f>
        <v>400.53456790123454</v>
      </c>
      <c r="D103" s="334"/>
      <c r="E103" s="187"/>
      <c r="G103" s="341"/>
      <c r="H103" s="335">
        <f>J43</f>
        <v>86605.6</v>
      </c>
      <c r="I103" s="295">
        <f>IF(H103=0,0,IFERROR((H103/Assumptions!$C$82)-1,0))</f>
        <v>533.60246913580249</v>
      </c>
      <c r="J103" s="334"/>
      <c r="K103" s="187"/>
      <c r="M103" s="341"/>
      <c r="N103" s="335">
        <f>P43</f>
        <v>0</v>
      </c>
      <c r="O103" s="295">
        <f>IF(N103=0,0,IFERROR((N103/Assumptions!$C$82)-1,0))</f>
        <v>0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65048.6</v>
      </c>
      <c r="C104" s="333">
        <f>IF(B104=0,0,IFERROR((B104/Assumptions!$C$82)-1,0))</f>
        <v>400.53456790123454</v>
      </c>
      <c r="D104" s="118">
        <f>Assumptions!$C85</f>
        <v>250</v>
      </c>
      <c r="E104" s="220">
        <f>IF(B$56&gt;0,0,IF(C104&lt;0,0,C104*D104*12))</f>
        <v>0</v>
      </c>
      <c r="G104" s="461" t="s">
        <v>79</v>
      </c>
      <c r="H104" s="336">
        <f>H$103*H44</f>
        <v>86605.6</v>
      </c>
      <c r="I104" s="333">
        <f>IF(H104=0,0,IFERROR((H104/Assumptions!$C$82)-1,0))</f>
        <v>533.60246913580249</v>
      </c>
      <c r="J104" s="118">
        <f>Assumptions!$C85</f>
        <v>250</v>
      </c>
      <c r="K104" s="220">
        <f>IF(H$56&gt;0,0,IF(I104&lt;0,0,I104*J104*12))</f>
        <v>0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Multifamily 1</v>
      </c>
      <c r="D107" s="256"/>
      <c r="E107" s="281"/>
      <c r="F107" s="13"/>
      <c r="G107" s="259" t="s">
        <v>81</v>
      </c>
      <c r="H107" s="260"/>
      <c r="I107" s="256" t="str">
        <f>H34</f>
        <v>Multifamily 2</v>
      </c>
      <c r="J107" s="256"/>
      <c r="K107" s="281"/>
      <c r="L107" s="13"/>
      <c r="M107" s="259" t="s">
        <v>81</v>
      </c>
      <c r="N107" s="260"/>
      <c r="O107" s="256">
        <f>N34</f>
        <v>0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0</v>
      </c>
      <c r="F109" s="13"/>
      <c r="G109" s="112" t="s">
        <v>268</v>
      </c>
      <c r="H109" s="113"/>
      <c r="I109" s="114"/>
      <c r="J109" s="262"/>
      <c r="K109" s="14">
        <f>SUM(K53,K69,K85)</f>
        <v>0</v>
      </c>
      <c r="L109" s="13"/>
      <c r="M109" s="112" t="s">
        <v>268</v>
      </c>
      <c r="N109" s="113"/>
      <c r="O109" s="114"/>
      <c r="P109" s="262"/>
      <c r="Q109" s="14">
        <f>SUM(Q53,Q69,Q85)</f>
        <v>0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0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0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0</v>
      </c>
      <c r="F112" s="13"/>
      <c r="G112" s="284" t="s">
        <v>275</v>
      </c>
      <c r="H112" s="273"/>
      <c r="I112" s="273"/>
      <c r="J112" s="267"/>
      <c r="K112" s="285">
        <f>SUM(K109:K111)</f>
        <v>0</v>
      </c>
      <c r="L112" s="13"/>
      <c r="M112" s="284" t="s">
        <v>275</v>
      </c>
      <c r="N112" s="273"/>
      <c r="O112" s="273"/>
      <c r="P112" s="267"/>
      <c r="Q112" s="285">
        <f>SUM(Q109:Q111)</f>
        <v>0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59"/>
      <c r="C115" s="116"/>
      <c r="D115" s="116"/>
      <c r="E115" s="289">
        <f>E104</f>
        <v>0</v>
      </c>
      <c r="F115" s="13"/>
      <c r="G115" s="288" t="s">
        <v>270</v>
      </c>
      <c r="H115" s="659"/>
      <c r="I115" s="116"/>
      <c r="J115" s="116"/>
      <c r="K115" s="289">
        <f>K104</f>
        <v>0</v>
      </c>
      <c r="L115" s="13"/>
      <c r="M115" s="288" t="s">
        <v>270</v>
      </c>
      <c r="N115" s="659"/>
      <c r="O115" s="116"/>
      <c r="P115" s="116"/>
      <c r="Q115" s="289">
        <f>Q104</f>
        <v>0</v>
      </c>
      <c r="R115" s="13"/>
      <c r="S115" s="288" t="s">
        <v>270</v>
      </c>
      <c r="T115" s="659"/>
      <c r="U115" s="116"/>
      <c r="V115" s="116"/>
      <c r="W115" s="289">
        <f>W104</f>
        <v>0</v>
      </c>
    </row>
    <row r="116" spans="1:25" ht="12.5">
      <c r="A116" s="288" t="s">
        <v>271</v>
      </c>
      <c r="B116" s="659"/>
      <c r="C116" s="116"/>
      <c r="D116" s="116"/>
      <c r="E116" s="289">
        <f>E105</f>
        <v>0</v>
      </c>
      <c r="F116" s="13"/>
      <c r="G116" s="288" t="s">
        <v>271</v>
      </c>
      <c r="H116" s="659"/>
      <c r="I116" s="116"/>
      <c r="J116" s="116"/>
      <c r="K116" s="289">
        <f>K105</f>
        <v>0</v>
      </c>
      <c r="L116" s="13"/>
      <c r="M116" s="288" t="s">
        <v>271</v>
      </c>
      <c r="N116" s="659"/>
      <c r="O116" s="116"/>
      <c r="P116" s="116"/>
      <c r="Q116" s="289">
        <f>Q105</f>
        <v>0</v>
      </c>
      <c r="R116" s="13"/>
      <c r="S116" s="288" t="s">
        <v>271</v>
      </c>
      <c r="T116" s="659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0</v>
      </c>
      <c r="F117" s="13"/>
      <c r="G117" s="288" t="s">
        <v>85</v>
      </c>
      <c r="H117" s="116"/>
      <c r="I117" s="116"/>
      <c r="J117" s="116"/>
      <c r="K117" s="289">
        <f>Assumptions!$H$17*K112</f>
        <v>0</v>
      </c>
      <c r="L117" s="13"/>
      <c r="M117" s="288" t="s">
        <v>85</v>
      </c>
      <c r="N117" s="116"/>
      <c r="O117" s="116"/>
      <c r="P117" s="116"/>
      <c r="Q117" s="289">
        <f>Assumptions!$H$17*Q112</f>
        <v>0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0</v>
      </c>
      <c r="F118" s="13"/>
      <c r="G118" s="264" t="s">
        <v>86</v>
      </c>
      <c r="H118" s="249"/>
      <c r="I118" s="268"/>
      <c r="J118" s="280"/>
      <c r="K118" s="250">
        <f>SUM(K115:K117)</f>
        <v>0</v>
      </c>
      <c r="L118" s="13"/>
      <c r="M118" s="264" t="s">
        <v>86</v>
      </c>
      <c r="N118" s="249"/>
      <c r="O118" s="268"/>
      <c r="P118" s="280"/>
      <c r="Q118" s="250">
        <f>SUM(Q115:Q117)</f>
        <v>0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0</v>
      </c>
      <c r="F119" s="13"/>
      <c r="G119" s="70">
        <v>0.05</v>
      </c>
      <c r="H119" s="251"/>
      <c r="I119" s="269"/>
      <c r="J119" s="279"/>
      <c r="K119" s="258">
        <f>-G119*K112</f>
        <v>0</v>
      </c>
      <c r="L119" s="13"/>
      <c r="M119" s="70">
        <v>0.05</v>
      </c>
      <c r="N119" s="251"/>
      <c r="O119" s="269"/>
      <c r="P119" s="279"/>
      <c r="Q119" s="258">
        <f>-M119*Q112</f>
        <v>0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0</v>
      </c>
      <c r="F120" s="13"/>
      <c r="G120" s="117" t="s">
        <v>87</v>
      </c>
      <c r="H120" s="15"/>
      <c r="I120" s="270"/>
      <c r="J120" s="278"/>
      <c r="K120" s="271">
        <f>K112+K118+K119</f>
        <v>0</v>
      </c>
      <c r="L120" s="13"/>
      <c r="M120" s="117" t="s">
        <v>87</v>
      </c>
      <c r="N120" s="15"/>
      <c r="O120" s="270"/>
      <c r="P120" s="278"/>
      <c r="Q120" s="271">
        <f>Q112+Q118+Q119</f>
        <v>0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0</v>
      </c>
      <c r="F122" s="13"/>
      <c r="G122" s="290" t="s">
        <v>89</v>
      </c>
      <c r="H122" s="274"/>
      <c r="I122" s="17"/>
      <c r="J122" s="17"/>
      <c r="K122" s="291">
        <f>-0.3*K112</f>
        <v>0</v>
      </c>
      <c r="L122" s="13"/>
      <c r="M122" s="290" t="s">
        <v>89</v>
      </c>
      <c r="N122" s="274"/>
      <c r="O122" s="17"/>
      <c r="P122" s="17"/>
      <c r="Q122" s="291">
        <f>-0.3*Q112</f>
        <v>0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0</v>
      </c>
      <c r="F123" s="13"/>
      <c r="G123" s="292" t="s">
        <v>90</v>
      </c>
      <c r="H123" s="261"/>
      <c r="I123" s="261"/>
      <c r="J123" s="261"/>
      <c r="K123" s="293">
        <f>K120+K122</f>
        <v>0</v>
      </c>
      <c r="L123" s="13"/>
      <c r="M123" s="292" t="s">
        <v>90</v>
      </c>
      <c r="N123" s="261"/>
      <c r="O123" s="261"/>
      <c r="P123" s="261"/>
      <c r="Q123" s="293">
        <f>Q120+Q122</f>
        <v>0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Multifamily 1</v>
      </c>
      <c r="D125" s="256"/>
      <c r="E125" s="281"/>
      <c r="F125" s="13"/>
      <c r="G125" s="259" t="s">
        <v>355</v>
      </c>
      <c r="H125" s="260"/>
      <c r="I125" s="256" t="str">
        <f>H34</f>
        <v>Multifamily 2</v>
      </c>
      <c r="J125" s="256"/>
      <c r="K125" s="281"/>
      <c r="L125" s="13"/>
      <c r="M125" s="259" t="s">
        <v>355</v>
      </c>
      <c r="N125" s="260"/>
      <c r="O125" s="256">
        <f>N34</f>
        <v>0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162309724.44444445</v>
      </c>
      <c r="F127" s="13"/>
      <c r="G127" s="482" t="s">
        <v>108</v>
      </c>
      <c r="H127" s="483"/>
      <c r="I127" s="483"/>
      <c r="J127" s="484"/>
      <c r="K127" s="484">
        <f>K60+K76</f>
        <v>129659802.77777778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6492388.9777777782</v>
      </c>
      <c r="F128" s="13"/>
      <c r="G128" s="486">
        <v>0.04</v>
      </c>
      <c r="H128" s="487"/>
      <c r="I128" s="487"/>
      <c r="J128" s="487"/>
      <c r="K128" s="488">
        <f>K127*G128</f>
        <v>5186392.111111111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Assumptions!H6</f>
        <v>8.5000000000000006E-2</v>
      </c>
      <c r="D130" s="521" t="s">
        <v>356</v>
      </c>
      <c r="E130" s="346">
        <f>E123/C130</f>
        <v>0</v>
      </c>
      <c r="F130" s="13"/>
      <c r="G130" s="522" t="s">
        <v>317</v>
      </c>
      <c r="H130" s="523" t="s">
        <v>91</v>
      </c>
      <c r="I130" s="524">
        <f>Assumptions!H6</f>
        <v>8.5000000000000006E-2</v>
      </c>
      <c r="J130" s="521" t="s">
        <v>356</v>
      </c>
      <c r="K130" s="346">
        <f>K123/I130</f>
        <v>0</v>
      </c>
      <c r="L130" s="13"/>
      <c r="M130" s="522" t="s">
        <v>317</v>
      </c>
      <c r="N130" s="523" t="s">
        <v>91</v>
      </c>
      <c r="O130" s="524">
        <f>Assumptions!H7</f>
        <v>0.11</v>
      </c>
      <c r="P130" s="521" t="s">
        <v>356</v>
      </c>
      <c r="Q130" s="346">
        <f>Q123/O130</f>
        <v>0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155817335.46666667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124473410.66666667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Assumptions!$F$12</f>
        <v>330</v>
      </c>
      <c r="C133" s="395">
        <f>B133*D34</f>
        <v>91995321</v>
      </c>
      <c r="F133" s="13"/>
      <c r="G133" s="88" t="s">
        <v>94</v>
      </c>
      <c r="H133" s="531">
        <f>Assumptions!$F$13</f>
        <v>300</v>
      </c>
      <c r="I133" s="395">
        <f>H133*J34</f>
        <v>77222310</v>
      </c>
      <c r="L133" s="13"/>
      <c r="M133" s="88" t="s">
        <v>94</v>
      </c>
      <c r="N133" s="531">
        <f>Assumptions!$F$13</f>
        <v>300</v>
      </c>
      <c r="O133" s="395">
        <f>N133*P34</f>
        <v>0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9199532.0999999996</v>
      </c>
      <c r="E134" s="211"/>
      <c r="G134" s="19" t="s">
        <v>34</v>
      </c>
      <c r="H134" s="624">
        <f>Assumptions!$F$22</f>
        <v>0.1</v>
      </c>
      <c r="I134" s="532">
        <f>H134*I133</f>
        <v>7722231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0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5059742.6550000003</v>
      </c>
      <c r="D138" s="603"/>
      <c r="G138" s="19" t="s">
        <v>36</v>
      </c>
      <c r="H138" s="626">
        <f>Assumptions!$F$23</f>
        <v>0.05</v>
      </c>
      <c r="I138" s="398">
        <f>H138*(I$133+I$134)</f>
        <v>4247227.05</v>
      </c>
      <c r="M138" s="19" t="s">
        <v>36</v>
      </c>
      <c r="N138" s="626">
        <f>Assumptions!$F$23</f>
        <v>0.05</v>
      </c>
      <c r="O138" s="398">
        <f>N138*(O$133+O$134)</f>
        <v>0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2023897.0619999999</v>
      </c>
      <c r="G139" s="397" t="s">
        <v>41</v>
      </c>
      <c r="H139" s="626">
        <f>Assumptions!$F$25</f>
        <v>0.02</v>
      </c>
      <c r="I139" s="398">
        <f>H139*(I$133+I$134)</f>
        <v>1698890.82</v>
      </c>
      <c r="M139" s="397" t="s">
        <v>41</v>
      </c>
      <c r="N139" s="626">
        <f>Assumptions!$F$25</f>
        <v>0.02</v>
      </c>
      <c r="O139" s="398">
        <f>N139*(O$133+O$134)</f>
        <v>0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4047794.1239999998</v>
      </c>
      <c r="G141" s="397" t="s">
        <v>45</v>
      </c>
      <c r="H141" s="626">
        <f>Assumptions!$F$27</f>
        <v>0.04</v>
      </c>
      <c r="I141" s="398">
        <f>H141*(I$133+I$134)</f>
        <v>3397781.64</v>
      </c>
      <c r="M141" s="397" t="s">
        <v>45</v>
      </c>
      <c r="N141" s="626">
        <f>Assumptions!$F$27</f>
        <v>0.04</v>
      </c>
      <c r="O141" s="398">
        <f>N141*(O$133+O$134)</f>
        <v>0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3035845.5929999999</v>
      </c>
      <c r="G142" s="397" t="s">
        <v>47</v>
      </c>
      <c r="H142" s="626">
        <f>Assumptions!$F$28</f>
        <v>0.03</v>
      </c>
      <c r="I142" s="398">
        <f>H142*(I$133+I$134)</f>
        <v>2548336.23</v>
      </c>
      <c r="M142" s="397" t="s">
        <v>47</v>
      </c>
      <c r="N142" s="626">
        <f>Assumptions!$F$28</f>
        <v>0.03</v>
      </c>
      <c r="O142" s="398">
        <f>N142*(O$133+O$134)</f>
        <v>0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5059742.6550000003</v>
      </c>
      <c r="G143" s="397" t="s">
        <v>48</v>
      </c>
      <c r="H143" s="626">
        <f>Assumptions!$F$29</f>
        <v>0.05</v>
      </c>
      <c r="I143" s="398">
        <f>H143*(I$133+I$134)</f>
        <v>4247227.05</v>
      </c>
      <c r="M143" s="397" t="s">
        <v>48</v>
      </c>
      <c r="N143" s="626">
        <f>Assumptions!$F$29</f>
        <v>0.05</v>
      </c>
      <c r="O143" s="398">
        <f>N143*(O$133+O$134)</f>
        <v>0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0</v>
      </c>
      <c r="G144" s="397" t="s">
        <v>96</v>
      </c>
      <c r="H144" s="627">
        <f>Assumptions!$F$30*Assumptions!$F$31</f>
        <v>1.35E-2</v>
      </c>
      <c r="I144" s="398">
        <f>H144*K130</f>
        <v>0</v>
      </c>
      <c r="M144" s="397" t="s">
        <v>96</v>
      </c>
      <c r="N144" s="627">
        <f>Assumptions!$F$30*Assumptions!$F$31</f>
        <v>1.35E-2</v>
      </c>
      <c r="O144" s="398">
        <f>N144*Q130</f>
        <v>0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1517922.7964999999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1274168.115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0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0</v>
      </c>
      <c r="G147" s="397" t="s">
        <v>54</v>
      </c>
      <c r="H147" s="628">
        <v>6</v>
      </c>
      <c r="I147" s="398">
        <f>-H147*(K122/12)</f>
        <v>0</v>
      </c>
      <c r="M147" s="397" t="s">
        <v>54</v>
      </c>
      <c r="N147" s="628">
        <v>6</v>
      </c>
      <c r="O147" s="398">
        <f>-N147*(Q122/12)</f>
        <v>0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70</v>
      </c>
      <c r="C148" s="398">
        <f>B148*SUM(C91,C96)</f>
        <v>0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0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0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0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v>1182775.559425198</v>
      </c>
      <c r="D150" s="635"/>
      <c r="G150" s="397" t="s">
        <v>57</v>
      </c>
      <c r="H150" s="631">
        <v>1.4999999999999999E-2</v>
      </c>
      <c r="I150" s="399">
        <v>994148.83663005172</v>
      </c>
      <c r="J150" s="635"/>
      <c r="M150" s="397" t="s">
        <v>57</v>
      </c>
      <c r="N150" s="631">
        <v>1.4999999999999999E-2</v>
      </c>
      <c r="O150" s="399">
        <f ca="1">N150*N162</f>
        <v>0</v>
      </c>
      <c r="P150" s="635"/>
      <c r="S150" s="397" t="s">
        <v>57</v>
      </c>
      <c r="T150" s="631">
        <v>1.4999999999999999E-2</v>
      </c>
      <c r="U150" s="399">
        <f ca="1">T150*T162</f>
        <v>0</v>
      </c>
      <c r="V150" s="635"/>
    </row>
    <row r="151" spans="1:23" ht="13">
      <c r="A151" s="536" t="s">
        <v>58</v>
      </c>
      <c r="B151" s="632">
        <v>7.0000000000000007E-2</v>
      </c>
      <c r="C151" s="622">
        <v>5519619.2773175919</v>
      </c>
      <c r="D151" s="635"/>
      <c r="G151" s="536" t="s">
        <v>58</v>
      </c>
      <c r="H151" s="632">
        <v>7.0000000000000007E-2</v>
      </c>
      <c r="I151" s="622">
        <v>4639361.2376069082</v>
      </c>
      <c r="J151" s="635"/>
      <c r="M151" s="536" t="s">
        <v>58</v>
      </c>
      <c r="N151" s="632">
        <v>7.0000000000000007E-2</v>
      </c>
      <c r="O151" s="622">
        <f ca="1">N151*N162</f>
        <v>0</v>
      </c>
      <c r="P151" s="635"/>
      <c r="S151" s="536" t="s">
        <v>58</v>
      </c>
      <c r="T151" s="632">
        <v>7.0000000000000007E-2</v>
      </c>
      <c r="U151" s="622">
        <f ca="1">T151*T162</f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1977313.7805569957</v>
      </c>
      <c r="D152" s="634"/>
      <c r="G152" s="105" t="s">
        <v>97</v>
      </c>
      <c r="H152" s="633">
        <f>7%</f>
        <v>7.0000000000000007E-2</v>
      </c>
      <c r="I152" s="399">
        <f>H152*SUM(I138:I151)</f>
        <v>1669299.8685465872</v>
      </c>
      <c r="J152" s="223"/>
      <c r="M152" s="105" t="s">
        <v>97</v>
      </c>
      <c r="N152" s="633">
        <f>7%</f>
        <v>7.0000000000000007E-2</v>
      </c>
      <c r="O152" s="399">
        <f ca="1">N152*SUM(O138:O151)</f>
        <v>0</v>
      </c>
      <c r="S152" s="105" t="s">
        <v>97</v>
      </c>
      <c r="T152" s="633">
        <f>7%</f>
        <v>7.0000000000000007E-2</v>
      </c>
      <c r="U152" s="399">
        <f ca="1">T152*SUM(U138:U151)</f>
        <v>0</v>
      </c>
    </row>
    <row r="153" spans="1:23" ht="14" thickTop="1" thickBot="1">
      <c r="A153" s="538" t="s">
        <v>98</v>
      </c>
      <c r="B153" s="539"/>
      <c r="C153" s="540">
        <f>SUM(C133:C152)</f>
        <v>131419506.60279979</v>
      </c>
      <c r="G153" s="538" t="s">
        <v>98</v>
      </c>
      <c r="H153" s="539"/>
      <c r="I153" s="540">
        <f>SUM(I133:I152)</f>
        <v>110460981.84778354</v>
      </c>
      <c r="M153" s="538" t="s">
        <v>98</v>
      </c>
      <c r="N153" s="539"/>
      <c r="O153" s="540">
        <f ca="1">SUM(O133:O152)</f>
        <v>0</v>
      </c>
      <c r="S153" s="538" t="s">
        <v>98</v>
      </c>
      <c r="T153" s="539"/>
      <c r="U153" s="540">
        <f ca="1">SUM(U133:U152)</f>
        <v>0</v>
      </c>
    </row>
    <row r="154" spans="1:23" ht="13">
      <c r="A154" s="537" t="s">
        <v>99</v>
      </c>
      <c r="B154" s="401">
        <f>E123/C153</f>
        <v>0</v>
      </c>
      <c r="C154" s="535"/>
      <c r="G154" s="537" t="s">
        <v>99</v>
      </c>
      <c r="H154" s="401">
        <f>K123/I153</f>
        <v>0</v>
      </c>
      <c r="I154" s="535"/>
      <c r="M154" s="537" t="s">
        <v>99</v>
      </c>
      <c r="N154" s="401" t="e">
        <f ca="1">Q123/O153</f>
        <v>#DIV/0!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>((E130+E131)/C153)-1</f>
        <v>0.18564845885174774</v>
      </c>
      <c r="C155" s="535"/>
      <c r="G155" s="400" t="s">
        <v>100</v>
      </c>
      <c r="H155" s="401">
        <f>((K130+K131)/I153)-1</f>
        <v>0.12685410345340231</v>
      </c>
      <c r="I155" s="535"/>
      <c r="M155" s="400" t="s">
        <v>100</v>
      </c>
      <c r="N155" s="401" t="e">
        <f ca="1">((Q130+Q131)/O153)-1</f>
        <v>#DIV/0!</v>
      </c>
      <c r="O155" s="535"/>
      <c r="S155" s="400" t="s">
        <v>100</v>
      </c>
      <c r="T155" s="401" t="e">
        <f ca="1">((W130+W131)/U153)-1</f>
        <v>#DIV/0!</v>
      </c>
      <c r="U155" s="535"/>
    </row>
    <row r="156" spans="1:23" ht="13.5" thickBot="1">
      <c r="A156" s="119">
        <v>0.25</v>
      </c>
      <c r="B156" s="120">
        <f>((E130+E131)/(1+A156))</f>
        <v>124653868.37333333</v>
      </c>
      <c r="C156" s="535"/>
      <c r="G156" s="119">
        <v>0.25</v>
      </c>
      <c r="H156" s="120">
        <f>((K130+K131)/(1+G156))</f>
        <v>99578728.533333331</v>
      </c>
      <c r="I156" s="535"/>
      <c r="M156" s="119">
        <v>0.3</v>
      </c>
      <c r="N156" s="120">
        <f>((Q130+Q131)/(1+M156))</f>
        <v>0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0.25</v>
      </c>
      <c r="B157" s="120">
        <f>ROUND(((E130+E131)/(1+A157))-C153,0)</f>
        <v>-6765638</v>
      </c>
      <c r="C157" s="535"/>
      <c r="G157" s="402">
        <v>0.25</v>
      </c>
      <c r="H157" s="120">
        <f>ROUND(((K130+K131)/(1+G157))-I153,0)</f>
        <v>-10882253</v>
      </c>
      <c r="I157" s="535"/>
      <c r="M157" s="402">
        <v>0.3</v>
      </c>
      <c r="N157" s="120">
        <f ca="1">ROUND(((Q130+Q131)/(1+M157))-O153,0)</f>
        <v>0</v>
      </c>
      <c r="O157" s="535"/>
      <c r="S157" s="402">
        <v>0.3</v>
      </c>
      <c r="T157" s="120">
        <f ca="1"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Multifamily 1</v>
      </c>
      <c r="G158" s="644" t="s">
        <v>101</v>
      </c>
      <c r="H158" s="645"/>
      <c r="I158" s="646" t="str">
        <f>H34</f>
        <v>Multifamily 2</v>
      </c>
      <c r="M158" s="660" t="s">
        <v>101</v>
      </c>
      <c r="N158" s="661"/>
      <c r="O158" s="121">
        <f>N34</f>
        <v>0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-6765638</v>
      </c>
      <c r="C160" s="648">
        <f>IFERROR(B160/#REF!,0)</f>
        <v>0</v>
      </c>
      <c r="G160" s="647" t="s">
        <v>103</v>
      </c>
      <c r="H160" s="91">
        <f>IF(H157&lt;0,H157,0)</f>
        <v>-10882253</v>
      </c>
      <c r="I160" s="648">
        <f>IFERROR(H160/#REF!,0)</f>
        <v>0</v>
      </c>
      <c r="M160" s="24" t="s">
        <v>103</v>
      </c>
      <c r="N160" s="91">
        <f ca="1">IF(N157&lt;0,N157,0)</f>
        <v>0</v>
      </c>
      <c r="O160" s="125">
        <f ca="1">IFERROR(N160/#REF!,0)</f>
        <v>0</v>
      </c>
      <c r="S160" s="647" t="s">
        <v>103</v>
      </c>
      <c r="T160" s="91">
        <f ca="1">IF(T157&lt;0,T157,0)</f>
        <v>0</v>
      </c>
      <c r="U160" s="648">
        <f ca="1">IFERROR(T160/#REF!,0)</f>
        <v>0</v>
      </c>
    </row>
    <row r="161" spans="1:23" ht="13">
      <c r="A161" s="647" t="s">
        <v>104</v>
      </c>
      <c r="B161" s="91">
        <f>C153+B160</f>
        <v>124653868.60279979</v>
      </c>
      <c r="C161" s="648">
        <f>IFERROR(B161/#REF!,0)</f>
        <v>0</v>
      </c>
      <c r="G161" s="647" t="s">
        <v>104</v>
      </c>
      <c r="H161" s="91">
        <f>I153+H160</f>
        <v>99578728.847783536</v>
      </c>
      <c r="I161" s="648">
        <f>IFERROR(H161/#REF!,0)</f>
        <v>0</v>
      </c>
      <c r="M161" s="25" t="s">
        <v>104</v>
      </c>
      <c r="N161" s="91">
        <f ca="1">O153+N160</f>
        <v>0</v>
      </c>
      <c r="O161" s="125">
        <f ca="1">IFERROR(N161/#REF!,0)</f>
        <v>0</v>
      </c>
      <c r="S161" s="647" t="s">
        <v>104</v>
      </c>
      <c r="T161" s="91">
        <f ca="1">U153+T160</f>
        <v>0</v>
      </c>
      <c r="U161" s="648">
        <f ca="1"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65709753.301399894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55230490.923891768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 ca="1">M162*O$153</f>
        <v>0</v>
      </c>
      <c r="O162" s="125">
        <f ca="1">IFERROR(N162/#REF!,0)</f>
        <v>0</v>
      </c>
      <c r="P162" s="21"/>
      <c r="Q162" s="347"/>
      <c r="R162" s="347"/>
      <c r="S162" s="126">
        <f>Assumptions!$H$14</f>
        <v>0.5</v>
      </c>
      <c r="T162" s="92">
        <f ca="1">S162*U$153</f>
        <v>0</v>
      </c>
      <c r="U162" s="648">
        <f ca="1"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65709753.301399894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55230490.923891768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 ca="1">M163*O$153</f>
        <v>0</v>
      </c>
      <c r="O163" s="241">
        <f ca="1">IFERROR(N163/#REF!,0)</f>
        <v>0</v>
      </c>
      <c r="P163" s="5"/>
      <c r="Q163" s="347"/>
      <c r="R163" s="347"/>
      <c r="S163" s="127">
        <f>1-S162</f>
        <v>0.5</v>
      </c>
      <c r="T163" s="240">
        <f ca="1">S163*U$153</f>
        <v>0</v>
      </c>
      <c r="U163" s="649">
        <f ca="1"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131419506.60279979</v>
      </c>
      <c r="C164" s="652">
        <f>ROUND((C163+C162),-3)</f>
        <v>0</v>
      </c>
      <c r="D164" s="23"/>
      <c r="G164" s="650" t="s">
        <v>105</v>
      </c>
      <c r="H164" s="651">
        <f>H162+H163</f>
        <v>110460981.84778354</v>
      </c>
      <c r="I164" s="652">
        <f>ROUND((I163+I162),-3)</f>
        <v>0</v>
      </c>
      <c r="J164" s="23"/>
      <c r="M164" s="54" t="s">
        <v>105</v>
      </c>
      <c r="N164" s="128">
        <f ca="1">N162+N163</f>
        <v>0</v>
      </c>
      <c r="O164" s="93">
        <f ca="1">ROUND((O163+O162),-3)</f>
        <v>0</v>
      </c>
      <c r="P164" s="23"/>
      <c r="S164" s="650" t="s">
        <v>105</v>
      </c>
      <c r="T164" s="651">
        <f ca="1">T162+T163</f>
        <v>0</v>
      </c>
      <c r="U164" s="652">
        <f ca="1"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260" priority="19">
      <formula>C53&gt;D46</formula>
    </cfRule>
  </conditionalFormatting>
  <conditionalFormatting sqref="C63">
    <cfRule type="expression" dxfId="259" priority="18">
      <formula>C69&gt;D62</formula>
    </cfRule>
  </conditionalFormatting>
  <conditionalFormatting sqref="C79">
    <cfRule type="expression" dxfId="258" priority="17">
      <formula>C85&gt;D78</formula>
    </cfRule>
  </conditionalFormatting>
  <conditionalFormatting sqref="I79">
    <cfRule type="expression" dxfId="257" priority="12">
      <formula>I85&gt;J78</formula>
    </cfRule>
  </conditionalFormatting>
  <conditionalFormatting sqref="C56">
    <cfRule type="expression" dxfId="256" priority="20">
      <formula>C60&gt;D55</formula>
    </cfRule>
  </conditionalFormatting>
  <conditionalFormatting sqref="I47">
    <cfRule type="expression" dxfId="255" priority="14">
      <formula>I53&gt;J46</formula>
    </cfRule>
  </conditionalFormatting>
  <conditionalFormatting sqref="I63">
    <cfRule type="expression" dxfId="254" priority="13">
      <formula>I69&gt;J62</formula>
    </cfRule>
  </conditionalFormatting>
  <conditionalFormatting sqref="I56">
    <cfRule type="expression" dxfId="253" priority="15">
      <formula>I60&gt;J55</formula>
    </cfRule>
  </conditionalFormatting>
  <conditionalFormatting sqref="C72">
    <cfRule type="expression" dxfId="252" priority="16">
      <formula>C76&gt;D71</formula>
    </cfRule>
  </conditionalFormatting>
  <conditionalFormatting sqref="I72">
    <cfRule type="expression" dxfId="251" priority="11">
      <formula>I76&gt;J71</formula>
    </cfRule>
  </conditionalFormatting>
  <conditionalFormatting sqref="O47">
    <cfRule type="expression" dxfId="250" priority="9">
      <formula>O53&gt;P46</formula>
    </cfRule>
  </conditionalFormatting>
  <conditionalFormatting sqref="O63">
    <cfRule type="expression" dxfId="249" priority="8">
      <formula>O69&gt;P62</formula>
    </cfRule>
  </conditionalFormatting>
  <conditionalFormatting sqref="O79">
    <cfRule type="expression" dxfId="248" priority="7">
      <formula>O85&gt;P78</formula>
    </cfRule>
  </conditionalFormatting>
  <conditionalFormatting sqref="O56">
    <cfRule type="expression" dxfId="247" priority="10">
      <formula>O60&gt;P55</formula>
    </cfRule>
  </conditionalFormatting>
  <conditionalFormatting sqref="O72">
    <cfRule type="expression" dxfId="246" priority="6">
      <formula>O76&gt;P71</formula>
    </cfRule>
  </conditionalFormatting>
  <conditionalFormatting sqref="U47">
    <cfRule type="expression" dxfId="245" priority="4">
      <formula>U53&gt;V46</formula>
    </cfRule>
  </conditionalFormatting>
  <conditionalFormatting sqref="U63">
    <cfRule type="expression" dxfId="244" priority="3">
      <formula>U69&gt;V62</formula>
    </cfRule>
  </conditionalFormatting>
  <conditionalFormatting sqref="U79">
    <cfRule type="expression" dxfId="243" priority="2">
      <formula>U85&gt;V78</formula>
    </cfRule>
  </conditionalFormatting>
  <conditionalFormatting sqref="U56">
    <cfRule type="expression" dxfId="242" priority="5">
      <formula>U60&gt;V55</formula>
    </cfRule>
  </conditionalFormatting>
  <conditionalFormatting sqref="U72">
    <cfRule type="expression" dxfId="241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F8CE1B-D44F-4FA4-9555-A24A59E7B233}">
  <sheetPr>
    <tabColor rgb="FF0070C0"/>
  </sheetPr>
  <dimension ref="A1:BX608"/>
  <sheetViews>
    <sheetView zoomScale="85" zoomScaleNormal="85" zoomScalePageLayoutView="125" workbookViewId="0">
      <pane xSplit="1" ySplit="3" topLeftCell="S4" activePane="bottomRight" state="frozen"/>
      <selection activeCell="B11" sqref="B11"/>
      <selection pane="topRight" activeCell="B11" sqref="B11"/>
      <selection pane="bottomLeft" activeCell="B11" sqref="B11"/>
      <selection pane="bottomRight" activeCell="S20" sqref="S20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hidden="1" customWidth="1"/>
    <col min="4" max="4" width="19.54296875" style="5" hidden="1" customWidth="1"/>
    <col min="5" max="6" width="17.6328125" style="5" hidden="1" customWidth="1"/>
    <col min="7" max="7" width="17.6328125" style="55" hidden="1" customWidth="1"/>
    <col min="8" max="8" width="17.6328125" style="5" hidden="1" customWidth="1"/>
    <col min="9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197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1/1/27 to 3/31/28</v>
      </c>
      <c r="D2" s="518" t="str">
        <f>INDEX('Development Program'!$B$62:$H$71,MATCH($A$1,'Development Program'!$B$62:$B$71,0),MATCH(D1,'Development Program'!$B$62:$H$62,0))</f>
        <v>4/1/28 to 3/31/30</v>
      </c>
      <c r="E2" s="518" t="str">
        <f>INDEX('Development Program'!$B$62:$H$71,MATCH($A$1,'Development Program'!$B$62:$B$71,0),MATCH(E1,'Development Program'!$B$62:$H$62,0))</f>
        <v>4/1/30 to 9/30/30</v>
      </c>
      <c r="G2" s="5"/>
      <c r="I2" s="101" t="s">
        <v>421</v>
      </c>
      <c r="M2" s="101" t="s">
        <v>121</v>
      </c>
      <c r="N2" s="601" t="s">
        <v>122</v>
      </c>
      <c r="U2" s="601" t="s">
        <v>123</v>
      </c>
      <c r="V2" s="601" t="s">
        <v>124</v>
      </c>
      <c r="W2" s="601" t="s">
        <v>125</v>
      </c>
      <c r="Y2" s="99"/>
      <c r="Z2" s="99"/>
      <c r="AA2" s="99"/>
      <c r="AB2" s="99"/>
      <c r="AC2" s="99"/>
      <c r="AD2" s="99"/>
      <c r="AE2" s="99"/>
      <c r="AF2" s="99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602">
        <v>46388</v>
      </c>
      <c r="J3" s="602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102">
        <f t="shared" si="0"/>
        <v>46873</v>
      </c>
      <c r="O3" s="602">
        <f t="shared" si="0"/>
        <v>46965</v>
      </c>
      <c r="P3" s="602">
        <f t="shared" si="0"/>
        <v>47057</v>
      </c>
      <c r="Q3" s="602">
        <f t="shared" si="0"/>
        <v>47149</v>
      </c>
      <c r="R3" s="102">
        <f t="shared" si="0"/>
        <v>47238</v>
      </c>
      <c r="S3" s="102">
        <f t="shared" si="0"/>
        <v>47330</v>
      </c>
      <c r="T3" s="102">
        <f t="shared" si="0"/>
        <v>47422</v>
      </c>
      <c r="U3" s="102">
        <f t="shared" si="0"/>
        <v>47514</v>
      </c>
      <c r="V3" s="102">
        <f t="shared" si="0"/>
        <v>47603</v>
      </c>
      <c r="W3" s="100">
        <f t="shared" si="0"/>
        <v>47695</v>
      </c>
      <c r="X3" s="102">
        <f t="shared" si="0"/>
        <v>47787</v>
      </c>
      <c r="Y3" s="102">
        <f t="shared" si="0"/>
        <v>47879</v>
      </c>
      <c r="Z3" s="102">
        <f t="shared" si="0"/>
        <v>47968</v>
      </c>
      <c r="AA3" s="102">
        <f t="shared" si="0"/>
        <v>48060</v>
      </c>
      <c r="AB3" s="102">
        <f t="shared" si="0"/>
        <v>48152</v>
      </c>
      <c r="AC3" s="102">
        <f t="shared" si="0"/>
        <v>48244</v>
      </c>
      <c r="AD3" s="102">
        <f t="shared" si="0"/>
        <v>48334</v>
      </c>
      <c r="AE3" s="102">
        <f t="shared" si="0"/>
        <v>48426</v>
      </c>
      <c r="AF3" s="102">
        <f t="shared" si="0"/>
        <v>48518</v>
      </c>
      <c r="AG3" s="102">
        <f t="shared" si="0"/>
        <v>48610</v>
      </c>
      <c r="AH3" s="102">
        <f t="shared" si="0"/>
        <v>48699</v>
      </c>
      <c r="AI3" s="102">
        <f t="shared" si="0"/>
        <v>48791</v>
      </c>
      <c r="AJ3" s="102">
        <f t="shared" si="0"/>
        <v>48883</v>
      </c>
      <c r="AK3" s="102">
        <f t="shared" si="0"/>
        <v>48975</v>
      </c>
      <c r="AL3" s="102">
        <f>EOMONTH(AK3,3)</f>
        <v>49064</v>
      </c>
      <c r="AM3" s="102">
        <f t="shared" ref="AM3:AU3" si="1">EOMONTH(AL3,3)</f>
        <v>49156</v>
      </c>
      <c r="AN3" s="102">
        <f t="shared" si="1"/>
        <v>49248</v>
      </c>
      <c r="AO3" s="102">
        <f t="shared" si="1"/>
        <v>49340</v>
      </c>
      <c r="AP3" s="102">
        <f t="shared" si="1"/>
        <v>49429</v>
      </c>
      <c r="AQ3" s="102">
        <f t="shared" si="1"/>
        <v>49521</v>
      </c>
      <c r="AR3" s="102">
        <f t="shared" si="1"/>
        <v>49613</v>
      </c>
      <c r="AS3" s="102">
        <f>EOMONTH(AR3,3)</f>
        <v>49705</v>
      </c>
      <c r="AT3" s="102">
        <f t="shared" si="1"/>
        <v>49795</v>
      </c>
      <c r="AU3" s="102">
        <f t="shared" si="1"/>
        <v>49887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>
        <v>0</v>
      </c>
      <c r="D4" s="97">
        <v>0</v>
      </c>
      <c r="E4" s="97">
        <v>0</v>
      </c>
      <c r="F4" s="96">
        <f t="shared" ref="F4:G4" si="2">E4</f>
        <v>0</v>
      </c>
      <c r="G4" s="96">
        <f t="shared" si="2"/>
        <v>0</v>
      </c>
      <c r="H4" s="96">
        <v>0</v>
      </c>
      <c r="I4" s="96">
        <v>0</v>
      </c>
      <c r="J4" s="96">
        <v>0</v>
      </c>
      <c r="K4" s="96">
        <v>0</v>
      </c>
      <c r="L4" s="96">
        <v>0</v>
      </c>
      <c r="M4" s="96">
        <v>0</v>
      </c>
      <c r="N4" s="96">
        <v>0.05</v>
      </c>
      <c r="O4" s="96">
        <v>0.1</v>
      </c>
      <c r="P4" s="96">
        <v>0.15</v>
      </c>
      <c r="Q4" s="96">
        <v>0.2</v>
      </c>
      <c r="R4" s="96">
        <v>0.25</v>
      </c>
      <c r="S4" s="96">
        <v>0.1</v>
      </c>
      <c r="T4" s="96">
        <v>0.1</v>
      </c>
      <c r="U4" s="96">
        <v>0.05</v>
      </c>
      <c r="V4" s="96"/>
      <c r="W4" s="97"/>
      <c r="X4" s="97"/>
      <c r="Y4" s="97"/>
      <c r="Z4" s="97"/>
      <c r="AA4" s="97"/>
      <c r="AB4" s="97"/>
      <c r="AC4" s="97"/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'D Financial'!$A7</f>
        <v>Hard Costs for Construction</v>
      </c>
      <c r="B5" s="140">
        <f>'D Financial'!$B7</f>
        <v>169217631</v>
      </c>
      <c r="C5" s="141">
        <f>$B$5*C4</f>
        <v>0</v>
      </c>
      <c r="D5" s="141">
        <f t="shared" ref="D5:U5" si="3">$B$5*D4</f>
        <v>0</v>
      </c>
      <c r="E5" s="141">
        <f t="shared" si="3"/>
        <v>0</v>
      </c>
      <c r="F5" s="141">
        <f t="shared" si="3"/>
        <v>0</v>
      </c>
      <c r="G5" s="141">
        <f t="shared" si="3"/>
        <v>0</v>
      </c>
      <c r="H5" s="141">
        <f t="shared" si="3"/>
        <v>0</v>
      </c>
      <c r="I5" s="141">
        <f t="shared" si="3"/>
        <v>0</v>
      </c>
      <c r="J5" s="141">
        <f t="shared" si="3"/>
        <v>0</v>
      </c>
      <c r="K5" s="141">
        <f t="shared" si="3"/>
        <v>0</v>
      </c>
      <c r="L5" s="141">
        <f t="shared" si="3"/>
        <v>0</v>
      </c>
      <c r="M5" s="141">
        <f t="shared" si="3"/>
        <v>0</v>
      </c>
      <c r="N5" s="141">
        <f t="shared" si="3"/>
        <v>8460881.5500000007</v>
      </c>
      <c r="O5" s="141">
        <f t="shared" si="3"/>
        <v>16921763.100000001</v>
      </c>
      <c r="P5" s="141">
        <f t="shared" si="3"/>
        <v>25382644.649999999</v>
      </c>
      <c r="Q5" s="141">
        <f t="shared" si="3"/>
        <v>33843526.200000003</v>
      </c>
      <c r="R5" s="141">
        <f t="shared" si="3"/>
        <v>42304407.75</v>
      </c>
      <c r="S5" s="141">
        <f t="shared" si="3"/>
        <v>16921763.100000001</v>
      </c>
      <c r="T5" s="141">
        <f t="shared" si="3"/>
        <v>16921763.100000001</v>
      </c>
      <c r="U5" s="141">
        <f t="shared" si="3"/>
        <v>8460881.5500000007</v>
      </c>
      <c r="V5" s="141"/>
      <c r="W5" s="142"/>
      <c r="X5" s="142"/>
      <c r="Y5" s="142"/>
      <c r="Z5" s="142"/>
      <c r="AA5" s="142"/>
      <c r="AB5" s="142"/>
      <c r="AC5" s="142"/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169217631</v>
      </c>
      <c r="AW5" s="142">
        <f t="shared" ref="AW5:AW24" si="4">B5</f>
        <v>169217631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'D Financial'!$A8</f>
        <v>Hard Cost Contingency</v>
      </c>
      <c r="B6" s="140">
        <f>'D Financial'!$B8</f>
        <v>16921763.100000001</v>
      </c>
      <c r="C6" s="141">
        <f t="shared" ref="C6:U6" si="5">$B6*C$4</f>
        <v>0</v>
      </c>
      <c r="D6" s="141">
        <f t="shared" si="5"/>
        <v>0</v>
      </c>
      <c r="E6" s="141">
        <f t="shared" si="5"/>
        <v>0</v>
      </c>
      <c r="F6" s="141">
        <f t="shared" si="5"/>
        <v>0</v>
      </c>
      <c r="G6" s="141">
        <f t="shared" si="5"/>
        <v>0</v>
      </c>
      <c r="H6" s="141">
        <f t="shared" si="5"/>
        <v>0</v>
      </c>
      <c r="I6" s="141">
        <f t="shared" si="5"/>
        <v>0</v>
      </c>
      <c r="J6" s="141">
        <f t="shared" si="5"/>
        <v>0</v>
      </c>
      <c r="K6" s="141">
        <f t="shared" si="5"/>
        <v>0</v>
      </c>
      <c r="L6" s="141">
        <f t="shared" si="5"/>
        <v>0</v>
      </c>
      <c r="M6" s="141">
        <f t="shared" si="5"/>
        <v>0</v>
      </c>
      <c r="N6" s="141">
        <f t="shared" si="5"/>
        <v>846088.15500000014</v>
      </c>
      <c r="O6" s="141">
        <f t="shared" si="5"/>
        <v>1692176.3100000003</v>
      </c>
      <c r="P6" s="141">
        <f t="shared" si="5"/>
        <v>2538264.4650000003</v>
      </c>
      <c r="Q6" s="141">
        <f t="shared" si="5"/>
        <v>3384352.6200000006</v>
      </c>
      <c r="R6" s="141">
        <f t="shared" si="5"/>
        <v>4230440.7750000004</v>
      </c>
      <c r="S6" s="141">
        <f t="shared" si="5"/>
        <v>1692176.3100000003</v>
      </c>
      <c r="T6" s="141">
        <f t="shared" si="5"/>
        <v>1692176.3100000003</v>
      </c>
      <c r="U6" s="141">
        <f t="shared" si="5"/>
        <v>846088.15500000014</v>
      </c>
      <c r="V6" s="141"/>
      <c r="W6" s="142"/>
      <c r="X6" s="142"/>
      <c r="Y6" s="142"/>
      <c r="Z6" s="142"/>
      <c r="AA6" s="142"/>
      <c r="AB6" s="142"/>
      <c r="AC6" s="142"/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16921763.100000001</v>
      </c>
      <c r="AW6" s="142">
        <f t="shared" si="4"/>
        <v>16921763.100000001</v>
      </c>
      <c r="AX6" s="142">
        <f t="shared" ref="AX6:AX24" si="6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'D Financial'!$A9</f>
        <v>Demolition</v>
      </c>
      <c r="B7" s="140">
        <f>'D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2"/>
      <c r="X7" s="142"/>
      <c r="Y7" s="142"/>
      <c r="Z7" s="142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4"/>
        <v>0</v>
      </c>
      <c r="AX7" s="142">
        <f t="shared" si="6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'D Financial'!$A10</f>
        <v>Land Cost</v>
      </c>
      <c r="B8" s="140">
        <f>'D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6"/>
      <c r="N8" s="143"/>
      <c r="O8" s="143"/>
      <c r="P8" s="143"/>
      <c r="Q8" s="143"/>
      <c r="R8" s="143"/>
      <c r="S8" s="143"/>
      <c r="T8" s="143"/>
      <c r="U8" s="143"/>
      <c r="V8" s="143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4"/>
        <v>0</v>
      </c>
      <c r="AX8" s="142">
        <f t="shared" si="6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'D Financial'!$A11</f>
        <v>Infrastructure Cost less Subsidy</v>
      </c>
      <c r="B9" s="140">
        <f>'D Financial'!$B11</f>
        <v>-9952380.9523809515</v>
      </c>
      <c r="C9" s="146"/>
      <c r="D9" s="143"/>
      <c r="E9" s="141"/>
      <c r="F9" s="141"/>
      <c r="G9" s="141"/>
      <c r="H9" s="144"/>
      <c r="I9" s="141"/>
      <c r="J9" s="141"/>
      <c r="K9" s="143"/>
      <c r="N9" s="143"/>
      <c r="O9" s="143"/>
      <c r="P9" s="143"/>
      <c r="Q9" s="143"/>
      <c r="R9" s="141">
        <f>$B$9/2</f>
        <v>-4976190.4761904757</v>
      </c>
      <c r="S9" s="141">
        <f>$B$9/2</f>
        <v>-4976190.4761904757</v>
      </c>
      <c r="U9" s="143"/>
      <c r="V9" s="143"/>
      <c r="W9" s="147"/>
      <c r="X9" s="147"/>
      <c r="Y9" s="147"/>
      <c r="Z9" s="147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7">SUM(C9:AU9)</f>
        <v>-9952380.9523809515</v>
      </c>
      <c r="AW9" s="142">
        <f t="shared" si="4"/>
        <v>-9952380.9523809515</v>
      </c>
      <c r="AX9" s="142">
        <f t="shared" si="6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'D Financial'!$A12</f>
        <v>Municipal Fees and Allowances</v>
      </c>
      <c r="B10" s="140">
        <f>'D Financial'!$B12</f>
        <v>9306969.7050000001</v>
      </c>
      <c r="C10" s="148"/>
      <c r="D10" s="147"/>
      <c r="E10" s="779"/>
      <c r="F10" s="779"/>
      <c r="G10" s="779"/>
      <c r="H10" s="149"/>
      <c r="I10" s="149"/>
      <c r="K10" s="147"/>
      <c r="L10" s="147"/>
      <c r="M10" s="147"/>
      <c r="N10" s="141">
        <f>B10</f>
        <v>9306969.7050000001</v>
      </c>
      <c r="O10" s="147"/>
      <c r="P10" s="141"/>
      <c r="Q10" s="141"/>
      <c r="R10" s="487"/>
      <c r="S10" s="487"/>
      <c r="T10" s="147"/>
      <c r="U10" s="144"/>
      <c r="V10" s="144"/>
      <c r="W10" s="150"/>
      <c r="X10" s="150"/>
      <c r="Y10" s="150"/>
      <c r="Z10" s="150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7"/>
        <v>9306969.7050000001</v>
      </c>
      <c r="AW10" s="142">
        <f t="shared" si="4"/>
        <v>9306969.7050000001</v>
      </c>
      <c r="AX10" s="142">
        <f t="shared" si="6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'D Financial'!$A13</f>
        <v>Legal</v>
      </c>
      <c r="B11" s="140">
        <f>'D Financial'!$B13</f>
        <v>3722787.8820000002</v>
      </c>
      <c r="C11" s="148"/>
      <c r="D11" s="778"/>
      <c r="E11" s="675"/>
      <c r="F11" s="675"/>
      <c r="G11" s="675"/>
      <c r="I11" s="141">
        <f>$B$11/9</f>
        <v>413643.098</v>
      </c>
      <c r="J11" s="141">
        <f t="shared" ref="J11:Q11" si="8">$B$11/9</f>
        <v>413643.098</v>
      </c>
      <c r="K11" s="141">
        <f t="shared" si="8"/>
        <v>413643.098</v>
      </c>
      <c r="L11" s="141">
        <f t="shared" si="8"/>
        <v>413643.098</v>
      </c>
      <c r="M11" s="141">
        <f t="shared" si="8"/>
        <v>413643.098</v>
      </c>
      <c r="N11" s="141">
        <f t="shared" si="8"/>
        <v>413643.098</v>
      </c>
      <c r="O11" s="141">
        <f t="shared" si="8"/>
        <v>413643.098</v>
      </c>
      <c r="P11" s="141">
        <f t="shared" si="8"/>
        <v>413643.098</v>
      </c>
      <c r="Q11" s="141">
        <f t="shared" si="8"/>
        <v>413643.098</v>
      </c>
      <c r="R11" s="147"/>
      <c r="S11" s="147"/>
      <c r="T11" s="147"/>
      <c r="U11" s="143"/>
      <c r="V11" s="143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7"/>
        <v>3722787.8820000002</v>
      </c>
      <c r="AW11" s="142">
        <f t="shared" si="4"/>
        <v>3722787.8820000002</v>
      </c>
      <c r="AX11" s="142">
        <f t="shared" si="6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'D Financial'!$A14</f>
        <v>Land Closing Costs/commissions</v>
      </c>
      <c r="B12" s="140">
        <f>'D Financial'!$B14</f>
        <v>0</v>
      </c>
      <c r="C12" s="145"/>
      <c r="D12" s="141"/>
      <c r="E12" s="671"/>
      <c r="F12" s="67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2"/>
      <c r="X12" s="142"/>
      <c r="Y12" s="142"/>
      <c r="Z12" s="142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7"/>
        <v>0</v>
      </c>
      <c r="AW12" s="142">
        <f t="shared" si="4"/>
        <v>0</v>
      </c>
      <c r="AX12" s="142">
        <f t="shared" si="6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'D Financial'!$A15</f>
        <v xml:space="preserve">Design </v>
      </c>
      <c r="B13" s="140">
        <f>'D Financial'!$B15</f>
        <v>7445575.7640000004</v>
      </c>
      <c r="C13" s="141"/>
      <c r="E13" s="141"/>
      <c r="F13" s="141"/>
      <c r="G13" s="141"/>
      <c r="H13" s="141"/>
      <c r="I13" s="141"/>
      <c r="J13" s="141">
        <f>$B$13/12</f>
        <v>620464.647</v>
      </c>
      <c r="K13" s="141">
        <f t="shared" ref="K13:U13" si="9">$B$13/12</f>
        <v>620464.647</v>
      </c>
      <c r="L13" s="141">
        <f t="shared" si="9"/>
        <v>620464.647</v>
      </c>
      <c r="M13" s="141">
        <f t="shared" si="9"/>
        <v>620464.647</v>
      </c>
      <c r="N13" s="141">
        <f t="shared" si="9"/>
        <v>620464.647</v>
      </c>
      <c r="O13" s="141">
        <f t="shared" si="9"/>
        <v>620464.647</v>
      </c>
      <c r="P13" s="141">
        <f t="shared" si="9"/>
        <v>620464.647</v>
      </c>
      <c r="Q13" s="141">
        <f t="shared" si="9"/>
        <v>620464.647</v>
      </c>
      <c r="R13" s="141">
        <f t="shared" si="9"/>
        <v>620464.647</v>
      </c>
      <c r="S13" s="141">
        <f t="shared" si="9"/>
        <v>620464.647</v>
      </c>
      <c r="T13" s="141">
        <f t="shared" si="9"/>
        <v>620464.647</v>
      </c>
      <c r="U13" s="141">
        <f t="shared" si="9"/>
        <v>620464.647</v>
      </c>
      <c r="V13" s="141"/>
      <c r="W13" s="142"/>
      <c r="X13" s="142"/>
      <c r="Y13" s="142"/>
      <c r="Z13" s="142"/>
      <c r="AA13" s="142"/>
      <c r="AB13" s="142"/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7"/>
        <v>7445575.7639999995</v>
      </c>
      <c r="AW13" s="142">
        <f t="shared" si="4"/>
        <v>7445575.7640000004</v>
      </c>
      <c r="AX13" s="142">
        <f t="shared" si="6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'D Financial'!$A16</f>
        <v>Developer Fee</v>
      </c>
      <c r="B14" s="140">
        <f>'D Financial'!$B16</f>
        <v>5584181.8229999999</v>
      </c>
      <c r="C14" s="141"/>
      <c r="D14" s="141"/>
      <c r="E14" s="141"/>
      <c r="F14" s="141"/>
      <c r="G14" s="141"/>
      <c r="H14" s="141"/>
      <c r="I14" s="141"/>
      <c r="J14" s="141"/>
      <c r="K14" s="141"/>
      <c r="L14" s="141"/>
      <c r="M14" s="141"/>
      <c r="N14" s="141">
        <f>$B$14/8</f>
        <v>698022.72787499998</v>
      </c>
      <c r="O14" s="141">
        <f t="shared" ref="O14:U14" si="10">$B$14/8</f>
        <v>698022.72787499998</v>
      </c>
      <c r="P14" s="141">
        <f t="shared" si="10"/>
        <v>698022.72787499998</v>
      </c>
      <c r="Q14" s="141">
        <f t="shared" si="10"/>
        <v>698022.72787499998</v>
      </c>
      <c r="R14" s="141">
        <f t="shared" si="10"/>
        <v>698022.72787499998</v>
      </c>
      <c r="S14" s="141">
        <f t="shared" si="10"/>
        <v>698022.72787499998</v>
      </c>
      <c r="T14" s="141">
        <f t="shared" si="10"/>
        <v>698022.72787499998</v>
      </c>
      <c r="U14" s="141">
        <f t="shared" si="10"/>
        <v>698022.72787499998</v>
      </c>
      <c r="V14" s="141"/>
      <c r="W14" s="142"/>
      <c r="X14" s="142"/>
      <c r="Y14" s="142"/>
      <c r="Z14" s="142"/>
      <c r="AA14" s="142"/>
      <c r="AB14" s="142"/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7"/>
        <v>5584181.8229999999</v>
      </c>
      <c r="AW14" s="142">
        <f t="shared" si="4"/>
        <v>5584181.8229999999</v>
      </c>
      <c r="AX14" s="142">
        <f t="shared" si="6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'D Financial'!$A17</f>
        <v>Construction Management Fee</v>
      </c>
      <c r="B15" s="140">
        <f>'D Financial'!$B17</f>
        <v>9306969.7050000001</v>
      </c>
      <c r="C15" s="141"/>
      <c r="D15" s="141"/>
      <c r="E15" s="141"/>
      <c r="F15" s="141"/>
      <c r="G15" s="141"/>
      <c r="H15" s="141"/>
      <c r="I15" s="141"/>
      <c r="J15" s="141"/>
      <c r="K15" s="141"/>
      <c r="L15" s="141"/>
      <c r="M15" s="141"/>
      <c r="N15" s="141">
        <f>$B$15/8</f>
        <v>1163371.213125</v>
      </c>
      <c r="O15" s="141">
        <f t="shared" ref="O15:U15" si="11">$B$15/8</f>
        <v>1163371.213125</v>
      </c>
      <c r="P15" s="141">
        <f t="shared" si="11"/>
        <v>1163371.213125</v>
      </c>
      <c r="Q15" s="141">
        <f t="shared" si="11"/>
        <v>1163371.213125</v>
      </c>
      <c r="R15" s="141">
        <f t="shared" si="11"/>
        <v>1163371.213125</v>
      </c>
      <c r="S15" s="141">
        <f t="shared" si="11"/>
        <v>1163371.213125</v>
      </c>
      <c r="T15" s="141">
        <f t="shared" si="11"/>
        <v>1163371.213125</v>
      </c>
      <c r="U15" s="141">
        <f t="shared" si="11"/>
        <v>1163371.213125</v>
      </c>
      <c r="V15" s="141"/>
      <c r="W15" s="142"/>
      <c r="X15" s="142"/>
      <c r="Y15" s="142"/>
      <c r="Z15" s="142"/>
      <c r="AA15" s="142"/>
      <c r="AB15" s="142"/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7"/>
        <v>9306969.7050000001</v>
      </c>
      <c r="AW15" s="142">
        <f t="shared" si="4"/>
        <v>9306969.7050000001</v>
      </c>
      <c r="AX15" s="142">
        <f t="shared" si="6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'D Financial'!$A18</f>
        <v>Taxes</v>
      </c>
      <c r="B16" s="140">
        <f>'D Financial'!$B18</f>
        <v>0</v>
      </c>
      <c r="C16" s="145"/>
      <c r="D16" s="141"/>
      <c r="E16" s="141"/>
      <c r="F16" s="141"/>
      <c r="G16" s="144"/>
      <c r="H16" s="141"/>
      <c r="I16" s="141"/>
      <c r="J16" s="141"/>
      <c r="K16" s="141"/>
      <c r="L16" s="141"/>
      <c r="M16" s="141"/>
      <c r="N16" s="141"/>
      <c r="O16" s="141"/>
      <c r="P16" s="141"/>
      <c r="Q16" s="98"/>
      <c r="R16" s="141"/>
      <c r="S16" s="98"/>
      <c r="T16" s="141"/>
      <c r="U16" s="141"/>
      <c r="V16" s="141"/>
      <c r="W16" s="142"/>
      <c r="X16" s="142"/>
      <c r="Y16" s="142"/>
      <c r="Z16" s="142"/>
      <c r="AA16" s="142"/>
      <c r="AB16" s="142"/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7"/>
        <v>0</v>
      </c>
      <c r="AW16" s="142">
        <f t="shared" si="4"/>
        <v>0</v>
      </c>
      <c r="AX16" s="142">
        <f t="shared" si="6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'D Financial'!$A19</f>
        <v>Insurance</v>
      </c>
      <c r="B17" s="140">
        <f>'D Financial'!$B19</f>
        <v>2792090.9114999999</v>
      </c>
      <c r="C17" s="145"/>
      <c r="D17" s="144"/>
      <c r="E17" s="144"/>
      <c r="F17" s="141"/>
      <c r="G17" s="141"/>
      <c r="H17" s="141"/>
      <c r="I17" s="141"/>
      <c r="K17" s="141"/>
      <c r="L17" s="145"/>
      <c r="M17" s="141">
        <f>B17</f>
        <v>2792090.9114999999</v>
      </c>
      <c r="N17" s="141"/>
      <c r="O17" s="141"/>
      <c r="P17" s="141"/>
      <c r="Q17" s="141"/>
      <c r="R17" s="141"/>
      <c r="S17" s="141"/>
      <c r="T17" s="98"/>
      <c r="U17" s="141"/>
      <c r="V17" s="141"/>
      <c r="W17" s="142"/>
      <c r="X17" s="142"/>
      <c r="Y17" s="142"/>
      <c r="Z17" s="142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7"/>
        <v>2792090.9114999999</v>
      </c>
      <c r="AW17" s="142">
        <f t="shared" si="4"/>
        <v>2792090.9114999999</v>
      </c>
      <c r="AX17" s="142">
        <f t="shared" si="6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'D Financial'!$A20</f>
        <v>Marketing, FFE and Preleasing</v>
      </c>
      <c r="B18" s="140">
        <f>'D Financial'!$B20</f>
        <v>1600000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487"/>
      <c r="O18" s="487"/>
      <c r="P18" s="141"/>
      <c r="Q18" s="141"/>
      <c r="R18" s="141"/>
      <c r="S18" s="141"/>
      <c r="T18" s="141"/>
      <c r="V18" s="141">
        <f>$B$18/2</f>
        <v>800000</v>
      </c>
      <c r="W18" s="141">
        <f>$B$18/2</f>
        <v>800000</v>
      </c>
      <c r="X18" s="142"/>
      <c r="Y18" s="142"/>
      <c r="Z18" s="142"/>
      <c r="AA18" s="142"/>
      <c r="AB18" s="142"/>
      <c r="AC18" s="142"/>
      <c r="AD18" s="142"/>
      <c r="AE18" s="142"/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7"/>
        <v>1600000</v>
      </c>
      <c r="AW18" s="142">
        <f t="shared" si="4"/>
        <v>1600000</v>
      </c>
      <c r="AX18" s="142">
        <f t="shared" si="6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'D Financial'!$A21</f>
        <v>Operating Deficit</v>
      </c>
      <c r="B19" s="140">
        <f>'D Financial'!$B21</f>
        <v>0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487"/>
      <c r="O19" s="487"/>
      <c r="P19" s="487"/>
      <c r="Q19" s="487"/>
      <c r="R19" s="141"/>
      <c r="S19" s="141"/>
      <c r="T19" s="141"/>
      <c r="U19" s="151"/>
      <c r="V19" s="141"/>
      <c r="W19" s="141"/>
      <c r="X19" s="104"/>
      <c r="Y19" s="104"/>
      <c r="Z19" s="104"/>
      <c r="AA19" s="104"/>
      <c r="AB19" s="104"/>
      <c r="AC19" s="104"/>
      <c r="AD19" s="104"/>
      <c r="AE19" s="104"/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7"/>
        <v>0</v>
      </c>
      <c r="AW19" s="142">
        <f t="shared" si="4"/>
        <v>0</v>
      </c>
      <c r="AX19" s="142">
        <f t="shared" si="6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'D Financial'!$A22</f>
        <v>Commercial Tenant Improvements</v>
      </c>
      <c r="B20" s="140">
        <f>'D Financial'!$B22</f>
        <v>0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/>
      <c r="S20" s="141"/>
      <c r="T20" s="141"/>
      <c r="U20" s="141"/>
      <c r="V20" s="141"/>
      <c r="W20" s="142"/>
      <c r="X20" s="142"/>
      <c r="Y20" s="142"/>
      <c r="Z20" s="142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7"/>
        <v>0</v>
      </c>
      <c r="AW20" s="142">
        <f t="shared" si="4"/>
        <v>0</v>
      </c>
      <c r="AX20" s="142">
        <f t="shared" si="6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'D Financial'!$A23</f>
        <v>Commercial brokerage</v>
      </c>
      <c r="B21" s="140">
        <f>'D Financial'!$B23</f>
        <v>0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2"/>
      <c r="X21" s="142"/>
      <c r="Y21" s="142"/>
      <c r="Z21" s="142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7"/>
        <v>0</v>
      </c>
      <c r="AW21" s="142">
        <f t="shared" si="4"/>
        <v>0</v>
      </c>
      <c r="AX21" s="142">
        <f t="shared" si="6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'D Financial'!$A24</f>
        <v>Construction Loan Origination</v>
      </c>
      <c r="B22" s="140">
        <f ca="1">'D Financial'!$B24</f>
        <v>2176924.3960552495</v>
      </c>
      <c r="C22" s="141"/>
      <c r="D22" s="141"/>
      <c r="E22" s="141"/>
      <c r="F22" s="141"/>
      <c r="G22" s="141"/>
      <c r="H22" s="141"/>
      <c r="J22" s="141"/>
      <c r="K22" s="141"/>
      <c r="L22" s="141"/>
      <c r="N22" s="141">
        <f ca="1">$B22</f>
        <v>2176924.3960552495</v>
      </c>
      <c r="O22" s="141"/>
      <c r="P22" s="98"/>
      <c r="Q22" s="141"/>
      <c r="R22" s="141"/>
      <c r="S22" s="141"/>
      <c r="T22" s="141"/>
      <c r="U22" s="141"/>
      <c r="V22" s="141"/>
      <c r="W22" s="142"/>
      <c r="X22" s="142"/>
      <c r="Y22" s="142"/>
      <c r="Z22" s="142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7"/>
        <v>2176924.3960552495</v>
      </c>
      <c r="AW22" s="142">
        <f t="shared" ca="1" si="4"/>
        <v>2176924.3960552495</v>
      </c>
      <c r="AX22" s="142">
        <f t="shared" ca="1" si="6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'D Financial'!$A25</f>
        <v>Construction Interest</v>
      </c>
      <c r="B23" s="140">
        <f ca="1">'D Financial'!$B25</f>
        <v>10158980.5149245</v>
      </c>
      <c r="C23" s="153"/>
      <c r="D23" s="141"/>
      <c r="E23" s="141"/>
      <c r="F23" s="141"/>
      <c r="G23" s="141"/>
      <c r="H23" s="141"/>
      <c r="I23" s="141"/>
      <c r="J23" s="141"/>
      <c r="K23" s="141">
        <f ca="1">$B$23*0.1</f>
        <v>1015898.0514924501</v>
      </c>
      <c r="L23" s="141">
        <f ca="1">$B$23*0.1</f>
        <v>1015898.0514924501</v>
      </c>
      <c r="M23" s="141">
        <f ca="1">$B$23*0.1</f>
        <v>1015898.0514924501</v>
      </c>
      <c r="N23" s="141">
        <f ca="1">$B$23*0.1</f>
        <v>1015898.0514924501</v>
      </c>
      <c r="O23" s="141">
        <f ca="1">$B$23*0.2</f>
        <v>2031796.1029849001</v>
      </c>
      <c r="P23" s="141">
        <f ca="1">$B$23*0.2</f>
        <v>2031796.1029849001</v>
      </c>
      <c r="Q23" s="141">
        <f ca="1">$B$23*0.2</f>
        <v>2031796.1029849001</v>
      </c>
      <c r="R23" s="141"/>
      <c r="S23" s="141"/>
      <c r="T23" s="141"/>
      <c r="U23" s="141"/>
      <c r="V23" s="141"/>
      <c r="W23" s="142"/>
      <c r="X23" s="142"/>
      <c r="Y23" s="142"/>
      <c r="Z23" s="142"/>
      <c r="AA23" s="142"/>
      <c r="AB23" s="142"/>
      <c r="AC23" s="142"/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ca="1" si="7"/>
        <v>10158980.5149245</v>
      </c>
      <c r="AW23" s="142">
        <f t="shared" ca="1" si="4"/>
        <v>10158980.5149245</v>
      </c>
      <c r="AX23" s="142">
        <f t="shared" ca="1" si="6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'D Financial'!$A26</f>
        <v>Additional Contingency</v>
      </c>
      <c r="B24" s="154">
        <f ca="1">'D Financial'!$B26</f>
        <v>3646613.6491035828</v>
      </c>
      <c r="C24" s="155">
        <f ca="1">$B$24*C4</f>
        <v>0</v>
      </c>
      <c r="D24" s="155">
        <f t="shared" ref="D24:U24" ca="1" si="12">$B$24*D4</f>
        <v>0</v>
      </c>
      <c r="E24" s="155">
        <f t="shared" ca="1" si="12"/>
        <v>0</v>
      </c>
      <c r="F24" s="155">
        <f t="shared" ca="1" si="12"/>
        <v>0</v>
      </c>
      <c r="G24" s="155">
        <f t="shared" ca="1" si="12"/>
        <v>0</v>
      </c>
      <c r="H24" s="155">
        <f t="shared" ca="1" si="12"/>
        <v>0</v>
      </c>
      <c r="I24" s="155">
        <f t="shared" ca="1" si="12"/>
        <v>0</v>
      </c>
      <c r="J24" s="155">
        <f t="shared" ca="1" si="12"/>
        <v>0</v>
      </c>
      <c r="K24" s="155">
        <f t="shared" ca="1" si="12"/>
        <v>0</v>
      </c>
      <c r="L24" s="155">
        <f t="shared" ca="1" si="12"/>
        <v>0</v>
      </c>
      <c r="M24" s="155">
        <f t="shared" ca="1" si="12"/>
        <v>0</v>
      </c>
      <c r="N24" s="155">
        <f t="shared" ca="1" si="12"/>
        <v>182330.68245517917</v>
      </c>
      <c r="O24" s="155">
        <f t="shared" ca="1" si="12"/>
        <v>364661.36491035833</v>
      </c>
      <c r="P24" s="155">
        <f t="shared" ca="1" si="12"/>
        <v>546992.04736553738</v>
      </c>
      <c r="Q24" s="155">
        <f t="shared" ca="1" si="12"/>
        <v>729322.72982071666</v>
      </c>
      <c r="R24" s="155">
        <f t="shared" ca="1" si="12"/>
        <v>911653.41227589571</v>
      </c>
      <c r="S24" s="155">
        <f t="shared" ca="1" si="12"/>
        <v>364661.36491035833</v>
      </c>
      <c r="T24" s="155">
        <f t="shared" ca="1" si="12"/>
        <v>364661.36491035833</v>
      </c>
      <c r="U24" s="155">
        <f t="shared" ca="1" si="12"/>
        <v>182330.68245517917</v>
      </c>
      <c r="V24" s="155"/>
      <c r="W24" s="155"/>
      <c r="X24" s="610"/>
      <c r="Y24" s="610"/>
      <c r="Z24" s="610"/>
      <c r="AA24" s="610"/>
      <c r="AB24" s="610"/>
      <c r="AC24" s="610"/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ca="1" si="7"/>
        <v>3646613.6491035838</v>
      </c>
      <c r="AW24" s="156">
        <f t="shared" ca="1" si="4"/>
        <v>3646613.6491035828</v>
      </c>
      <c r="AX24" s="156">
        <f t="shared" ca="1" si="6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'D Financial'!$A27</f>
        <v>Total Project Cost</v>
      </c>
      <c r="B25" s="608">
        <f ca="1">'D Financial'!$B27</f>
        <v>231928107.49820241</v>
      </c>
      <c r="C25" s="62">
        <f ca="1">SUM(C5:C24)</f>
        <v>0</v>
      </c>
      <c r="D25" s="62">
        <f t="shared" ref="D25:W25" ca="1" si="13">SUM(D5:D24)</f>
        <v>0</v>
      </c>
      <c r="E25" s="62">
        <f t="shared" ca="1" si="13"/>
        <v>0</v>
      </c>
      <c r="F25" s="62">
        <f t="shared" ca="1" si="13"/>
        <v>0</v>
      </c>
      <c r="G25" s="62">
        <f t="shared" ca="1" si="13"/>
        <v>0</v>
      </c>
      <c r="H25" s="62">
        <f t="shared" ca="1" si="13"/>
        <v>0</v>
      </c>
      <c r="I25" s="62">
        <f t="shared" ca="1" si="13"/>
        <v>413643.098</v>
      </c>
      <c r="J25" s="62">
        <f t="shared" ca="1" si="13"/>
        <v>1034107.745</v>
      </c>
      <c r="K25" s="62">
        <f t="shared" ca="1" si="13"/>
        <v>2050005.7964924499</v>
      </c>
      <c r="L25" s="62">
        <f t="shared" ca="1" si="13"/>
        <v>2050005.7964924499</v>
      </c>
      <c r="M25" s="62">
        <f t="shared" ca="1" si="13"/>
        <v>4842096.7079924503</v>
      </c>
      <c r="N25" s="62">
        <f t="shared" ca="1" si="13"/>
        <v>24884594.226002879</v>
      </c>
      <c r="O25" s="62">
        <f t="shared" ca="1" si="13"/>
        <v>23905898.563895263</v>
      </c>
      <c r="P25" s="62">
        <f t="shared" ca="1" si="13"/>
        <v>33395198.951350443</v>
      </c>
      <c r="Q25" s="62">
        <f t="shared" ca="1" si="13"/>
        <v>42884499.338805608</v>
      </c>
      <c r="R25" s="62">
        <f t="shared" ca="1" si="13"/>
        <v>44952170.049085416</v>
      </c>
      <c r="S25" s="62">
        <f t="shared" ca="1" si="13"/>
        <v>16484268.886719882</v>
      </c>
      <c r="T25" s="62">
        <f t="shared" ca="1" si="13"/>
        <v>21460459.36291036</v>
      </c>
      <c r="U25" s="62">
        <f t="shared" ca="1" si="13"/>
        <v>11971158.975455178</v>
      </c>
      <c r="V25" s="62">
        <f t="shared" si="13"/>
        <v>800000</v>
      </c>
      <c r="W25" s="62">
        <f t="shared" si="13"/>
        <v>800000</v>
      </c>
      <c r="X25" s="62">
        <f t="shared" ref="X25:AX25" si="14">SUM(X4:X24)</f>
        <v>0</v>
      </c>
      <c r="Y25" s="62">
        <f t="shared" si="14"/>
        <v>0</v>
      </c>
      <c r="Z25" s="62">
        <f t="shared" si="14"/>
        <v>0</v>
      </c>
      <c r="AA25" s="62">
        <f t="shared" si="14"/>
        <v>0</v>
      </c>
      <c r="AB25" s="62">
        <f t="shared" si="14"/>
        <v>0</v>
      </c>
      <c r="AC25" s="62">
        <f t="shared" si="14"/>
        <v>0</v>
      </c>
      <c r="AD25" s="62">
        <f t="shared" si="14"/>
        <v>0</v>
      </c>
      <c r="AE25" s="62">
        <f t="shared" si="14"/>
        <v>0</v>
      </c>
      <c r="AF25" s="62">
        <f t="shared" si="14"/>
        <v>0</v>
      </c>
      <c r="AG25" s="62">
        <f t="shared" si="14"/>
        <v>0</v>
      </c>
      <c r="AH25" s="62">
        <f t="shared" si="14"/>
        <v>0</v>
      </c>
      <c r="AI25" s="62">
        <f t="shared" si="14"/>
        <v>0</v>
      </c>
      <c r="AJ25" s="62">
        <f t="shared" si="14"/>
        <v>0</v>
      </c>
      <c r="AK25" s="62">
        <f t="shared" si="14"/>
        <v>0</v>
      </c>
      <c r="AL25" s="62">
        <f t="shared" si="14"/>
        <v>0</v>
      </c>
      <c r="AM25" s="62">
        <f t="shared" si="14"/>
        <v>0</v>
      </c>
      <c r="AN25" s="62">
        <f t="shared" si="14"/>
        <v>0</v>
      </c>
      <c r="AO25" s="62">
        <f t="shared" si="14"/>
        <v>0</v>
      </c>
      <c r="AP25" s="62">
        <f t="shared" si="14"/>
        <v>0</v>
      </c>
      <c r="AQ25" s="62">
        <f t="shared" si="14"/>
        <v>0</v>
      </c>
      <c r="AR25" s="62">
        <f t="shared" si="14"/>
        <v>0</v>
      </c>
      <c r="AS25" s="62">
        <f t="shared" si="14"/>
        <v>0</v>
      </c>
      <c r="AT25" s="62">
        <f t="shared" si="14"/>
        <v>0</v>
      </c>
      <c r="AU25" s="62">
        <f t="shared" si="14"/>
        <v>0</v>
      </c>
      <c r="AV25" s="62">
        <f t="shared" ca="1" si="14"/>
        <v>231928108.49820241</v>
      </c>
      <c r="AW25" s="62">
        <f t="shared" ca="1" si="14"/>
        <v>231928107.49820241</v>
      </c>
      <c r="AX25" s="62">
        <f t="shared" ca="1" si="14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'D Financial'!D11</f>
        <v>-16319841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215608266.49820241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92771242.999280974</v>
      </c>
      <c r="C28" s="142">
        <f ca="1">C25</f>
        <v>0</v>
      </c>
      <c r="D28" s="142">
        <f t="shared" ref="D28:Q28" ca="1" si="15">IF(((C29+D25)&lt;=$B$29),D25,($B$29-C29))</f>
        <v>0</v>
      </c>
      <c r="E28" s="142">
        <f t="shared" ca="1" si="15"/>
        <v>0</v>
      </c>
      <c r="F28" s="142">
        <f t="shared" ca="1" si="15"/>
        <v>0</v>
      </c>
      <c r="G28" s="142">
        <f t="shared" ca="1" si="15"/>
        <v>0</v>
      </c>
      <c r="H28" s="142">
        <f t="shared" ca="1" si="15"/>
        <v>0</v>
      </c>
      <c r="I28" s="142">
        <f t="shared" ca="1" si="15"/>
        <v>413643.098</v>
      </c>
      <c r="J28" s="142">
        <f t="shared" ca="1" si="15"/>
        <v>1034107.745</v>
      </c>
      <c r="K28" s="142">
        <f t="shared" ca="1" si="15"/>
        <v>2050005.7964924499</v>
      </c>
      <c r="L28" s="142">
        <f t="shared" ca="1" si="15"/>
        <v>2050005.7964924499</v>
      </c>
      <c r="M28" s="142">
        <f t="shared" ca="1" si="15"/>
        <v>4842096.7079924503</v>
      </c>
      <c r="N28" s="142">
        <f t="shared" ca="1" si="15"/>
        <v>24884594.226002879</v>
      </c>
      <c r="O28" s="142">
        <f t="shared" ca="1" si="15"/>
        <v>23905898.563895263</v>
      </c>
      <c r="P28" s="142">
        <f t="shared" ca="1" si="15"/>
        <v>33395198.951350443</v>
      </c>
      <c r="Q28" s="142">
        <f t="shared" ca="1" si="15"/>
        <v>195692.1140550375</v>
      </c>
      <c r="R28" s="142">
        <f t="shared" ref="R28" ca="1" si="16">IF(((Q29+R25)&lt;=$B$29),R25,($B$29-Q29))</f>
        <v>0</v>
      </c>
      <c r="S28" s="142">
        <f t="shared" ref="S28" ca="1" si="17">IF(((R29+S25)&lt;=$B$29),S25,($B$29-R29))</f>
        <v>0</v>
      </c>
      <c r="T28" s="142">
        <f t="shared" ref="T28" ca="1" si="18">IF(((S29+T25)&lt;=$B$29),T25,($B$29-S29))</f>
        <v>0</v>
      </c>
      <c r="U28" s="142">
        <f t="shared" ref="U28" ca="1" si="19">IF(((T29+U25)&lt;=$B$29),U25,($B$29-T29))</f>
        <v>0</v>
      </c>
      <c r="V28" s="142">
        <f t="shared" ref="V28" ca="1" si="20">IF(((U29+V25)&lt;=$B$29),V25,($B$29-U29))</f>
        <v>0</v>
      </c>
      <c r="W28" s="142">
        <f t="shared" ref="W28" ca="1" si="21">IF(((V29+W25)&lt;=$B$29),W25,($B$29-V29))</f>
        <v>0</v>
      </c>
      <c r="X28" s="142"/>
      <c r="Y28" s="142"/>
      <c r="Z28" s="142"/>
      <c r="AA28" s="142"/>
      <c r="AB28" s="142"/>
      <c r="AC28" s="142"/>
      <c r="AD28" s="142"/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'D Financial'!D15</f>
        <v>92771242.999280974</v>
      </c>
      <c r="C29" s="142">
        <f ca="1">C28</f>
        <v>0</v>
      </c>
      <c r="D29" s="142">
        <f ca="1">IF(SUM($C$28:D$28)&lt;=$B29,SUM($C$28:D$28),0)</f>
        <v>0</v>
      </c>
      <c r="E29" s="142">
        <f ca="1">IF(SUM($C$28:E28)&lt;=$B29,SUM($C$28:E28),0)</f>
        <v>0</v>
      </c>
      <c r="F29" s="142">
        <f ca="1">IF(SUM($C$28:F28)&lt;=$B29,SUM($C$28:F28),0)</f>
        <v>0</v>
      </c>
      <c r="G29" s="142">
        <f ca="1">IF(SUM($C$28:G28)&lt;=$B29,SUM($C$28:G28),0)</f>
        <v>0</v>
      </c>
      <c r="H29" s="142">
        <f ca="1">IF(SUM($C$28:H28)&lt;=$B29,SUM($C$28:H28),0)</f>
        <v>0</v>
      </c>
      <c r="I29" s="142">
        <f ca="1">IF(SUM($C$28:I28)&lt;=$B29,SUM($C$28:I28),0)</f>
        <v>413643.098</v>
      </c>
      <c r="J29" s="142">
        <f ca="1">IF(SUM($C$28:J28)&lt;=$B29,SUM($C$28:J28),0)</f>
        <v>1447750.8429999999</v>
      </c>
      <c r="K29" s="142">
        <f ca="1">IF(SUM($C$28:K28)&lt;=$B29,SUM($C$28:K28),0)</f>
        <v>3497756.6394924498</v>
      </c>
      <c r="L29" s="142">
        <f ca="1">IF(SUM($C$28:L28)&lt;=$B29,SUM($C$28:L28),0)</f>
        <v>5547762.4359849002</v>
      </c>
      <c r="M29" s="142">
        <f ca="1">IF(SUM($C$28:M28)&lt;=$B29,SUM($C$28:M28),0)</f>
        <v>10389859.143977351</v>
      </c>
      <c r="N29" s="142">
        <f ca="1">IF(SUM($C$28:N28)&lt;=$B29,SUM($C$28:N28),0)</f>
        <v>35274453.369980231</v>
      </c>
      <c r="O29" s="142">
        <f ca="1">IF(SUM($C$28:O28)&lt;=$B29,SUM($C$28:O28),0)</f>
        <v>59180351.933875494</v>
      </c>
      <c r="P29" s="142">
        <f ca="1">IF(SUM($C$28:P28)&lt;=$B29,SUM($C$28:P28),0)</f>
        <v>92575550.885225937</v>
      </c>
      <c r="Q29" s="142">
        <f ca="1">IF(SUM($C$28:Q28)&lt;=$B29,SUM($C$28:Q28),0)</f>
        <v>92771242.999280974</v>
      </c>
      <c r="R29" s="142">
        <f ca="1">IF(SUM($C$28:R28)&lt;=$B29,SUM($C$28:R28),0)</f>
        <v>92771242.999280974</v>
      </c>
      <c r="S29" s="142">
        <f ca="1">IF(SUM($C$28:S28)&lt;=$B29,SUM($C$28:S28),0)</f>
        <v>92771242.999280974</v>
      </c>
      <c r="T29" s="142">
        <f ca="1">IF(SUM($C$28:T28)&lt;=$B29,SUM($C$28:T28),0)</f>
        <v>92771242.999280974</v>
      </c>
      <c r="U29" s="142">
        <f ca="1">IF(SUM($C$28:U28)&lt;=$B29,SUM($C$28:U28),0)</f>
        <v>92771242.999280974</v>
      </c>
      <c r="V29" s="142">
        <f ca="1">IF(SUM($C$28:V28)&lt;=$B29,SUM($C$28:V28),0)</f>
        <v>92771242.999280974</v>
      </c>
      <c r="W29" s="142">
        <f ca="1">IF(SUM($C$28:W28)&lt;=$B29,SUM($C$28:W28),0)</f>
        <v>92771242.999280974</v>
      </c>
      <c r="X29" s="142"/>
      <c r="Y29" s="142"/>
      <c r="Z29" s="142"/>
      <c r="AA29" s="142"/>
      <c r="AB29" s="142"/>
      <c r="AC29" s="142"/>
      <c r="AD29" s="142"/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'D Financial'!D14</f>
        <v>139156864.49892145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PMT(0.065,30,(B30))</f>
        <v>-10656276.754288165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'D Financial'!D21+'D Financial'!D22</f>
        <v>135528066.7117452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SUM(C35:AU35)</f>
        <v>42756823.712464228</v>
      </c>
      <c r="C35" s="170">
        <f t="shared" ref="C35:P35" ca="1" si="22">-C28</f>
        <v>0</v>
      </c>
      <c r="D35" s="170">
        <f t="shared" ca="1" si="22"/>
        <v>0</v>
      </c>
      <c r="E35" s="170">
        <f t="shared" ca="1" si="22"/>
        <v>0</v>
      </c>
      <c r="F35" s="170">
        <f t="shared" ca="1" si="22"/>
        <v>0</v>
      </c>
      <c r="G35" s="170">
        <f t="shared" ca="1" si="22"/>
        <v>0</v>
      </c>
      <c r="H35" s="170">
        <f t="shared" ca="1" si="22"/>
        <v>0</v>
      </c>
      <c r="I35" s="170">
        <f t="shared" ca="1" si="22"/>
        <v>-413643.098</v>
      </c>
      <c r="J35" s="170">
        <f t="shared" ca="1" si="22"/>
        <v>-1034107.745</v>
      </c>
      <c r="K35" s="170">
        <f t="shared" ca="1" si="22"/>
        <v>-2050005.7964924499</v>
      </c>
      <c r="L35" s="170">
        <f t="shared" ca="1" si="22"/>
        <v>-2050005.7964924499</v>
      </c>
      <c r="M35" s="170">
        <f t="shared" ca="1" si="22"/>
        <v>-4842096.7079924503</v>
      </c>
      <c r="N35" s="170">
        <f t="shared" ca="1" si="22"/>
        <v>-24884594.226002879</v>
      </c>
      <c r="O35" s="170">
        <f t="shared" ca="1" si="22"/>
        <v>-23905898.563895263</v>
      </c>
      <c r="P35" s="170">
        <f t="shared" ca="1" si="22"/>
        <v>-33395198.951350443</v>
      </c>
      <c r="Q35" s="170">
        <f t="shared" ref="Q35:V35" ca="1" si="23">-Q28</f>
        <v>-195692.1140550375</v>
      </c>
      <c r="R35" s="170">
        <f t="shared" ca="1" si="23"/>
        <v>0</v>
      </c>
      <c r="S35" s="170">
        <f t="shared" ca="1" si="23"/>
        <v>0</v>
      </c>
      <c r="T35" s="170">
        <f t="shared" ca="1" si="23"/>
        <v>0</v>
      </c>
      <c r="U35" s="170">
        <f t="shared" ca="1" si="23"/>
        <v>0</v>
      </c>
      <c r="V35" s="170">
        <f t="shared" ca="1" si="23"/>
        <v>0</v>
      </c>
      <c r="W35" s="171">
        <f ca="1">B34</f>
        <v>135528066.7117452</v>
      </c>
      <c r="X35" s="170"/>
      <c r="Y35" s="170"/>
      <c r="Z35" s="170"/>
      <c r="AA35" s="170"/>
      <c r="AB35" s="170"/>
      <c r="AC35" s="170"/>
      <c r="AD35" s="170"/>
      <c r="AE35" s="170"/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4.6799027698659179E-2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0.20075178888214129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7"/>
      <c r="R37" s="177"/>
      <c r="S37" s="177"/>
      <c r="T37" s="177"/>
      <c r="U37" s="177"/>
      <c r="V37" s="177"/>
      <c r="W37" s="176"/>
      <c r="X37" s="176"/>
      <c r="Y37" s="176"/>
      <c r="Z37" s="176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7"/>
      <c r="R38" s="177"/>
      <c r="S38" s="177"/>
      <c r="T38" s="177"/>
      <c r="U38" s="177"/>
      <c r="V38" s="177"/>
      <c r="W38" s="176"/>
      <c r="X38" s="176"/>
      <c r="Y38" s="176"/>
      <c r="Z38" s="176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'D Financial'!D21-B26</f>
        <v>291004772.21066666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7"/>
      <c r="R39" s="177"/>
      <c r="S39" s="177"/>
      <c r="T39" s="177"/>
      <c r="U39" s="177"/>
      <c r="V39" s="177"/>
      <c r="W39" s="176"/>
      <c r="X39" s="176"/>
      <c r="Y39" s="176"/>
      <c r="Z39" s="176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59076664.712464303</v>
      </c>
      <c r="C40" s="142">
        <f t="shared" ref="C40:P40" ca="1" si="24">-C25</f>
        <v>0</v>
      </c>
      <c r="D40" s="142">
        <f t="shared" ca="1" si="24"/>
        <v>0</v>
      </c>
      <c r="E40" s="142">
        <f t="shared" ca="1" si="24"/>
        <v>0</v>
      </c>
      <c r="F40" s="142">
        <f t="shared" ca="1" si="24"/>
        <v>0</v>
      </c>
      <c r="G40" s="142">
        <f t="shared" ca="1" si="24"/>
        <v>0</v>
      </c>
      <c r="H40" s="142">
        <f t="shared" ca="1" si="24"/>
        <v>0</v>
      </c>
      <c r="I40" s="142">
        <f t="shared" ca="1" si="24"/>
        <v>-413643.098</v>
      </c>
      <c r="J40" s="142">
        <f t="shared" ca="1" si="24"/>
        <v>-1034107.745</v>
      </c>
      <c r="K40" s="142">
        <f t="shared" ca="1" si="24"/>
        <v>-2050005.7964924499</v>
      </c>
      <c r="L40" s="142">
        <f t="shared" ca="1" si="24"/>
        <v>-2050005.7964924499</v>
      </c>
      <c r="M40" s="142">
        <f t="shared" ca="1" si="24"/>
        <v>-4842096.7079924503</v>
      </c>
      <c r="N40" s="142">
        <f t="shared" ca="1" si="24"/>
        <v>-24884594.226002879</v>
      </c>
      <c r="O40" s="142">
        <f t="shared" ca="1" si="24"/>
        <v>-23905898.563895263</v>
      </c>
      <c r="P40" s="142">
        <f t="shared" ca="1" si="24"/>
        <v>-33395198.951350443</v>
      </c>
      <c r="Q40" s="142">
        <f t="shared" ref="Q40:V40" ca="1" si="25">-Q25</f>
        <v>-42884499.338805608</v>
      </c>
      <c r="R40" s="142">
        <f t="shared" ca="1" si="25"/>
        <v>-44952170.049085416</v>
      </c>
      <c r="S40" s="142">
        <f t="shared" ca="1" si="25"/>
        <v>-16484268.886719882</v>
      </c>
      <c r="T40" s="142">
        <f t="shared" ca="1" si="25"/>
        <v>-21460459.36291036</v>
      </c>
      <c r="U40" s="142">
        <f t="shared" ca="1" si="25"/>
        <v>-11971158.975455178</v>
      </c>
      <c r="V40" s="142">
        <f t="shared" si="25"/>
        <v>-800000</v>
      </c>
      <c r="W40" s="174">
        <f ca="1">B39-W25</f>
        <v>290204772.21066666</v>
      </c>
      <c r="X40" s="142"/>
      <c r="Y40" s="142"/>
      <c r="Z40" s="142"/>
      <c r="AA40" s="142"/>
      <c r="AB40" s="142"/>
      <c r="AC40" s="142"/>
      <c r="AD40" s="142"/>
      <c r="AE40" s="142"/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3.7681331199018064E-2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0.15946064947287875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240" priority="1" operator="equal">
      <formula>#REF!</formula>
    </cfRule>
    <cfRule type="cellIs" dxfId="239" priority="2" operator="equal">
      <formula>#REF!</formula>
    </cfRule>
    <cfRule type="cellIs" dxfId="238" priority="3" operator="equal">
      <formula>#REF!</formula>
    </cfRule>
    <cfRule type="cellIs" dxfId="237" priority="4" operator="equal">
      <formula>#REF!</formula>
    </cfRule>
  </conditionalFormatting>
  <conditionalFormatting sqref="AT4:AU4">
    <cfRule type="cellIs" dxfId="236" priority="5" operator="equal">
      <formula>#REF!</formula>
    </cfRule>
    <cfRule type="cellIs" dxfId="235" priority="6" operator="equal">
      <formula>#REF!</formula>
    </cfRule>
    <cfRule type="cellIs" dxfId="234" priority="7" operator="equal">
      <formula>#REF!</formula>
    </cfRule>
    <cfRule type="cellIs" dxfId="233" priority="8" operator="equal">
      <formula>#REF!</formula>
    </cfRule>
    <cfRule type="cellIs" dxfId="232" priority="9" operator="equal">
      <formula>#REF!</formula>
    </cfRule>
    <cfRule type="cellIs" dxfId="231" priority="10" operator="equal">
      <formula>#REF!</formula>
    </cfRule>
    <cfRule type="cellIs" dxfId="230" priority="11" operator="equal">
      <formula>#REF!</formula>
    </cfRule>
    <cfRule type="cellIs" dxfId="229" priority="12" operator="equal">
      <formula>#REF!</formula>
    </cfRule>
  </conditionalFormatting>
  <conditionalFormatting sqref="AV3:AX3">
    <cfRule type="cellIs" dxfId="228" priority="13" operator="equal">
      <formula>#REF!</formula>
    </cfRule>
    <cfRule type="cellIs" dxfId="227" priority="14" operator="equal">
      <formula>#REF!</formula>
    </cfRule>
    <cfRule type="cellIs" dxfId="226" priority="15" operator="equal">
      <formula>#REF!</formula>
    </cfRule>
    <cfRule type="cellIs" dxfId="225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1C08D-F5A6-484C-B47F-FA7A8A40E586}">
  <sheetPr>
    <tabColor theme="6" tint="-0.249977111117893"/>
    <pageSetUpPr fitToPage="1"/>
  </sheetPr>
  <dimension ref="A1:AC164"/>
  <sheetViews>
    <sheetView showGridLines="0" zoomScale="55" zoomScaleNormal="55" zoomScaleSheetLayoutView="90" workbookViewId="0">
      <selection activeCell="A54" sqref="A54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199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139132754.63703704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1313211691.6094275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502794165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50279416.5</v>
      </c>
      <c r="C8" s="637" t="s">
        <v>321</v>
      </c>
      <c r="D8" s="545">
        <f>SUM(E130:E131,K130:K131,Q130:Q131,W130:W131)</f>
        <v>1313211691.6094275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Program'!$G$39</f>
        <v>547619.04761904757</v>
      </c>
      <c r="C11" s="25" t="s">
        <v>103</v>
      </c>
      <c r="D11" s="354">
        <f ca="1">IF(B31&lt;0,B31,0)</f>
        <v>0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27653679.074999999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11061471.629999999</v>
      </c>
      <c r="C13" s="25" t="s">
        <v>104</v>
      </c>
      <c r="D13" s="354">
        <f ca="1">B27+D11</f>
        <v>801057527.10084403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Assumptions!H16</f>
        <v>0</v>
      </c>
      <c r="D14" s="355">
        <f ca="1">C14*B$27</f>
        <v>0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22122943.259999998</v>
      </c>
      <c r="C15" s="382">
        <f>1-C14</f>
        <v>1</v>
      </c>
      <c r="D15" s="356">
        <f ca="1">C15*B$27</f>
        <v>801057527.10084403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16592207.445</v>
      </c>
      <c r="C16" s="383" t="s">
        <v>105</v>
      </c>
      <c r="D16" s="93">
        <f ca="1">D14+D15</f>
        <v>801057527.10084403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27653679.074999999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 t="shared" si="0"/>
        <v>17728357.836727269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8296103.7225000001</v>
      </c>
      <c r="C19" s="385" t="s">
        <v>108</v>
      </c>
      <c r="D19" s="130">
        <f>D6</f>
        <v>1313211691.6094275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2400000</v>
      </c>
      <c r="C20" s="386">
        <v>0.02</v>
      </c>
      <c r="D20" s="131">
        <f>-C20*D19</f>
        <v>-26264233.83218855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28464124.5</v>
      </c>
      <c r="C21" s="387" t="s">
        <v>109</v>
      </c>
      <c r="D21" s="94">
        <f>D19+D20</f>
        <v>1286947457.7772388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22529220</v>
      </c>
      <c r="C22" s="385" t="s">
        <v>110</v>
      </c>
      <c r="D22" s="130">
        <f ca="1">-D14</f>
        <v>0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5793228</v>
      </c>
      <c r="C23" s="388" t="s">
        <v>111</v>
      </c>
      <c r="D23" s="132">
        <f ca="1">-D15</f>
        <v>-801057527.10084403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 ca="1">SUM(C150,I150,O150,U150)</f>
        <v>7227156.8429194596</v>
      </c>
      <c r="C24" s="389" t="s">
        <v>112</v>
      </c>
      <c r="D24" s="95">
        <f ca="1">ROUND(D21+D22+D23,-2)</f>
        <v>485889900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 thickBot="1">
      <c r="A25" s="642" t="s">
        <v>58</v>
      </c>
      <c r="B25" s="396">
        <f>SUM(C151,I151,O151,U151)</f>
        <v>33726731.933624148</v>
      </c>
      <c r="C25" s="390" t="s">
        <v>113</v>
      </c>
      <c r="D25" s="378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16187423.232453961</v>
      </c>
      <c r="C26" s="391"/>
      <c r="D26" s="129" t="s">
        <v>107</v>
      </c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SUM(B7:B26)</f>
        <v>801057527.10084403</v>
      </c>
      <c r="C27" s="392" t="s">
        <v>114</v>
      </c>
      <c r="D27" s="357">
        <f ca="1">(D24+D15)/D15</f>
        <v>1.6065605572155517</v>
      </c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0.17368634577416786</v>
      </c>
      <c r="C28" s="393" t="s">
        <v>115</v>
      </c>
      <c r="D28" s="358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0.63934754643920733</v>
      </c>
      <c r="C29" s="393" t="s">
        <v>116</v>
      </c>
      <c r="D29" s="358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0.4</v>
      </c>
      <c r="B30" s="120">
        <f>D8/(1+A30)</f>
        <v>938008351.14959109</v>
      </c>
      <c r="C30" s="392" t="s">
        <v>117</v>
      </c>
      <c r="D30" s="359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0.4</v>
      </c>
      <c r="B31" s="120">
        <f ca="1">ROUND((D8/(1+A31))-B27,0)</f>
        <v>136950824</v>
      </c>
      <c r="C31" s="394" t="s">
        <v>118</v>
      </c>
      <c r="D31" s="360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286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148526.1</v>
      </c>
      <c r="E34" s="230"/>
      <c r="G34" s="515" t="s">
        <v>259</v>
      </c>
      <c r="H34" s="516" t="s">
        <v>287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327104.19999999995</v>
      </c>
      <c r="K34" s="230"/>
      <c r="L34" s="328"/>
      <c r="M34" s="515" t="s">
        <v>259</v>
      </c>
      <c r="N34" s="516" t="s">
        <v>307</v>
      </c>
      <c r="O34" s="319" t="s">
        <v>203</v>
      </c>
      <c r="P34" s="320">
        <f>IFERROR(INDEX('Building Configuration'!$B$2:$Z$45,MATCH(N$34,'Building Configuration'!$C$2:$C$45,0),MATCH("Total",'Building Configuration'!$B$2:$Z$2,0)),0)</f>
        <v>800233.5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-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0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-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0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-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0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-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0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Laboratory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536410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Retail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94576.9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University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117834.7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University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234052.3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NO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0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NO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0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YES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169246.6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0</v>
      </c>
      <c r="C44" s="460">
        <v>1</v>
      </c>
      <c r="D44" s="322"/>
      <c r="E44" s="231"/>
      <c r="F44" s="223"/>
      <c r="G44" s="6" t="s">
        <v>315</v>
      </c>
      <c r="H44" s="459">
        <v>0</v>
      </c>
      <c r="I44" s="460">
        <v>1</v>
      </c>
      <c r="J44" s="322"/>
      <c r="K44" s="231"/>
      <c r="L44" s="212"/>
      <c r="M44" s="6" t="s">
        <v>315</v>
      </c>
      <c r="N44" s="459">
        <v>0</v>
      </c>
      <c r="O44" s="460">
        <v>1</v>
      </c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-</v>
      </c>
      <c r="C46" s="510" t="s">
        <v>298</v>
      </c>
      <c r="D46" s="308">
        <f>D$35*E$46</f>
        <v>0</v>
      </c>
      <c r="E46" s="303">
        <f>Assumptions!$C$44</f>
        <v>0.75</v>
      </c>
      <c r="F46" s="296"/>
      <c r="G46" s="301" t="s">
        <v>293</v>
      </c>
      <c r="H46" s="302" t="str">
        <f>H$35</f>
        <v>-</v>
      </c>
      <c r="I46" s="510" t="s">
        <v>298</v>
      </c>
      <c r="J46" s="308">
        <f>J$35*K$46</f>
        <v>0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0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>
        <v>0</v>
      </c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>
        <v>0</v>
      </c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0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0</v>
      </c>
      <c r="F49" s="296"/>
      <c r="G49" s="109" t="s">
        <v>72</v>
      </c>
      <c r="H49" s="255">
        <f>H$47*INDEX(Assumptions!$C$52:$C$55,MATCH(G49,Assumptions!$A$52:$A$55,0))</f>
        <v>0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0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0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0</v>
      </c>
      <c r="F50" s="296"/>
      <c r="G50" s="106" t="s">
        <v>73</v>
      </c>
      <c r="H50" s="255">
        <f>H$47*INDEX(Assumptions!$C$52:$C$55,MATCH(G50,Assumptions!$A$52:$A$55,0))</f>
        <v>0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0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0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0</v>
      </c>
      <c r="F51" s="297"/>
      <c r="G51" s="109" t="s">
        <v>74</v>
      </c>
      <c r="H51" s="255">
        <f>H$47*INDEX(Assumptions!$C$52:$C$55,MATCH(G51,Assumptions!$A$52:$A$55,0))</f>
        <v>0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0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0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0</v>
      </c>
      <c r="F52" s="223"/>
      <c r="G52" s="109" t="s">
        <v>75</v>
      </c>
      <c r="H52" s="255">
        <f>H$47*INDEX(Assumptions!$C$52:$C$55,MATCH(G52,Assumptions!$A$52:$A$55,0))</f>
        <v>0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0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0</v>
      </c>
      <c r="C53" s="9">
        <f>SUMPRODUCT(B49:B52,C49:C52)</f>
        <v>0</v>
      </c>
      <c r="D53" s="225"/>
      <c r="E53" s="226">
        <f>SUM(E49:E52)</f>
        <v>0</v>
      </c>
      <c r="F53" s="297"/>
      <c r="G53" s="7" t="s">
        <v>76</v>
      </c>
      <c r="H53" s="8">
        <f>SUM(H49:H52)</f>
        <v>0</v>
      </c>
      <c r="I53" s="9">
        <f>SUMPRODUCT(H49:H52,I49:I52)</f>
        <v>0</v>
      </c>
      <c r="J53" s="225"/>
      <c r="K53" s="226">
        <f>SUM(K49:K52)</f>
        <v>0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0</v>
      </c>
      <c r="D54" s="227">
        <f>IFERROR((E53/12)/C53,0)</f>
        <v>0</v>
      </c>
      <c r="E54" s="228"/>
      <c r="F54" s="317"/>
      <c r="G54" s="10" t="s">
        <v>77</v>
      </c>
      <c r="H54" s="224"/>
      <c r="I54" s="11">
        <f>IFERROR(I53/H53,0)</f>
        <v>0</v>
      </c>
      <c r="J54" s="227">
        <f>IFERROR((K53/12)/I53,0)</f>
        <v>0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-</v>
      </c>
      <c r="C62" s="510" t="s">
        <v>298</v>
      </c>
      <c r="D62" s="308">
        <f>D$37*E$62</f>
        <v>0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0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0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0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0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0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0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0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0</v>
      </c>
      <c r="C69" s="9">
        <f>SUMPRODUCT(B65:B68,C65:C68)</f>
        <v>0</v>
      </c>
      <c r="D69" s="225"/>
      <c r="E69" s="226">
        <f>SUM(E65:E68)</f>
        <v>0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0</v>
      </c>
      <c r="D70" s="227">
        <f>IFERROR((E69/12)/C69,0)</f>
        <v>0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-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-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-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Laboratory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0</v>
      </c>
      <c r="C89" s="218">
        <f>IFERROR(B89*INDEX(Assumptions!$C$46:$C$47,MATCH(A89,Assumptions!$A$46:$A$47,0)),0)</f>
        <v>0</v>
      </c>
      <c r="D89" s="219">
        <f>IF(C89&gt;0,INDEX(Assumptions!$F$5:$F$6,MATCH(A89,Assumptions!$E$5:$E$6,0)),0)</f>
        <v>0</v>
      </c>
      <c r="E89" s="220">
        <f>C89*D89*12</f>
        <v>0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536410</v>
      </c>
      <c r="O90" s="215">
        <f>IFERROR(N90*INDEX(Assumptions!$C$46:$C$47,MATCH(M90,Assumptions!$A$46:$A$47,0)),0)</f>
        <v>321846</v>
      </c>
      <c r="P90" s="315">
        <f>IF(O90&gt;0,INDEX(Assumptions!$F$5:$F$6,MATCH(M90,Assumptions!$E$5:$E$6,0)),0)</f>
        <v>30</v>
      </c>
      <c r="Q90" s="187">
        <f>O90*P90*12</f>
        <v>115864560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0</v>
      </c>
      <c r="C91" s="191">
        <f>SUM(C89:C90)</f>
        <v>0</v>
      </c>
      <c r="D91" s="188">
        <f>IF(B91=0,0,E91/B91)</f>
        <v>0</v>
      </c>
      <c r="E91" s="189">
        <f>SUM(E89:E90)</f>
        <v>0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536410</v>
      </c>
      <c r="O91" s="191">
        <f>SUM(O89:O90)</f>
        <v>321846</v>
      </c>
      <c r="P91" s="188">
        <f>IF(N91=0,0,Q91/N91)</f>
        <v>216</v>
      </c>
      <c r="Q91" s="189">
        <f>SUM(Q89:Q90)</f>
        <v>115864560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Retail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University</v>
      </c>
      <c r="C97" s="311"/>
      <c r="D97" s="312"/>
      <c r="E97" s="326"/>
      <c r="G97" s="301" t="s">
        <v>302</v>
      </c>
      <c r="H97" s="313" t="str">
        <f>H$42</f>
        <v>University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117834.7</v>
      </c>
      <c r="C99" s="218">
        <f>IFERROR(B99*INDEX(Assumptions!$C$48:$C$50,MATCH(A99,Assumptions!$A$48:$A$50,0)),0)</f>
        <v>82484.289999999994</v>
      </c>
      <c r="D99" s="219">
        <f>IF(C99&gt;0,INDEX(Assumptions!$F$7:$F$8,MATCH(A99,Assumptions!$E$7:$E$8,0)),0)</f>
        <v>25</v>
      </c>
      <c r="E99" s="186">
        <f>C99*D99*12</f>
        <v>24745286.999999996</v>
      </c>
      <c r="G99" s="316" t="s">
        <v>285</v>
      </c>
      <c r="H99" s="194">
        <f>IFERROR(IF(H$97=G99,J$42,0),0)</f>
        <v>234052.3</v>
      </c>
      <c r="I99" s="218">
        <f>IFERROR(H99*INDEX(Assumptions!$C$48:$C$50,MATCH(G99,Assumptions!$A$48:$A$50,0)),0)</f>
        <v>163836.60999999999</v>
      </c>
      <c r="J99" s="219">
        <f>IF(I99&gt;0,INDEX(Assumptions!$F$7:$F$8,MATCH(G99,Assumptions!$E$7:$E$8,0)),0)</f>
        <v>25</v>
      </c>
      <c r="K99" s="186">
        <f>I99*J99*12</f>
        <v>49150982.999999993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117834.7</v>
      </c>
      <c r="C101" s="191">
        <f>SUM(C99:C100)</f>
        <v>82484.289999999994</v>
      </c>
      <c r="D101" s="188">
        <f>IF(B101=0,0,E101/B101)</f>
        <v>209.99999999999997</v>
      </c>
      <c r="E101" s="189">
        <f>SUM(E99:E100)</f>
        <v>24745286.999999996</v>
      </c>
      <c r="G101" s="12" t="s">
        <v>76</v>
      </c>
      <c r="H101" s="191">
        <f>SUM(H99:H100)</f>
        <v>234052.3</v>
      </c>
      <c r="I101" s="191">
        <f>SUM(I99:I100)</f>
        <v>163836.60999999999</v>
      </c>
      <c r="J101" s="188">
        <f>IF(H101=0,0,K101/H101)</f>
        <v>209.99999999999997</v>
      </c>
      <c r="K101" s="189">
        <f>SUM(K99:K100)</f>
        <v>49150982.999999993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0</v>
      </c>
      <c r="C103" s="295">
        <f>IF(B103=0,0,IFERROR((B103/Assumptions!$C$82)-1,0))</f>
        <v>0</v>
      </c>
      <c r="D103" s="334"/>
      <c r="E103" s="187"/>
      <c r="G103" s="341"/>
      <c r="H103" s="335">
        <f>J43</f>
        <v>0</v>
      </c>
      <c r="I103" s="295">
        <f>IF(H103=0,0,IFERROR((H103/Assumptions!$C$82)-1,0))</f>
        <v>0</v>
      </c>
      <c r="J103" s="334"/>
      <c r="K103" s="187"/>
      <c r="M103" s="341"/>
      <c r="N103" s="335">
        <f>P43</f>
        <v>169246.6</v>
      </c>
      <c r="O103" s="295">
        <f>IF(N103=0,0,IFERROR((N103/Assumptions!$C$82)-1,0))</f>
        <v>1043.7320987654321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0</v>
      </c>
      <c r="C104" s="333">
        <f>IF(B104=0,0,IFERROR((B104/Assumptions!$C$82)-1,0))</f>
        <v>0</v>
      </c>
      <c r="D104" s="118">
        <f>Assumptions!$C85</f>
        <v>250</v>
      </c>
      <c r="E104" s="220">
        <f>IF(B$56&gt;0,0,IF(C104&lt;0,0,C104*D104*12))</f>
        <v>0</v>
      </c>
      <c r="G104" s="461" t="s">
        <v>79</v>
      </c>
      <c r="H104" s="336">
        <f>H$103*H44</f>
        <v>0</v>
      </c>
      <c r="I104" s="333">
        <f>IF(H104=0,0,IFERROR((H104/Assumptions!$C$82)-1,0))</f>
        <v>0</v>
      </c>
      <c r="J104" s="118">
        <f>Assumptions!$C85</f>
        <v>250</v>
      </c>
      <c r="K104" s="220">
        <f>IF(H$56&gt;0,0,IF(I104&lt;0,0,I104*J104*12))</f>
        <v>0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169246.6</v>
      </c>
      <c r="O105" s="343">
        <f>IF(N105=0,0,IFERROR((N105/Assumptions!$C$82)-1,0))</f>
        <v>1043.7320987654321</v>
      </c>
      <c r="P105" s="344">
        <f>Assumptions!$C86</f>
        <v>200</v>
      </c>
      <c r="Q105" s="345">
        <f>IF(N$56&gt;0,0,IF(O105&lt;0,0,O105*P105*12))</f>
        <v>2504957.0370370368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University 1</v>
      </c>
      <c r="D107" s="256"/>
      <c r="E107" s="281"/>
      <c r="F107" s="13"/>
      <c r="G107" s="259" t="s">
        <v>81</v>
      </c>
      <c r="H107" s="260"/>
      <c r="I107" s="256" t="str">
        <f>H34</f>
        <v>University 2</v>
      </c>
      <c r="J107" s="256"/>
      <c r="K107" s="281"/>
      <c r="L107" s="13"/>
      <c r="M107" s="259" t="s">
        <v>81</v>
      </c>
      <c r="N107" s="260"/>
      <c r="O107" s="256" t="str">
        <f>N34</f>
        <v>Laboratory 5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0</v>
      </c>
      <c r="F109" s="13"/>
      <c r="G109" s="112" t="s">
        <v>268</v>
      </c>
      <c r="H109" s="113"/>
      <c r="I109" s="114"/>
      <c r="J109" s="262"/>
      <c r="K109" s="14">
        <f>SUM(K53,K69,K85)</f>
        <v>0</v>
      </c>
      <c r="L109" s="13"/>
      <c r="M109" s="112" t="s">
        <v>268</v>
      </c>
      <c r="N109" s="113"/>
      <c r="O109" s="114"/>
      <c r="P109" s="262"/>
      <c r="Q109" s="14">
        <f>SUM(Q53,Q69,Q85)</f>
        <v>0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0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115864560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24745286.999999996</v>
      </c>
      <c r="F111" s="13"/>
      <c r="G111" s="266" t="s">
        <v>314</v>
      </c>
      <c r="H111" s="694"/>
      <c r="I111" s="694"/>
      <c r="J111" s="116"/>
      <c r="K111" s="252">
        <f>K101</f>
        <v>49150982.999999993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24745286.999999996</v>
      </c>
      <c r="F112" s="13"/>
      <c r="G112" s="284" t="s">
        <v>275</v>
      </c>
      <c r="H112" s="273"/>
      <c r="I112" s="273"/>
      <c r="J112" s="267"/>
      <c r="K112" s="285">
        <f>SUM(K109:K111)</f>
        <v>49150982.999999993</v>
      </c>
      <c r="L112" s="13"/>
      <c r="M112" s="284" t="s">
        <v>275</v>
      </c>
      <c r="N112" s="273"/>
      <c r="O112" s="273"/>
      <c r="P112" s="267"/>
      <c r="Q112" s="285">
        <f>SUM(Q109:Q111)</f>
        <v>115864560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59"/>
      <c r="C115" s="116"/>
      <c r="D115" s="116"/>
      <c r="E115" s="289">
        <f>E104</f>
        <v>0</v>
      </c>
      <c r="F115" s="13"/>
      <c r="G115" s="288" t="s">
        <v>270</v>
      </c>
      <c r="H115" s="659"/>
      <c r="I115" s="116"/>
      <c r="J115" s="116"/>
      <c r="K115" s="289">
        <f>K104</f>
        <v>0</v>
      </c>
      <c r="L115" s="13"/>
      <c r="M115" s="288" t="s">
        <v>270</v>
      </c>
      <c r="N115" s="659"/>
      <c r="O115" s="116"/>
      <c r="P115" s="116"/>
      <c r="Q115" s="289">
        <f>Q104</f>
        <v>0</v>
      </c>
      <c r="R115" s="13"/>
      <c r="S115" s="288" t="s">
        <v>270</v>
      </c>
      <c r="T115" s="659"/>
      <c r="U115" s="116"/>
      <c r="V115" s="116"/>
      <c r="W115" s="289">
        <f>W104</f>
        <v>0</v>
      </c>
    </row>
    <row r="116" spans="1:25" ht="12.5">
      <c r="A116" s="288" t="s">
        <v>271</v>
      </c>
      <c r="B116" s="659"/>
      <c r="C116" s="116"/>
      <c r="D116" s="116"/>
      <c r="E116" s="289">
        <f>E105</f>
        <v>0</v>
      </c>
      <c r="F116" s="13"/>
      <c r="G116" s="288" t="s">
        <v>271</v>
      </c>
      <c r="H116" s="659"/>
      <c r="I116" s="116"/>
      <c r="J116" s="116"/>
      <c r="K116" s="289">
        <f>K105</f>
        <v>0</v>
      </c>
      <c r="L116" s="13"/>
      <c r="M116" s="288" t="s">
        <v>271</v>
      </c>
      <c r="N116" s="659"/>
      <c r="O116" s="116"/>
      <c r="P116" s="116"/>
      <c r="Q116" s="289">
        <f>Q105</f>
        <v>2504957.0370370368</v>
      </c>
      <c r="R116" s="13"/>
      <c r="S116" s="288" t="s">
        <v>271</v>
      </c>
      <c r="T116" s="659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1732170.0899999999</v>
      </c>
      <c r="F117" s="13"/>
      <c r="G117" s="288" t="s">
        <v>85</v>
      </c>
      <c r="H117" s="116"/>
      <c r="I117" s="116"/>
      <c r="J117" s="116"/>
      <c r="K117" s="289">
        <f>Assumptions!$H$17*K112</f>
        <v>3440568.8099999996</v>
      </c>
      <c r="L117" s="13"/>
      <c r="M117" s="288" t="s">
        <v>85</v>
      </c>
      <c r="N117" s="116"/>
      <c r="O117" s="116"/>
      <c r="P117" s="116"/>
      <c r="Q117" s="289">
        <f>Assumptions!$H$17*Q112</f>
        <v>8110519.2000000011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1732170.0899999999</v>
      </c>
      <c r="F118" s="13"/>
      <c r="G118" s="264" t="s">
        <v>86</v>
      </c>
      <c r="H118" s="249"/>
      <c r="I118" s="268"/>
      <c r="J118" s="280"/>
      <c r="K118" s="250">
        <f>SUM(K115:K117)</f>
        <v>3440568.8099999996</v>
      </c>
      <c r="L118" s="13"/>
      <c r="M118" s="264" t="s">
        <v>86</v>
      </c>
      <c r="N118" s="249"/>
      <c r="O118" s="268"/>
      <c r="P118" s="280"/>
      <c r="Q118" s="250">
        <f>SUM(Q115:Q117)</f>
        <v>10615476.237037038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-1237264.3499999999</v>
      </c>
      <c r="F119" s="13"/>
      <c r="G119" s="70">
        <v>0.05</v>
      </c>
      <c r="H119" s="251"/>
      <c r="I119" s="269"/>
      <c r="J119" s="279"/>
      <c r="K119" s="258">
        <f>-G119*K112</f>
        <v>-2457549.15</v>
      </c>
      <c r="L119" s="13"/>
      <c r="M119" s="70">
        <v>0.05</v>
      </c>
      <c r="N119" s="251"/>
      <c r="O119" s="269"/>
      <c r="P119" s="279"/>
      <c r="Q119" s="258">
        <f>-M119*Q112</f>
        <v>-5793228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25240192.739999995</v>
      </c>
      <c r="F120" s="13"/>
      <c r="G120" s="117" t="s">
        <v>87</v>
      </c>
      <c r="H120" s="15"/>
      <c r="I120" s="270"/>
      <c r="J120" s="278"/>
      <c r="K120" s="271">
        <f>K112+K118+K119</f>
        <v>50134002.659999996</v>
      </c>
      <c r="L120" s="13"/>
      <c r="M120" s="117" t="s">
        <v>87</v>
      </c>
      <c r="N120" s="15"/>
      <c r="O120" s="270"/>
      <c r="P120" s="278"/>
      <c r="Q120" s="271">
        <f>Q112+Q118+Q119</f>
        <v>120686808.23703703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-7423586.0999999987</v>
      </c>
      <c r="F122" s="13"/>
      <c r="G122" s="290" t="s">
        <v>89</v>
      </c>
      <c r="H122" s="274"/>
      <c r="I122" s="17"/>
      <c r="J122" s="17"/>
      <c r="K122" s="291">
        <f>-0.3*K112</f>
        <v>-14745294.899999997</v>
      </c>
      <c r="L122" s="13"/>
      <c r="M122" s="290" t="s">
        <v>89</v>
      </c>
      <c r="N122" s="274"/>
      <c r="O122" s="17"/>
      <c r="P122" s="17"/>
      <c r="Q122" s="291">
        <f>-0.3*Q112</f>
        <v>-34759368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17816606.639999997</v>
      </c>
      <c r="F123" s="13"/>
      <c r="G123" s="292" t="s">
        <v>90</v>
      </c>
      <c r="H123" s="261"/>
      <c r="I123" s="261"/>
      <c r="J123" s="261"/>
      <c r="K123" s="293">
        <f>K120+K122</f>
        <v>35388707.759999998</v>
      </c>
      <c r="L123" s="13"/>
      <c r="M123" s="292" t="s">
        <v>90</v>
      </c>
      <c r="N123" s="261"/>
      <c r="O123" s="261"/>
      <c r="P123" s="261"/>
      <c r="Q123" s="293">
        <f>Q120+Q122</f>
        <v>85927440.237037033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University 1</v>
      </c>
      <c r="D125" s="256"/>
      <c r="E125" s="281"/>
      <c r="F125" s="13"/>
      <c r="G125" s="259" t="s">
        <v>355</v>
      </c>
      <c r="H125" s="260"/>
      <c r="I125" s="256" t="str">
        <f>H34</f>
        <v>University 2</v>
      </c>
      <c r="J125" s="256"/>
      <c r="K125" s="281"/>
      <c r="L125" s="13"/>
      <c r="M125" s="259" t="s">
        <v>355</v>
      </c>
      <c r="N125" s="260"/>
      <c r="O125" s="256" t="str">
        <f>N34</f>
        <v>Laboratory 5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Assumptions!H9</f>
        <v>0.1</v>
      </c>
      <c r="D130" s="521" t="s">
        <v>356</v>
      </c>
      <c r="E130" s="346">
        <f>E123/C130</f>
        <v>178166066.39999995</v>
      </c>
      <c r="F130" s="13"/>
      <c r="G130" s="522" t="s">
        <v>317</v>
      </c>
      <c r="H130" s="523" t="s">
        <v>91</v>
      </c>
      <c r="I130" s="524">
        <v>0.1</v>
      </c>
      <c r="J130" s="521" t="s">
        <v>356</v>
      </c>
      <c r="K130" s="346">
        <f>K123/I130</f>
        <v>353887077.59999996</v>
      </c>
      <c r="L130" s="13"/>
      <c r="M130" s="522" t="s">
        <v>317</v>
      </c>
      <c r="N130" s="523" t="s">
        <v>91</v>
      </c>
      <c r="O130" s="524">
        <f>Assumptions!H7</f>
        <v>0.11</v>
      </c>
      <c r="P130" s="521" t="s">
        <v>356</v>
      </c>
      <c r="Q130" s="346">
        <f>Q123/O130</f>
        <v>781158547.60942757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Assumptions!F13</f>
        <v>300</v>
      </c>
      <c r="C133" s="395">
        <f>B133*D34</f>
        <v>44557830</v>
      </c>
      <c r="F133" s="13"/>
      <c r="G133" s="88" t="s">
        <v>94</v>
      </c>
      <c r="H133" s="531">
        <f>Assumptions!$F$13</f>
        <v>300</v>
      </c>
      <c r="I133" s="395">
        <f>H133*J34</f>
        <v>98131259.999999985</v>
      </c>
      <c r="L133" s="13"/>
      <c r="M133" s="88" t="s">
        <v>94</v>
      </c>
      <c r="N133" s="531">
        <f>Assumptions!F15</f>
        <v>450</v>
      </c>
      <c r="O133" s="395">
        <f>N133*P34</f>
        <v>360105075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4455783</v>
      </c>
      <c r="E134" s="211"/>
      <c r="G134" s="19" t="s">
        <v>34</v>
      </c>
      <c r="H134" s="624">
        <f>Assumptions!$F$22</f>
        <v>0.1</v>
      </c>
      <c r="I134" s="532">
        <f>H134*I133</f>
        <v>9813125.9999999981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36010507.5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2450680.65</v>
      </c>
      <c r="D138" s="603"/>
      <c r="G138" s="19" t="s">
        <v>36</v>
      </c>
      <c r="H138" s="626">
        <f>Assumptions!$F$23</f>
        <v>0.05</v>
      </c>
      <c r="I138" s="398">
        <f>H138*(I$133+I$134)</f>
        <v>5397219.2999999998</v>
      </c>
      <c r="M138" s="19" t="s">
        <v>36</v>
      </c>
      <c r="N138" s="626">
        <f>Assumptions!$F$23</f>
        <v>0.05</v>
      </c>
      <c r="O138" s="398">
        <f>N138*(O$133+O$134)</f>
        <v>19805779.125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980272.26</v>
      </c>
      <c r="G139" s="397" t="s">
        <v>41</v>
      </c>
      <c r="H139" s="626">
        <f>Assumptions!$F$25</f>
        <v>0.02</v>
      </c>
      <c r="I139" s="398">
        <f>H139*(I$133+I$134)</f>
        <v>2158887.7199999997</v>
      </c>
      <c r="M139" s="397" t="s">
        <v>41</v>
      </c>
      <c r="N139" s="626">
        <f>Assumptions!$F$25</f>
        <v>0.02</v>
      </c>
      <c r="O139" s="398">
        <f>N139*(O$133+O$134)</f>
        <v>7922311.6500000004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1960544.52</v>
      </c>
      <c r="G141" s="397" t="s">
        <v>45</v>
      </c>
      <c r="H141" s="626">
        <f>Assumptions!$F$27</f>
        <v>0.04</v>
      </c>
      <c r="I141" s="398">
        <f>H141*(I$133+I$134)</f>
        <v>4317775.4399999995</v>
      </c>
      <c r="M141" s="397" t="s">
        <v>45</v>
      </c>
      <c r="N141" s="626">
        <f>Assumptions!$F$27</f>
        <v>0.04</v>
      </c>
      <c r="O141" s="398">
        <f>N141*(O$133+O$134)</f>
        <v>15844623.300000001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1470408.39</v>
      </c>
      <c r="G142" s="397" t="s">
        <v>47</v>
      </c>
      <c r="H142" s="626">
        <f>Assumptions!$F$28</f>
        <v>0.03</v>
      </c>
      <c r="I142" s="398">
        <f>H142*(I$133+I$134)</f>
        <v>3238331.5799999996</v>
      </c>
      <c r="M142" s="397" t="s">
        <v>47</v>
      </c>
      <c r="N142" s="626">
        <f>Assumptions!$F$28</f>
        <v>0.03</v>
      </c>
      <c r="O142" s="398">
        <f>N142*(O$133+O$134)</f>
        <v>11883467.475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2450680.65</v>
      </c>
      <c r="G143" s="397" t="s">
        <v>48</v>
      </c>
      <c r="H143" s="626">
        <f>Assumptions!$F$29</f>
        <v>0.05</v>
      </c>
      <c r="I143" s="398">
        <f>H143*(I$133+I$134)</f>
        <v>5397219.2999999998</v>
      </c>
      <c r="M143" s="397" t="s">
        <v>48</v>
      </c>
      <c r="N143" s="626">
        <f>Assumptions!$F$29</f>
        <v>0.05</v>
      </c>
      <c r="O143" s="398">
        <f>N143*(O$133+O$134)</f>
        <v>19805779.125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2405241.896399999</v>
      </c>
      <c r="G144" s="397" t="s">
        <v>96</v>
      </c>
      <c r="H144" s="627">
        <f>Assumptions!$F$30*Assumptions!$F$31</f>
        <v>1.35E-2</v>
      </c>
      <c r="I144" s="398">
        <f>H144*K130</f>
        <v>4777475.5475999992</v>
      </c>
      <c r="M144" s="397" t="s">
        <v>96</v>
      </c>
      <c r="N144" s="627">
        <f>Assumptions!$F$30*Assumptions!$F$31</f>
        <v>1.35E-2</v>
      </c>
      <c r="O144" s="398">
        <f>N144*Q130</f>
        <v>10545640.392727273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735204.19499999995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1619165.7899999998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5941733.7374999998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800000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3711793.05</v>
      </c>
      <c r="G147" s="397" t="s">
        <v>54</v>
      </c>
      <c r="H147" s="628">
        <v>6</v>
      </c>
      <c r="I147" s="398">
        <f>-H147*(K122/12)</f>
        <v>7372647.4499999983</v>
      </c>
      <c r="M147" s="397" t="s">
        <v>54</v>
      </c>
      <c r="N147" s="628">
        <v>6</v>
      </c>
      <c r="O147" s="398">
        <f>-N147*(Q122/12)</f>
        <v>17379684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70</v>
      </c>
      <c r="C148" s="398">
        <f>B148*SUM(C91,C96)</f>
        <v>0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22529220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0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5793228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v>639385.02865128231</v>
      </c>
      <c r="D150" s="635"/>
      <c r="G150" s="397" t="s">
        <v>57</v>
      </c>
      <c r="H150" s="631">
        <v>1.4999999999999999E-2</v>
      </c>
      <c r="I150" s="399">
        <v>1384880.4967991153</v>
      </c>
      <c r="J150" s="635"/>
      <c r="M150" s="397" t="s">
        <v>57</v>
      </c>
      <c r="N150" s="631">
        <v>1.4999999999999999E-2</v>
      </c>
      <c r="O150" s="399">
        <v>5202891.3174690614</v>
      </c>
      <c r="P150" s="635"/>
      <c r="S150" s="397" t="s">
        <v>57</v>
      </c>
      <c r="T150" s="631">
        <v>1.4999999999999999E-2</v>
      </c>
      <c r="U150" s="399">
        <f ca="1">T150*T162</f>
        <v>0</v>
      </c>
      <c r="V150" s="635"/>
    </row>
    <row r="151" spans="1:23" ht="13">
      <c r="A151" s="536" t="s">
        <v>58</v>
      </c>
      <c r="B151" s="632">
        <v>7.0000000000000007E-2</v>
      </c>
      <c r="C151" s="622">
        <v>2983796.8003726513</v>
      </c>
      <c r="D151" s="635"/>
      <c r="G151" s="536" t="s">
        <v>58</v>
      </c>
      <c r="H151" s="632">
        <v>7.0000000000000007E-2</v>
      </c>
      <c r="I151" s="622">
        <v>6462775.6517292056</v>
      </c>
      <c r="J151" s="635"/>
      <c r="M151" s="536" t="s">
        <v>58</v>
      </c>
      <c r="N151" s="632">
        <v>7.0000000000000007E-2</v>
      </c>
      <c r="O151" s="622">
        <v>24280159.481522292</v>
      </c>
      <c r="P151" s="635"/>
      <c r="S151" s="536" t="s">
        <v>58</v>
      </c>
      <c r="T151" s="632">
        <v>7.0000000000000007E-2</v>
      </c>
      <c r="U151" s="622"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1441160.5208296755</v>
      </c>
      <c r="D152" s="634"/>
      <c r="G152" s="105" t="s">
        <v>97</v>
      </c>
      <c r="H152" s="633">
        <f>7%</f>
        <v>7.0000000000000007E-2</v>
      </c>
      <c r="I152" s="399">
        <f>H152*SUM(I138:I151)</f>
        <v>3004846.4793289821</v>
      </c>
      <c r="J152" s="223"/>
      <c r="M152" s="105" t="s">
        <v>97</v>
      </c>
      <c r="N152" s="633">
        <f>7%</f>
        <v>7.0000000000000007E-2</v>
      </c>
      <c r="O152" s="399">
        <f>N152*SUM(O138:O151)</f>
        <v>11741416.232295305</v>
      </c>
      <c r="S152" s="105" t="s">
        <v>97</v>
      </c>
      <c r="T152" s="633">
        <f>7%</f>
        <v>7.0000000000000007E-2</v>
      </c>
      <c r="U152" s="399">
        <f ca="1">T152*SUM(U138:U151)</f>
        <v>0</v>
      </c>
    </row>
    <row r="153" spans="1:23" ht="14" thickTop="1" thickBot="1">
      <c r="A153" s="538" t="s">
        <v>98</v>
      </c>
      <c r="B153" s="539"/>
      <c r="C153" s="540">
        <f>SUM(C133:C152)</f>
        <v>71042780.961253598</v>
      </c>
      <c r="G153" s="538" t="s">
        <v>98</v>
      </c>
      <c r="H153" s="539"/>
      <c r="I153" s="540">
        <f>SUM(I133:I152)</f>
        <v>153875610.75545725</v>
      </c>
      <c r="M153" s="538" t="s">
        <v>98</v>
      </c>
      <c r="N153" s="539"/>
      <c r="O153" s="540">
        <f>SUM(O133:O152)</f>
        <v>575591516.336514</v>
      </c>
      <c r="S153" s="538" t="s">
        <v>98</v>
      </c>
      <c r="T153" s="539"/>
      <c r="U153" s="540">
        <f ca="1">SUM(U133:U152)</f>
        <v>0</v>
      </c>
    </row>
    <row r="154" spans="1:23" ht="13">
      <c r="A154" s="537" t="s">
        <v>99</v>
      </c>
      <c r="B154" s="401">
        <f>E123/C153</f>
        <v>0.25078701029056127</v>
      </c>
      <c r="C154" s="535"/>
      <c r="G154" s="537" t="s">
        <v>99</v>
      </c>
      <c r="H154" s="401">
        <f>K123/I153</f>
        <v>0.22998256569873549</v>
      </c>
      <c r="I154" s="535"/>
      <c r="M154" s="537" t="s">
        <v>99</v>
      </c>
      <c r="N154" s="401">
        <f>Q123/O153</f>
        <v>0.14928545296140255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>((E130+E131)/C153)-1</f>
        <v>1.5078701029056125</v>
      </c>
      <c r="C155" s="535"/>
      <c r="G155" s="400" t="s">
        <v>100</v>
      </c>
      <c r="H155" s="401">
        <f>((K130+K131)/I153)-1</f>
        <v>1.299825656987355</v>
      </c>
      <c r="I155" s="535"/>
      <c r="M155" s="400" t="s">
        <v>100</v>
      </c>
      <c r="N155" s="401">
        <f>((Q130+Q131)/O153)-1</f>
        <v>0.35714048146729604</v>
      </c>
      <c r="O155" s="535"/>
      <c r="S155" s="400" t="s">
        <v>100</v>
      </c>
      <c r="T155" s="401" t="e">
        <f ca="1">((W130+W131)/U153)-1</f>
        <v>#DIV/0!</v>
      </c>
      <c r="U155" s="535"/>
    </row>
    <row r="156" spans="1:23" ht="13.5" thickBot="1">
      <c r="A156" s="119">
        <v>0.4</v>
      </c>
      <c r="B156" s="120">
        <f>((E130+E131)/(1+A156))</f>
        <v>127261475.99999997</v>
      </c>
      <c r="C156" s="535"/>
      <c r="G156" s="119">
        <v>0.4</v>
      </c>
      <c r="H156" s="120">
        <f>((K130+K131)/(1+G156))</f>
        <v>252776484</v>
      </c>
      <c r="I156" s="535"/>
      <c r="M156" s="119">
        <v>0.3</v>
      </c>
      <c r="N156" s="120">
        <f>((Q130+Q131)/(1+M156))</f>
        <v>600891190.46879041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0.4</v>
      </c>
      <c r="B157" s="120">
        <f>ROUND(((E130+E131)/(1+A157))-C153,0)</f>
        <v>56218695</v>
      </c>
      <c r="C157" s="535"/>
      <c r="G157" s="402">
        <v>0.4</v>
      </c>
      <c r="H157" s="120">
        <f>ROUND(((K130+K131)/(1+G157))-I153,0)</f>
        <v>98900873</v>
      </c>
      <c r="I157" s="535"/>
      <c r="M157" s="402">
        <v>0.3</v>
      </c>
      <c r="N157" s="120">
        <f>ROUND(((Q130+Q131)/(1+M157))-O153,0)</f>
        <v>25299674</v>
      </c>
      <c r="O157" s="535"/>
      <c r="S157" s="402">
        <v>0.3</v>
      </c>
      <c r="T157" s="120">
        <f ca="1"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University 1</v>
      </c>
      <c r="G158" s="644" t="s">
        <v>101</v>
      </c>
      <c r="H158" s="645"/>
      <c r="I158" s="646" t="str">
        <f>H34</f>
        <v>University 2</v>
      </c>
      <c r="M158" s="660" t="s">
        <v>101</v>
      </c>
      <c r="N158" s="661"/>
      <c r="O158" s="121" t="str">
        <f>N34</f>
        <v>Laboratory 5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0</v>
      </c>
      <c r="C160" s="648">
        <f>IFERROR(B160/#REF!,0)</f>
        <v>0</v>
      </c>
      <c r="G160" s="647" t="s">
        <v>103</v>
      </c>
      <c r="H160" s="91">
        <f>IF(H157&lt;0,H157,0)</f>
        <v>0</v>
      </c>
      <c r="I160" s="648">
        <f>IFERROR(H160/#REF!,0)</f>
        <v>0</v>
      </c>
      <c r="M160" s="24" t="s">
        <v>103</v>
      </c>
      <c r="N160" s="91">
        <f>IF(N157&lt;0,N157,0)</f>
        <v>0</v>
      </c>
      <c r="O160" s="125">
        <f>IFERROR(N160/#REF!,0)</f>
        <v>0</v>
      </c>
      <c r="S160" s="647" t="s">
        <v>103</v>
      </c>
      <c r="T160" s="91">
        <f ca="1">IF(T157&lt;0,T157,0)</f>
        <v>0</v>
      </c>
      <c r="U160" s="648">
        <f ca="1">IFERROR(T160/#REF!,0)</f>
        <v>0</v>
      </c>
    </row>
    <row r="161" spans="1:23" ht="13">
      <c r="A161" s="647" t="s">
        <v>104</v>
      </c>
      <c r="B161" s="91">
        <f>C153+B160</f>
        <v>71042780.961253598</v>
      </c>
      <c r="C161" s="648">
        <f>IFERROR(B161/#REF!,0)</f>
        <v>0</v>
      </c>
      <c r="G161" s="647" t="s">
        <v>104</v>
      </c>
      <c r="H161" s="91">
        <f>I153+H160</f>
        <v>153875610.75545725</v>
      </c>
      <c r="I161" s="648">
        <f>IFERROR(H161/#REF!,0)</f>
        <v>0</v>
      </c>
      <c r="M161" s="25" t="s">
        <v>104</v>
      </c>
      <c r="N161" s="91">
        <f>O153+N160</f>
        <v>575591516.336514</v>
      </c>
      <c r="O161" s="125">
        <f>IFERROR(N161/#REF!,0)</f>
        <v>0</v>
      </c>
      <c r="S161" s="647" t="s">
        <v>104</v>
      </c>
      <c r="T161" s="91">
        <f ca="1">U153+T160</f>
        <v>0</v>
      </c>
      <c r="U161" s="648">
        <f ca="1"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35521390.480626799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76937805.377728626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>M162*O$153</f>
        <v>287795758.168257</v>
      </c>
      <c r="O162" s="125">
        <f>IFERROR(N162/#REF!,0)</f>
        <v>0</v>
      </c>
      <c r="P162" s="21"/>
      <c r="Q162" s="347"/>
      <c r="R162" s="347"/>
      <c r="S162" s="126">
        <f>Assumptions!$H$14</f>
        <v>0.5</v>
      </c>
      <c r="T162" s="92">
        <f ca="1">S162*U$153</f>
        <v>0</v>
      </c>
      <c r="U162" s="648">
        <f ca="1"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35521390.480626799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76937805.377728626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>M163*O$153</f>
        <v>287795758.168257</v>
      </c>
      <c r="O163" s="241">
        <f>IFERROR(N163/#REF!,0)</f>
        <v>0</v>
      </c>
      <c r="P163" s="5"/>
      <c r="Q163" s="347"/>
      <c r="R163" s="347"/>
      <c r="S163" s="127">
        <f>1-S162</f>
        <v>0.5</v>
      </c>
      <c r="T163" s="240">
        <f ca="1">S163*U$153</f>
        <v>0</v>
      </c>
      <c r="U163" s="649">
        <f ca="1"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71042780.961253598</v>
      </c>
      <c r="C164" s="652">
        <f>ROUND((C163+C162),-3)</f>
        <v>0</v>
      </c>
      <c r="D164" s="23"/>
      <c r="G164" s="650" t="s">
        <v>105</v>
      </c>
      <c r="H164" s="651">
        <f>H162+H163</f>
        <v>153875610.75545725</v>
      </c>
      <c r="I164" s="652">
        <f>ROUND((I163+I162),-3)</f>
        <v>0</v>
      </c>
      <c r="J164" s="23"/>
      <c r="M164" s="54" t="s">
        <v>105</v>
      </c>
      <c r="N164" s="128">
        <f>N162+N163</f>
        <v>575591516.336514</v>
      </c>
      <c r="O164" s="93">
        <f>ROUND((O163+O162),-3)</f>
        <v>0</v>
      </c>
      <c r="P164" s="23"/>
      <c r="S164" s="650" t="s">
        <v>105</v>
      </c>
      <c r="T164" s="651">
        <f ca="1">T162+T163</f>
        <v>0</v>
      </c>
      <c r="U164" s="652">
        <f ca="1"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204" priority="19">
      <formula>C53&gt;D46</formula>
    </cfRule>
  </conditionalFormatting>
  <conditionalFormatting sqref="C63">
    <cfRule type="expression" dxfId="203" priority="18">
      <formula>C69&gt;D62</formula>
    </cfRule>
  </conditionalFormatting>
  <conditionalFormatting sqref="C79">
    <cfRule type="expression" dxfId="202" priority="17">
      <formula>C85&gt;D78</formula>
    </cfRule>
  </conditionalFormatting>
  <conditionalFormatting sqref="I79">
    <cfRule type="expression" dxfId="201" priority="12">
      <formula>I85&gt;J78</formula>
    </cfRule>
  </conditionalFormatting>
  <conditionalFormatting sqref="C56">
    <cfRule type="expression" dxfId="200" priority="20">
      <formula>C60&gt;D55</formula>
    </cfRule>
  </conditionalFormatting>
  <conditionalFormatting sqref="I47">
    <cfRule type="expression" dxfId="199" priority="14">
      <formula>I53&gt;J46</formula>
    </cfRule>
  </conditionalFormatting>
  <conditionalFormatting sqref="I63">
    <cfRule type="expression" dxfId="198" priority="13">
      <formula>I69&gt;J62</formula>
    </cfRule>
  </conditionalFormatting>
  <conditionalFormatting sqref="I56">
    <cfRule type="expression" dxfId="197" priority="15">
      <formula>I60&gt;J55</formula>
    </cfRule>
  </conditionalFormatting>
  <conditionalFormatting sqref="C72">
    <cfRule type="expression" dxfId="196" priority="16">
      <formula>C76&gt;D71</formula>
    </cfRule>
  </conditionalFormatting>
  <conditionalFormatting sqref="I72">
    <cfRule type="expression" dxfId="195" priority="11">
      <formula>I76&gt;J71</formula>
    </cfRule>
  </conditionalFormatting>
  <conditionalFormatting sqref="O47">
    <cfRule type="expression" dxfId="194" priority="9">
      <formula>O53&gt;P46</formula>
    </cfRule>
  </conditionalFormatting>
  <conditionalFormatting sqref="O63">
    <cfRule type="expression" dxfId="193" priority="8">
      <formula>O69&gt;P62</formula>
    </cfRule>
  </conditionalFormatting>
  <conditionalFormatting sqref="O79">
    <cfRule type="expression" dxfId="192" priority="7">
      <formula>O85&gt;P78</formula>
    </cfRule>
  </conditionalFormatting>
  <conditionalFormatting sqref="O56">
    <cfRule type="expression" dxfId="191" priority="10">
      <formula>O60&gt;P55</formula>
    </cfRule>
  </conditionalFormatting>
  <conditionalFormatting sqref="O72">
    <cfRule type="expression" dxfId="190" priority="6">
      <formula>O76&gt;P71</formula>
    </cfRule>
  </conditionalFormatting>
  <conditionalFormatting sqref="U47">
    <cfRule type="expression" dxfId="189" priority="4">
      <formula>U53&gt;V46</formula>
    </cfRule>
  </conditionalFormatting>
  <conditionalFormatting sqref="U63">
    <cfRule type="expression" dxfId="188" priority="3">
      <formula>U69&gt;V62</formula>
    </cfRule>
  </conditionalFormatting>
  <conditionalFormatting sqref="U79">
    <cfRule type="expression" dxfId="187" priority="2">
      <formula>U85&gt;V78</formula>
    </cfRule>
  </conditionalFormatting>
  <conditionalFormatting sqref="U56">
    <cfRule type="expression" dxfId="186" priority="5">
      <formula>U60&gt;V55</formula>
    </cfRule>
  </conditionalFormatting>
  <conditionalFormatting sqref="U72">
    <cfRule type="expression" dxfId="185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16694D-D6E0-4F1C-8BD1-E8BC6169F73B}">
  <sheetPr>
    <tabColor rgb="FF0070C0"/>
  </sheetPr>
  <dimension ref="A1:BX608"/>
  <sheetViews>
    <sheetView zoomScale="85" zoomScaleNormal="85" zoomScalePageLayoutView="125" workbookViewId="0">
      <pane xSplit="1" ySplit="3" topLeftCell="X16" activePane="bottomRight" state="frozen"/>
      <selection activeCell="A37" sqref="A37"/>
      <selection pane="topRight" activeCell="A37" sqref="A37"/>
      <selection pane="bottomLeft" activeCell="A37" sqref="A37"/>
      <selection pane="bottomRight" activeCell="Y10" sqref="Y10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hidden="1" customWidth="1"/>
    <col min="4" max="4" width="19.54296875" style="5" hidden="1" customWidth="1"/>
    <col min="5" max="6" width="17.6328125" style="5" hidden="1" customWidth="1"/>
    <col min="7" max="7" width="17.6328125" style="55" hidden="1" customWidth="1"/>
    <col min="8" max="12" width="17.6328125" style="5" hidden="1" customWidth="1"/>
    <col min="13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199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1/1/28 to 3/31/29</v>
      </c>
      <c r="D2" s="518" t="str">
        <f>INDEX('Development Program'!$B$62:$H$71,MATCH($A$1,'Development Program'!$B$62:$B$71,0),MATCH(D1,'Development Program'!$B$62:$H$62,0))</f>
        <v>4/1/29 to 6/30/31</v>
      </c>
      <c r="E2" s="518" t="str">
        <f>INDEX('Development Program'!$B$62:$H$71,MATCH($A$1,'Development Program'!$B$62:$B$71,0),MATCH(E1,'Development Program'!$B$62:$H$62,0))</f>
        <v>7/1/31 to 12/31/31</v>
      </c>
      <c r="G2" s="5"/>
      <c r="M2" s="601" t="s">
        <v>421</v>
      </c>
      <c r="Q2" s="601" t="s">
        <v>121</v>
      </c>
      <c r="R2" s="601" t="s">
        <v>122</v>
      </c>
      <c r="W2" s="99"/>
      <c r="X2" s="99"/>
      <c r="Y2" s="99"/>
      <c r="Z2" s="601" t="s">
        <v>123</v>
      </c>
      <c r="AA2" s="601" t="s">
        <v>124</v>
      </c>
      <c r="AB2" s="601" t="s">
        <v>125</v>
      </c>
      <c r="AC2" s="99"/>
      <c r="AE2" s="601"/>
      <c r="AF2" s="601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83">
        <v>46388</v>
      </c>
      <c r="J3" s="83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102">
        <f t="shared" si="0"/>
        <v>46873</v>
      </c>
      <c r="O3" s="83">
        <f t="shared" si="0"/>
        <v>46965</v>
      </c>
      <c r="P3" s="83">
        <f t="shared" si="0"/>
        <v>47057</v>
      </c>
      <c r="Q3" s="83">
        <f t="shared" si="0"/>
        <v>47149</v>
      </c>
      <c r="R3" s="102">
        <f t="shared" si="0"/>
        <v>47238</v>
      </c>
      <c r="S3" s="102">
        <f t="shared" si="0"/>
        <v>47330</v>
      </c>
      <c r="T3" s="102">
        <f t="shared" si="0"/>
        <v>47422</v>
      </c>
      <c r="U3" s="102">
        <f t="shared" si="0"/>
        <v>47514</v>
      </c>
      <c r="V3" s="102">
        <f t="shared" si="0"/>
        <v>47603</v>
      </c>
      <c r="W3" s="100">
        <f t="shared" si="0"/>
        <v>47695</v>
      </c>
      <c r="X3" s="102">
        <f t="shared" si="0"/>
        <v>47787</v>
      </c>
      <c r="Y3" s="102">
        <f t="shared" si="0"/>
        <v>47879</v>
      </c>
      <c r="Z3" s="102">
        <f t="shared" si="0"/>
        <v>47968</v>
      </c>
      <c r="AA3" s="102">
        <f t="shared" si="0"/>
        <v>48060</v>
      </c>
      <c r="AB3" s="102">
        <f t="shared" si="0"/>
        <v>48152</v>
      </c>
      <c r="AC3" s="102">
        <f t="shared" si="0"/>
        <v>48244</v>
      </c>
      <c r="AD3" s="102">
        <f t="shared" si="0"/>
        <v>48334</v>
      </c>
      <c r="AE3" s="102">
        <f t="shared" si="0"/>
        <v>48426</v>
      </c>
      <c r="AF3" s="102">
        <f t="shared" si="0"/>
        <v>48518</v>
      </c>
      <c r="AG3" s="102">
        <f t="shared" si="0"/>
        <v>48610</v>
      </c>
      <c r="AH3" s="102">
        <f t="shared" si="0"/>
        <v>48699</v>
      </c>
      <c r="AI3" s="102">
        <f t="shared" si="0"/>
        <v>48791</v>
      </c>
      <c r="AJ3" s="102">
        <f t="shared" si="0"/>
        <v>48883</v>
      </c>
      <c r="AK3" s="102">
        <f t="shared" si="0"/>
        <v>48975</v>
      </c>
      <c r="AL3" s="102">
        <f>EOMONTH(AK3,3)</f>
        <v>49064</v>
      </c>
      <c r="AM3" s="102">
        <f t="shared" ref="AM3:AU3" si="1">EOMONTH(AL3,3)</f>
        <v>49156</v>
      </c>
      <c r="AN3" s="102">
        <f t="shared" si="1"/>
        <v>49248</v>
      </c>
      <c r="AO3" s="102">
        <f t="shared" si="1"/>
        <v>49340</v>
      </c>
      <c r="AP3" s="102">
        <f t="shared" si="1"/>
        <v>49429</v>
      </c>
      <c r="AQ3" s="102">
        <f t="shared" si="1"/>
        <v>49521</v>
      </c>
      <c r="AR3" s="102">
        <f t="shared" si="1"/>
        <v>49613</v>
      </c>
      <c r="AS3" s="102">
        <f>EOMONTH(AR3,3)</f>
        <v>49705</v>
      </c>
      <c r="AT3" s="102">
        <f t="shared" si="1"/>
        <v>49795</v>
      </c>
      <c r="AU3" s="102">
        <f t="shared" si="1"/>
        <v>49887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/>
      <c r="D4" s="97"/>
      <c r="E4" s="97"/>
      <c r="F4" s="96"/>
      <c r="G4" s="96"/>
      <c r="H4" s="96"/>
      <c r="I4" s="96"/>
      <c r="J4" s="96"/>
      <c r="K4" s="96"/>
      <c r="L4" s="96"/>
      <c r="M4" s="96"/>
      <c r="N4" s="96"/>
      <c r="O4" s="96"/>
      <c r="P4" s="96"/>
      <c r="Q4" s="96"/>
      <c r="R4" s="96">
        <v>0.05</v>
      </c>
      <c r="S4" s="96">
        <v>0.1</v>
      </c>
      <c r="T4" s="96">
        <v>0.1</v>
      </c>
      <c r="U4" s="96">
        <v>0.15</v>
      </c>
      <c r="V4" s="96">
        <v>0.2</v>
      </c>
      <c r="W4" s="96">
        <v>0.15</v>
      </c>
      <c r="X4" s="96">
        <v>0.1</v>
      </c>
      <c r="Y4" s="97">
        <v>0.1</v>
      </c>
      <c r="Z4" s="97">
        <v>0.05</v>
      </c>
      <c r="AA4" s="97"/>
      <c r="AB4" s="97"/>
      <c r="AC4" s="97"/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'E Financial'!$A7</f>
        <v>Hard Costs for Construction</v>
      </c>
      <c r="B5" s="140">
        <f>'E Financial'!$B7</f>
        <v>502794165</v>
      </c>
      <c r="C5" s="141">
        <f>$B$5*C4</f>
        <v>0</v>
      </c>
      <c r="D5" s="141">
        <f t="shared" ref="D5:Z5" si="2">$B$5*D4</f>
        <v>0</v>
      </c>
      <c r="E5" s="141">
        <f t="shared" si="2"/>
        <v>0</v>
      </c>
      <c r="F5" s="141">
        <f t="shared" si="2"/>
        <v>0</v>
      </c>
      <c r="G5" s="141">
        <f t="shared" si="2"/>
        <v>0</v>
      </c>
      <c r="H5" s="141">
        <f t="shared" si="2"/>
        <v>0</v>
      </c>
      <c r="I5" s="141">
        <f t="shared" si="2"/>
        <v>0</v>
      </c>
      <c r="J5" s="141">
        <f t="shared" si="2"/>
        <v>0</v>
      </c>
      <c r="K5" s="141">
        <f t="shared" si="2"/>
        <v>0</v>
      </c>
      <c r="L5" s="141">
        <f t="shared" si="2"/>
        <v>0</v>
      </c>
      <c r="M5" s="141">
        <f t="shared" si="2"/>
        <v>0</v>
      </c>
      <c r="N5" s="141">
        <f t="shared" si="2"/>
        <v>0</v>
      </c>
      <c r="O5" s="141">
        <f t="shared" si="2"/>
        <v>0</v>
      </c>
      <c r="P5" s="141">
        <f t="shared" si="2"/>
        <v>0</v>
      </c>
      <c r="Q5" s="141">
        <f t="shared" si="2"/>
        <v>0</v>
      </c>
      <c r="R5" s="141">
        <f t="shared" si="2"/>
        <v>25139708.25</v>
      </c>
      <c r="S5" s="141">
        <f t="shared" si="2"/>
        <v>50279416.5</v>
      </c>
      <c r="T5" s="141">
        <f t="shared" si="2"/>
        <v>50279416.5</v>
      </c>
      <c r="U5" s="141">
        <f t="shared" si="2"/>
        <v>75419124.75</v>
      </c>
      <c r="V5" s="141">
        <f t="shared" si="2"/>
        <v>100558833</v>
      </c>
      <c r="W5" s="141">
        <f t="shared" si="2"/>
        <v>75419124.75</v>
      </c>
      <c r="X5" s="141">
        <f t="shared" si="2"/>
        <v>50279416.5</v>
      </c>
      <c r="Y5" s="141">
        <f t="shared" si="2"/>
        <v>50279416.5</v>
      </c>
      <c r="Z5" s="141">
        <f t="shared" si="2"/>
        <v>25139708.25</v>
      </c>
      <c r="AA5" s="142"/>
      <c r="AB5" s="142"/>
      <c r="AC5" s="142"/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502794165</v>
      </c>
      <c r="AW5" s="142">
        <f t="shared" ref="AW5:AW24" si="3">B5</f>
        <v>502794165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'E Financial'!$A8</f>
        <v>Hard Cost Contingency</v>
      </c>
      <c r="B6" s="140">
        <f>'E Financial'!$B8</f>
        <v>50279416.5</v>
      </c>
      <c r="C6" s="141">
        <f t="shared" ref="C6:Z6" si="4">$B6*C$4</f>
        <v>0</v>
      </c>
      <c r="D6" s="141">
        <f t="shared" si="4"/>
        <v>0</v>
      </c>
      <c r="E6" s="141">
        <f t="shared" si="4"/>
        <v>0</v>
      </c>
      <c r="F6" s="141">
        <f t="shared" si="4"/>
        <v>0</v>
      </c>
      <c r="G6" s="141">
        <f t="shared" si="4"/>
        <v>0</v>
      </c>
      <c r="H6" s="141">
        <f t="shared" si="4"/>
        <v>0</v>
      </c>
      <c r="I6" s="141">
        <f t="shared" si="4"/>
        <v>0</v>
      </c>
      <c r="J6" s="141">
        <f t="shared" si="4"/>
        <v>0</v>
      </c>
      <c r="K6" s="141">
        <f t="shared" si="4"/>
        <v>0</v>
      </c>
      <c r="L6" s="141">
        <f t="shared" si="4"/>
        <v>0</v>
      </c>
      <c r="M6" s="141">
        <f t="shared" si="4"/>
        <v>0</v>
      </c>
      <c r="N6" s="141">
        <f t="shared" si="4"/>
        <v>0</v>
      </c>
      <c r="O6" s="141">
        <f t="shared" si="4"/>
        <v>0</v>
      </c>
      <c r="P6" s="141">
        <f t="shared" si="4"/>
        <v>0</v>
      </c>
      <c r="Q6" s="141">
        <f t="shared" si="4"/>
        <v>0</v>
      </c>
      <c r="R6" s="141">
        <f t="shared" si="4"/>
        <v>2513970.8250000002</v>
      </c>
      <c r="S6" s="141">
        <f t="shared" si="4"/>
        <v>5027941.6500000004</v>
      </c>
      <c r="T6" s="141">
        <f t="shared" si="4"/>
        <v>5027941.6500000004</v>
      </c>
      <c r="U6" s="141">
        <f t="shared" si="4"/>
        <v>7541912.4749999996</v>
      </c>
      <c r="V6" s="141">
        <f t="shared" si="4"/>
        <v>10055883.300000001</v>
      </c>
      <c r="W6" s="141">
        <f t="shared" si="4"/>
        <v>7541912.4749999996</v>
      </c>
      <c r="X6" s="141">
        <f t="shared" si="4"/>
        <v>5027941.6500000004</v>
      </c>
      <c r="Y6" s="141">
        <f t="shared" si="4"/>
        <v>5027941.6500000004</v>
      </c>
      <c r="Z6" s="141">
        <f t="shared" si="4"/>
        <v>2513970.8250000002</v>
      </c>
      <c r="AA6" s="142"/>
      <c r="AB6" s="142"/>
      <c r="AC6" s="142"/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50279416.5</v>
      </c>
      <c r="AW6" s="142">
        <f t="shared" si="3"/>
        <v>50279416.5</v>
      </c>
      <c r="AX6" s="142">
        <f t="shared" ref="AX6:AX24" si="5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'E Financial'!$A9</f>
        <v>Demolition</v>
      </c>
      <c r="B7" s="140">
        <f>'E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2"/>
      <c r="X7" s="142"/>
      <c r="Y7" s="142"/>
      <c r="Z7" s="142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3"/>
        <v>0</v>
      </c>
      <c r="AX7" s="142">
        <f t="shared" si="5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'E Financial'!$A10</f>
        <v>Land Cost</v>
      </c>
      <c r="B8" s="140">
        <f>'E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6"/>
      <c r="N8" s="143"/>
      <c r="O8" s="143"/>
      <c r="P8" s="143"/>
      <c r="Q8" s="143"/>
      <c r="R8" s="143"/>
      <c r="S8" s="143"/>
      <c r="T8" s="143"/>
      <c r="U8" s="143"/>
      <c r="V8" s="143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3"/>
        <v>0</v>
      </c>
      <c r="AX8" s="142">
        <f t="shared" si="5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'E Financial'!$A11</f>
        <v>Infrastructure Cost less Subsidy</v>
      </c>
      <c r="B9" s="140">
        <f>'E Financial'!$B11</f>
        <v>547619.04761904757</v>
      </c>
      <c r="C9" s="146"/>
      <c r="D9" s="143"/>
      <c r="E9" s="141"/>
      <c r="F9" s="141"/>
      <c r="G9" s="141"/>
      <c r="H9" s="144"/>
      <c r="I9" s="141"/>
      <c r="J9" s="141"/>
      <c r="K9" s="143"/>
      <c r="L9" s="487"/>
      <c r="M9" s="487"/>
      <c r="N9" s="143"/>
      <c r="O9" s="143"/>
      <c r="P9" s="143"/>
      <c r="Q9" s="143"/>
      <c r="R9" s="653"/>
      <c r="S9" s="654"/>
      <c r="T9" s="143"/>
      <c r="U9" s="143"/>
      <c r="V9" s="143"/>
      <c r="W9" s="147"/>
      <c r="X9" s="141">
        <f>$B$9/2</f>
        <v>273809.52380952379</v>
      </c>
      <c r="Y9" s="141">
        <f>$B$9/2</f>
        <v>273809.52380952379</v>
      </c>
      <c r="Z9" s="147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6">SUM(C9:AU9)</f>
        <v>547619.04761904757</v>
      </c>
      <c r="AW9" s="142">
        <f t="shared" si="3"/>
        <v>547619.04761904757</v>
      </c>
      <c r="AX9" s="142">
        <f t="shared" si="5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'E Financial'!$A12</f>
        <v>Municipal Fees and Allowances</v>
      </c>
      <c r="B10" s="140">
        <f>'E Financial'!$B12</f>
        <v>27653679.074999999</v>
      </c>
      <c r="C10" s="148"/>
      <c r="D10" s="147"/>
      <c r="E10" s="149"/>
      <c r="F10" s="149"/>
      <c r="G10" s="149"/>
      <c r="H10" s="149"/>
      <c r="I10" s="149"/>
      <c r="K10" s="147"/>
      <c r="L10" s="147"/>
      <c r="M10" s="147"/>
      <c r="N10" s="147"/>
      <c r="O10" s="147"/>
      <c r="P10" s="141"/>
      <c r="Q10" s="141"/>
      <c r="R10" s="141">
        <f>B10</f>
        <v>27653679.074999999</v>
      </c>
      <c r="S10" s="487"/>
      <c r="T10" s="147"/>
      <c r="U10" s="144"/>
      <c r="V10" s="144"/>
      <c r="W10" s="150"/>
      <c r="X10" s="150"/>
      <c r="Y10" s="150"/>
      <c r="Z10" s="150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6"/>
        <v>27653679.074999999</v>
      </c>
      <c r="AW10" s="142">
        <f t="shared" si="3"/>
        <v>27653679.074999999</v>
      </c>
      <c r="AX10" s="142">
        <f t="shared" si="5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'E Financial'!$A13</f>
        <v>Legal</v>
      </c>
      <c r="B11" s="140">
        <f>'E Financial'!$B13</f>
        <v>11061471.629999999</v>
      </c>
      <c r="C11" s="148"/>
      <c r="D11" s="672"/>
      <c r="E11" s="487"/>
      <c r="F11" s="487"/>
      <c r="G11" s="675"/>
      <c r="H11" s="487"/>
      <c r="I11" s="487"/>
      <c r="J11" s="673"/>
      <c r="K11" s="674"/>
      <c r="L11" s="674"/>
      <c r="M11" s="141">
        <f>$B$11/5</f>
        <v>2212294.3259999999</v>
      </c>
      <c r="N11" s="141">
        <f t="shared" ref="N11:Q11" si="7">$B$11/5</f>
        <v>2212294.3259999999</v>
      </c>
      <c r="O11" s="141">
        <f t="shared" si="7"/>
        <v>2212294.3259999999</v>
      </c>
      <c r="P11" s="141">
        <f t="shared" si="7"/>
        <v>2212294.3259999999</v>
      </c>
      <c r="Q11" s="141">
        <f t="shared" si="7"/>
        <v>2212294.3259999999</v>
      </c>
      <c r="R11" s="147"/>
      <c r="S11" s="147"/>
      <c r="T11" s="147"/>
      <c r="U11" s="143"/>
      <c r="V11" s="143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6"/>
        <v>11061471.629999999</v>
      </c>
      <c r="AW11" s="142">
        <f t="shared" si="3"/>
        <v>11061471.629999999</v>
      </c>
      <c r="AX11" s="142">
        <f t="shared" si="5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'E Financial'!$A14</f>
        <v>Land Closing Costs/commissions</v>
      </c>
      <c r="B12" s="140">
        <f>'E Financial'!$B14</f>
        <v>0</v>
      </c>
      <c r="C12" s="145"/>
      <c r="D12" s="671"/>
      <c r="E12" s="671"/>
      <c r="F12" s="671"/>
      <c r="G12" s="98"/>
      <c r="H12" s="671"/>
      <c r="I12" s="671"/>
      <c r="J12" s="671"/>
      <c r="K12" s="671"/>
      <c r="L12" s="67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2"/>
      <c r="X12" s="142"/>
      <c r="Y12" s="142"/>
      <c r="Z12" s="142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6"/>
        <v>0</v>
      </c>
      <c r="AW12" s="142">
        <f t="shared" si="3"/>
        <v>0</v>
      </c>
      <c r="AX12" s="142">
        <f t="shared" si="5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'E Financial'!$A15</f>
        <v xml:space="preserve">Design </v>
      </c>
      <c r="B13" s="140">
        <f>'E Financial'!$B15</f>
        <v>22122943.259999998</v>
      </c>
      <c r="C13" s="141"/>
      <c r="D13" s="141"/>
      <c r="E13" s="141"/>
      <c r="F13" s="141"/>
      <c r="G13" s="141"/>
      <c r="H13" s="141"/>
      <c r="I13" s="141"/>
      <c r="J13" s="141"/>
      <c r="K13" s="141"/>
      <c r="L13" s="141"/>
      <c r="M13" s="141"/>
      <c r="N13" s="141">
        <f>$B$13/9</f>
        <v>2458104.8066666666</v>
      </c>
      <c r="O13" s="141">
        <f t="shared" ref="O13:V13" si="8">$B$13/9</f>
        <v>2458104.8066666666</v>
      </c>
      <c r="P13" s="141">
        <f t="shared" si="8"/>
        <v>2458104.8066666666</v>
      </c>
      <c r="Q13" s="141">
        <f t="shared" si="8"/>
        <v>2458104.8066666666</v>
      </c>
      <c r="R13" s="141">
        <f t="shared" si="8"/>
        <v>2458104.8066666666</v>
      </c>
      <c r="S13" s="141">
        <f t="shared" si="8"/>
        <v>2458104.8066666666</v>
      </c>
      <c r="T13" s="141">
        <f t="shared" si="8"/>
        <v>2458104.8066666666</v>
      </c>
      <c r="U13" s="141">
        <f t="shared" si="8"/>
        <v>2458104.8066666666</v>
      </c>
      <c r="V13" s="141">
        <f t="shared" si="8"/>
        <v>2458104.8066666666</v>
      </c>
      <c r="W13" s="142"/>
      <c r="X13" s="142"/>
      <c r="Y13" s="142"/>
      <c r="Z13" s="142"/>
      <c r="AA13" s="142"/>
      <c r="AB13" s="142"/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6"/>
        <v>22122943.259999998</v>
      </c>
      <c r="AW13" s="142">
        <f t="shared" si="3"/>
        <v>22122943.259999998</v>
      </c>
      <c r="AX13" s="142">
        <f t="shared" si="5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'E Financial'!$A16</f>
        <v>Developer Fee</v>
      </c>
      <c r="B14" s="140">
        <f>'E Financial'!$B16</f>
        <v>16592207.445</v>
      </c>
      <c r="C14" s="141"/>
      <c r="D14" s="141"/>
      <c r="E14" s="141"/>
      <c r="F14" s="141"/>
      <c r="G14" s="141"/>
      <c r="H14" s="141"/>
      <c r="I14" s="141"/>
      <c r="J14" s="141"/>
      <c r="K14" s="141"/>
      <c r="L14" s="141"/>
      <c r="M14" s="141"/>
      <c r="N14" s="141"/>
      <c r="O14" s="141"/>
      <c r="P14" s="141"/>
      <c r="Q14" s="141"/>
      <c r="R14" s="141">
        <f>$B$14/9</f>
        <v>1843578.605</v>
      </c>
      <c r="S14" s="141">
        <f t="shared" ref="S14:Z14" si="9">$B$14/9</f>
        <v>1843578.605</v>
      </c>
      <c r="T14" s="141">
        <f t="shared" si="9"/>
        <v>1843578.605</v>
      </c>
      <c r="U14" s="141">
        <f t="shared" si="9"/>
        <v>1843578.605</v>
      </c>
      <c r="V14" s="141">
        <f t="shared" si="9"/>
        <v>1843578.605</v>
      </c>
      <c r="W14" s="141">
        <f t="shared" si="9"/>
        <v>1843578.605</v>
      </c>
      <c r="X14" s="141">
        <f t="shared" si="9"/>
        <v>1843578.605</v>
      </c>
      <c r="Y14" s="141">
        <f t="shared" si="9"/>
        <v>1843578.605</v>
      </c>
      <c r="Z14" s="141">
        <f t="shared" si="9"/>
        <v>1843578.605</v>
      </c>
      <c r="AA14" s="142"/>
      <c r="AB14" s="142"/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6"/>
        <v>16592207.445000002</v>
      </c>
      <c r="AW14" s="142">
        <f t="shared" si="3"/>
        <v>16592207.445</v>
      </c>
      <c r="AX14" s="142">
        <f t="shared" si="5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'E Financial'!$A17</f>
        <v>Construction Management Fee</v>
      </c>
      <c r="B15" s="140">
        <f>'E Financial'!$B17</f>
        <v>27653679.074999999</v>
      </c>
      <c r="C15" s="141"/>
      <c r="D15" s="141"/>
      <c r="E15" s="141"/>
      <c r="F15" s="141"/>
      <c r="G15" s="141"/>
      <c r="H15" s="141"/>
      <c r="I15" s="141"/>
      <c r="J15" s="141"/>
      <c r="K15" s="141"/>
      <c r="L15" s="141"/>
      <c r="M15" s="141"/>
      <c r="N15" s="141"/>
      <c r="O15" s="141"/>
      <c r="P15" s="141"/>
      <c r="Q15" s="141"/>
      <c r="R15" s="141">
        <f>$B$15/9</f>
        <v>3072631.0083333333</v>
      </c>
      <c r="S15" s="141">
        <f t="shared" ref="S15:Z15" si="10">$B$15/9</f>
        <v>3072631.0083333333</v>
      </c>
      <c r="T15" s="141">
        <f t="shared" si="10"/>
        <v>3072631.0083333333</v>
      </c>
      <c r="U15" s="141">
        <f t="shared" si="10"/>
        <v>3072631.0083333333</v>
      </c>
      <c r="V15" s="141">
        <f t="shared" si="10"/>
        <v>3072631.0083333333</v>
      </c>
      <c r="W15" s="141">
        <f t="shared" si="10"/>
        <v>3072631.0083333333</v>
      </c>
      <c r="X15" s="141">
        <f t="shared" si="10"/>
        <v>3072631.0083333333</v>
      </c>
      <c r="Y15" s="141">
        <f t="shared" si="10"/>
        <v>3072631.0083333333</v>
      </c>
      <c r="Z15" s="141">
        <f t="shared" si="10"/>
        <v>3072631.0083333333</v>
      </c>
      <c r="AA15" s="142"/>
      <c r="AB15" s="142"/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6"/>
        <v>27653679.074999999</v>
      </c>
      <c r="AW15" s="142">
        <f t="shared" si="3"/>
        <v>27653679.074999999</v>
      </c>
      <c r="AX15" s="142">
        <f t="shared" si="5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'E Financial'!$A18</f>
        <v>Taxes</v>
      </c>
      <c r="B16" s="140">
        <f>'E Financial'!$B18</f>
        <v>17728357.836727269</v>
      </c>
      <c r="C16" s="145"/>
      <c r="D16" s="141"/>
      <c r="E16" s="141"/>
      <c r="F16" s="141"/>
      <c r="G16" s="144"/>
      <c r="H16" s="141"/>
      <c r="I16" s="141"/>
      <c r="J16" s="675"/>
      <c r="K16" s="487"/>
      <c r="L16" s="487"/>
      <c r="M16" s="487"/>
      <c r="N16" s="487"/>
      <c r="O16" s="487"/>
      <c r="P16" s="673"/>
      <c r="Q16" s="677"/>
      <c r="R16" s="141">
        <f>$B$16/9</f>
        <v>1969817.537414141</v>
      </c>
      <c r="S16" s="141">
        <f t="shared" ref="S16:Z16" si="11">$B$16/9</f>
        <v>1969817.537414141</v>
      </c>
      <c r="T16" s="141">
        <f t="shared" si="11"/>
        <v>1969817.537414141</v>
      </c>
      <c r="U16" s="141">
        <f t="shared" si="11"/>
        <v>1969817.537414141</v>
      </c>
      <c r="V16" s="141">
        <f t="shared" si="11"/>
        <v>1969817.537414141</v>
      </c>
      <c r="W16" s="141">
        <f t="shared" si="11"/>
        <v>1969817.537414141</v>
      </c>
      <c r="X16" s="141">
        <f t="shared" si="11"/>
        <v>1969817.537414141</v>
      </c>
      <c r="Y16" s="141">
        <f t="shared" si="11"/>
        <v>1969817.537414141</v>
      </c>
      <c r="Z16" s="141">
        <f t="shared" si="11"/>
        <v>1969817.537414141</v>
      </c>
      <c r="AA16" s="142"/>
      <c r="AB16" s="142"/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6"/>
        <v>17728357.836727269</v>
      </c>
      <c r="AW16" s="142">
        <f t="shared" si="3"/>
        <v>17728357.836727269</v>
      </c>
      <c r="AX16" s="142">
        <f t="shared" si="5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'E Financial'!$A19</f>
        <v>Insurance</v>
      </c>
      <c r="B17" s="140">
        <f>'E Financial'!$B19</f>
        <v>8296103.7225000001</v>
      </c>
      <c r="C17" s="145"/>
      <c r="D17" s="144"/>
      <c r="E17" s="144"/>
      <c r="F17" s="141"/>
      <c r="G17" s="141"/>
      <c r="H17" s="141"/>
      <c r="I17" s="141"/>
      <c r="J17" s="487"/>
      <c r="K17" s="676"/>
      <c r="L17" s="145"/>
      <c r="M17" s="141"/>
      <c r="N17" s="141"/>
      <c r="O17" s="141"/>
      <c r="P17" s="141"/>
      <c r="Q17" s="141">
        <f>B17</f>
        <v>8296103.7225000001</v>
      </c>
      <c r="R17" s="141"/>
      <c r="S17" s="141"/>
      <c r="T17" s="98"/>
      <c r="U17" s="141"/>
      <c r="V17" s="141"/>
      <c r="W17" s="142"/>
      <c r="X17" s="142"/>
      <c r="Y17" s="142"/>
      <c r="Z17" s="142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6"/>
        <v>8296103.7225000001</v>
      </c>
      <c r="AW17" s="142">
        <f t="shared" si="3"/>
        <v>8296103.7225000001</v>
      </c>
      <c r="AX17" s="142">
        <f t="shared" si="5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'E Financial'!$A20</f>
        <v>Marketing, FFE and Preleasing</v>
      </c>
      <c r="B18" s="140">
        <f>'E Financial'!$B20</f>
        <v>2400000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/>
      <c r="O18" s="141"/>
      <c r="P18" s="141"/>
      <c r="Q18" s="141"/>
      <c r="R18" s="141"/>
      <c r="S18" s="141"/>
      <c r="T18" s="141"/>
      <c r="U18" s="141"/>
      <c r="V18" s="141"/>
      <c r="W18" s="142"/>
      <c r="X18" s="141">
        <f>$B$18/3</f>
        <v>800000</v>
      </c>
      <c r="Y18" s="141">
        <f>$B$18/3</f>
        <v>800000</v>
      </c>
      <c r="Z18" s="141">
        <f>$B$18/3</f>
        <v>800000</v>
      </c>
      <c r="AA18" s="142"/>
      <c r="AB18" s="142"/>
      <c r="AC18" s="142"/>
      <c r="AD18" s="142"/>
      <c r="AE18" s="142"/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6"/>
        <v>2400000</v>
      </c>
      <c r="AW18" s="142">
        <f t="shared" si="3"/>
        <v>2400000</v>
      </c>
      <c r="AX18" s="142">
        <f t="shared" si="5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'E Financial'!$A21</f>
        <v>Operating Deficit</v>
      </c>
      <c r="B19" s="140">
        <f>'E Financial'!$B21</f>
        <v>28464124.5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487"/>
      <c r="O19" s="487"/>
      <c r="P19" s="141"/>
      <c r="Q19" s="141"/>
      <c r="R19" s="141"/>
      <c r="S19" s="141"/>
      <c r="T19" s="141"/>
      <c r="U19" s="151"/>
      <c r="V19" s="151"/>
      <c r="W19" s="104"/>
      <c r="X19" s="104"/>
      <c r="Y19" s="104"/>
      <c r="Z19" s="104"/>
      <c r="AA19" s="141">
        <f>$B$19/2</f>
        <v>14232062.25</v>
      </c>
      <c r="AB19" s="141">
        <f>$B$19/2</f>
        <v>14232062.25</v>
      </c>
      <c r="AC19" s="104"/>
      <c r="AD19" s="104"/>
      <c r="AE19" s="104"/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6"/>
        <v>28464124.5</v>
      </c>
      <c r="AW19" s="142">
        <f t="shared" si="3"/>
        <v>28464124.5</v>
      </c>
      <c r="AX19" s="142">
        <f t="shared" si="5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'E Financial'!$A22</f>
        <v>Commercial Tenant Improvements</v>
      </c>
      <c r="B20" s="140">
        <f>'E Financial'!$B22</f>
        <v>22529220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/>
      <c r="S20" s="141"/>
      <c r="T20" s="141"/>
      <c r="U20" s="141"/>
      <c r="V20" s="141"/>
      <c r="W20" s="142"/>
      <c r="X20" s="142"/>
      <c r="Y20" s="142"/>
      <c r="Z20" s="142"/>
      <c r="AA20" s="141">
        <f>$B$20/2</f>
        <v>11264610</v>
      </c>
      <c r="AB20" s="141">
        <f>$B$20/2</f>
        <v>11264610</v>
      </c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6"/>
        <v>22529220</v>
      </c>
      <c r="AW20" s="142">
        <f t="shared" si="3"/>
        <v>22529220</v>
      </c>
      <c r="AX20" s="142">
        <f t="shared" si="5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'E Financial'!$A23</f>
        <v>Commercial brokerage</v>
      </c>
      <c r="B21" s="140">
        <f>'E Financial'!$B23</f>
        <v>5793228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2"/>
      <c r="X21" s="142"/>
      <c r="Y21" s="142"/>
      <c r="Z21" s="141">
        <f>$B$21/3</f>
        <v>1931076</v>
      </c>
      <c r="AA21" s="141">
        <f>$B$21/3</f>
        <v>1931076</v>
      </c>
      <c r="AB21" s="141">
        <f>$B$21/3</f>
        <v>1931076</v>
      </c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6"/>
        <v>5793228</v>
      </c>
      <c r="AW21" s="142">
        <f t="shared" si="3"/>
        <v>5793228</v>
      </c>
      <c r="AX21" s="142">
        <f t="shared" si="5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'E Financial'!$A24</f>
        <v>Construction Loan Origination</v>
      </c>
      <c r="B22" s="140">
        <f ca="1">'E Financial'!$B24</f>
        <v>7227156.8429194596</v>
      </c>
      <c r="C22" s="141"/>
      <c r="D22" s="141"/>
      <c r="E22" s="141"/>
      <c r="F22" s="141"/>
      <c r="G22" s="141"/>
      <c r="H22" s="141"/>
      <c r="I22" s="141"/>
      <c r="J22" s="141"/>
      <c r="K22" s="141"/>
      <c r="L22" s="141"/>
      <c r="M22" s="98"/>
      <c r="N22" s="141"/>
      <c r="O22" s="141"/>
      <c r="P22" s="98"/>
      <c r="Q22" s="141">
        <f ca="1">$B22</f>
        <v>7227156.8429194596</v>
      </c>
      <c r="R22" s="141"/>
      <c r="S22" s="141"/>
      <c r="T22" s="141"/>
      <c r="U22" s="141"/>
      <c r="V22" s="141"/>
      <c r="W22" s="142"/>
      <c r="X22" s="142"/>
      <c r="Y22" s="142"/>
      <c r="Z22" s="142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6"/>
        <v>7227156.8429194596</v>
      </c>
      <c r="AW22" s="142">
        <f t="shared" ca="1" si="3"/>
        <v>7227156.8429194596</v>
      </c>
      <c r="AX22" s="142">
        <f t="shared" ca="1" si="5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'E Financial'!$A25</f>
        <v>Construction Interest</v>
      </c>
      <c r="B23" s="140">
        <f>'E Financial'!$B25</f>
        <v>33726731.933624148</v>
      </c>
      <c r="C23" s="153"/>
      <c r="D23" s="141"/>
      <c r="E23" s="141"/>
      <c r="F23" s="141"/>
      <c r="G23" s="141"/>
      <c r="H23" s="141"/>
      <c r="I23" s="141"/>
      <c r="J23" s="141"/>
      <c r="K23" s="141"/>
      <c r="L23" s="141"/>
      <c r="M23" s="141"/>
      <c r="N23" s="141"/>
      <c r="O23" s="141"/>
      <c r="P23" s="141"/>
      <c r="Q23" s="141"/>
      <c r="R23" s="141"/>
      <c r="S23" s="141"/>
      <c r="T23" s="141">
        <f>$B$23*0.1</f>
        <v>3372673.1933624148</v>
      </c>
      <c r="U23" s="141">
        <f>$B$23*0.1</f>
        <v>3372673.1933624148</v>
      </c>
      <c r="V23" s="141">
        <f>$B$23*0.1</f>
        <v>3372673.1933624148</v>
      </c>
      <c r="W23" s="141">
        <f>$B$23*0.1</f>
        <v>3372673.1933624148</v>
      </c>
      <c r="X23" s="141">
        <f>$B$23*0.2</f>
        <v>6745346.3867248297</v>
      </c>
      <c r="Y23" s="141">
        <f>$B$23*0.2</f>
        <v>6745346.3867248297</v>
      </c>
      <c r="Z23" s="141">
        <f>$B$23*0.2</f>
        <v>6745346.3867248297</v>
      </c>
      <c r="AA23" s="142"/>
      <c r="AB23" s="142"/>
      <c r="AC23" s="142"/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si="6"/>
        <v>33726731.933624148</v>
      </c>
      <c r="AW23" s="142">
        <f t="shared" si="3"/>
        <v>33726731.933624148</v>
      </c>
      <c r="AX23" s="142">
        <f t="shared" si="5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'E Financial'!$A26</f>
        <v>Additional Contingency</v>
      </c>
      <c r="B24" s="154">
        <f ca="1">'E Financial'!$B26</f>
        <v>16187423.232453961</v>
      </c>
      <c r="C24" s="155">
        <f ca="1">$B$24*C4</f>
        <v>0</v>
      </c>
      <c r="D24" s="155">
        <f t="shared" ref="D24:Z24" ca="1" si="12">$B$24*D4</f>
        <v>0</v>
      </c>
      <c r="E24" s="155">
        <f t="shared" ca="1" si="12"/>
        <v>0</v>
      </c>
      <c r="F24" s="155">
        <f t="shared" ca="1" si="12"/>
        <v>0</v>
      </c>
      <c r="G24" s="155">
        <f t="shared" ca="1" si="12"/>
        <v>0</v>
      </c>
      <c r="H24" s="155">
        <f t="shared" ca="1" si="12"/>
        <v>0</v>
      </c>
      <c r="I24" s="155">
        <f t="shared" ca="1" si="12"/>
        <v>0</v>
      </c>
      <c r="J24" s="155">
        <f t="shared" ca="1" si="12"/>
        <v>0</v>
      </c>
      <c r="K24" s="155">
        <f t="shared" ca="1" si="12"/>
        <v>0</v>
      </c>
      <c r="L24" s="155">
        <f t="shared" ca="1" si="12"/>
        <v>0</v>
      </c>
      <c r="M24" s="155">
        <f t="shared" ca="1" si="12"/>
        <v>0</v>
      </c>
      <c r="N24" s="155">
        <f t="shared" ca="1" si="12"/>
        <v>0</v>
      </c>
      <c r="O24" s="155">
        <f t="shared" ca="1" si="12"/>
        <v>0</v>
      </c>
      <c r="P24" s="155">
        <f t="shared" ca="1" si="12"/>
        <v>0</v>
      </c>
      <c r="Q24" s="155">
        <f t="shared" ca="1" si="12"/>
        <v>0</v>
      </c>
      <c r="R24" s="155">
        <f t="shared" ca="1" si="12"/>
        <v>809371.16162269807</v>
      </c>
      <c r="S24" s="155">
        <f t="shared" ca="1" si="12"/>
        <v>1618742.3232453961</v>
      </c>
      <c r="T24" s="155">
        <f t="shared" ca="1" si="12"/>
        <v>1618742.3232453961</v>
      </c>
      <c r="U24" s="155">
        <f t="shared" ca="1" si="12"/>
        <v>2428113.4848680939</v>
      </c>
      <c r="V24" s="155">
        <f t="shared" ca="1" si="12"/>
        <v>3237484.6464907923</v>
      </c>
      <c r="W24" s="155">
        <f t="shared" ca="1" si="12"/>
        <v>2428113.4848680939</v>
      </c>
      <c r="X24" s="155">
        <f t="shared" ca="1" si="12"/>
        <v>1618742.3232453961</v>
      </c>
      <c r="Y24" s="155">
        <f t="shared" ca="1" si="12"/>
        <v>1618742.3232453961</v>
      </c>
      <c r="Z24" s="155">
        <f t="shared" ca="1" si="12"/>
        <v>809371.16162269807</v>
      </c>
      <c r="AA24" s="610"/>
      <c r="AB24" s="610"/>
      <c r="AC24" s="610"/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ca="1" si="6"/>
        <v>16187423.232453961</v>
      </c>
      <c r="AW24" s="156">
        <f t="shared" ca="1" si="3"/>
        <v>16187423.232453961</v>
      </c>
      <c r="AX24" s="156">
        <f t="shared" ca="1" si="5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'E Financial'!$A27</f>
        <v>Total Project Cost</v>
      </c>
      <c r="B25" s="608">
        <f ca="1">'E Financial'!$B27</f>
        <v>801057527.10084403</v>
      </c>
      <c r="C25" s="62">
        <f ca="1">SUM(C5:C24)</f>
        <v>0</v>
      </c>
      <c r="D25" s="62">
        <f t="shared" ref="D25:AB25" ca="1" si="13">SUM(D5:D24)</f>
        <v>0</v>
      </c>
      <c r="E25" s="62">
        <f t="shared" ca="1" si="13"/>
        <v>0</v>
      </c>
      <c r="F25" s="62">
        <f t="shared" ca="1" si="13"/>
        <v>0</v>
      </c>
      <c r="G25" s="62">
        <f t="shared" ca="1" si="13"/>
        <v>0</v>
      </c>
      <c r="H25" s="62">
        <f t="shared" ca="1" si="13"/>
        <v>0</v>
      </c>
      <c r="I25" s="62">
        <f t="shared" ca="1" si="13"/>
        <v>0</v>
      </c>
      <c r="J25" s="62">
        <f t="shared" ca="1" si="13"/>
        <v>0</v>
      </c>
      <c r="K25" s="62">
        <f t="shared" ca="1" si="13"/>
        <v>0</v>
      </c>
      <c r="L25" s="62">
        <f t="shared" ca="1" si="13"/>
        <v>0</v>
      </c>
      <c r="M25" s="62">
        <f t="shared" ca="1" si="13"/>
        <v>2212294.3259999999</v>
      </c>
      <c r="N25" s="62">
        <f t="shared" ca="1" si="13"/>
        <v>4670399.1326666661</v>
      </c>
      <c r="O25" s="62">
        <f t="shared" ca="1" si="13"/>
        <v>4670399.1326666661</v>
      </c>
      <c r="P25" s="62">
        <f t="shared" ca="1" si="13"/>
        <v>4670399.1326666661</v>
      </c>
      <c r="Q25" s="62">
        <f t="shared" ca="1" si="13"/>
        <v>20193659.698086128</v>
      </c>
      <c r="R25" s="62">
        <f t="shared" ca="1" si="13"/>
        <v>65460861.269036829</v>
      </c>
      <c r="S25" s="62">
        <f t="shared" ca="1" si="13"/>
        <v>66270232.430659533</v>
      </c>
      <c r="T25" s="62">
        <f t="shared" ca="1" si="13"/>
        <v>69642905.624021932</v>
      </c>
      <c r="U25" s="62">
        <f t="shared" ca="1" si="13"/>
        <v>98105955.860644653</v>
      </c>
      <c r="V25" s="62">
        <f t="shared" ca="1" si="13"/>
        <v>126569006.09726737</v>
      </c>
      <c r="W25" s="62">
        <f t="shared" ca="1" si="13"/>
        <v>95647851.053977981</v>
      </c>
      <c r="X25" s="62">
        <f t="shared" ca="1" si="13"/>
        <v>71631283.534527212</v>
      </c>
      <c r="Y25" s="62">
        <f t="shared" ca="1" si="13"/>
        <v>71631283.534527212</v>
      </c>
      <c r="Z25" s="62">
        <f t="shared" ca="1" si="13"/>
        <v>44825499.774094999</v>
      </c>
      <c r="AA25" s="62">
        <f t="shared" si="13"/>
        <v>27427748.25</v>
      </c>
      <c r="AB25" s="62">
        <f t="shared" si="13"/>
        <v>27427748.25</v>
      </c>
      <c r="AC25" s="62">
        <f t="shared" ref="X25:AX25" si="14">SUM(AC4:AC24)</f>
        <v>0</v>
      </c>
      <c r="AD25" s="62">
        <f t="shared" si="14"/>
        <v>0</v>
      </c>
      <c r="AE25" s="62">
        <f t="shared" si="14"/>
        <v>0</v>
      </c>
      <c r="AF25" s="62">
        <f t="shared" si="14"/>
        <v>0</v>
      </c>
      <c r="AG25" s="62">
        <f t="shared" si="14"/>
        <v>0</v>
      </c>
      <c r="AH25" s="62">
        <f t="shared" si="14"/>
        <v>0</v>
      </c>
      <c r="AI25" s="62">
        <f t="shared" si="14"/>
        <v>0</v>
      </c>
      <c r="AJ25" s="62">
        <f t="shared" si="14"/>
        <v>0</v>
      </c>
      <c r="AK25" s="62">
        <f t="shared" si="14"/>
        <v>0</v>
      </c>
      <c r="AL25" s="62">
        <f t="shared" si="14"/>
        <v>0</v>
      </c>
      <c r="AM25" s="62">
        <f t="shared" si="14"/>
        <v>0</v>
      </c>
      <c r="AN25" s="62">
        <f t="shared" si="14"/>
        <v>0</v>
      </c>
      <c r="AO25" s="62">
        <f t="shared" si="14"/>
        <v>0</v>
      </c>
      <c r="AP25" s="62">
        <f t="shared" si="14"/>
        <v>0</v>
      </c>
      <c r="AQ25" s="62">
        <f t="shared" si="14"/>
        <v>0</v>
      </c>
      <c r="AR25" s="62">
        <f t="shared" si="14"/>
        <v>0</v>
      </c>
      <c r="AS25" s="62">
        <f t="shared" si="14"/>
        <v>0</v>
      </c>
      <c r="AT25" s="62">
        <f t="shared" si="14"/>
        <v>0</v>
      </c>
      <c r="AU25" s="62">
        <f t="shared" si="14"/>
        <v>0</v>
      </c>
      <c r="AV25" s="62">
        <f t="shared" ca="1" si="14"/>
        <v>801057528.10084403</v>
      </c>
      <c r="AW25" s="62">
        <f t="shared" ca="1" si="14"/>
        <v>801057527.10084403</v>
      </c>
      <c r="AX25" s="62">
        <f t="shared" ca="1" si="14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'E Financial'!D11</f>
        <v>0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801057527.10084403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801057527.10084391</v>
      </c>
      <c r="C28" s="142">
        <f ca="1">C25</f>
        <v>0</v>
      </c>
      <c r="D28" s="142">
        <f t="shared" ref="D28:Q28" ca="1" si="15">IF(((C29+D25)&lt;=$B$29),D25,($B$29-C29))</f>
        <v>0</v>
      </c>
      <c r="E28" s="142">
        <f t="shared" ca="1" si="15"/>
        <v>0</v>
      </c>
      <c r="F28" s="142">
        <f t="shared" ca="1" si="15"/>
        <v>0</v>
      </c>
      <c r="G28" s="142">
        <f t="shared" ca="1" si="15"/>
        <v>0</v>
      </c>
      <c r="H28" s="142">
        <f t="shared" ca="1" si="15"/>
        <v>0</v>
      </c>
      <c r="I28" s="142">
        <f t="shared" ca="1" si="15"/>
        <v>0</v>
      </c>
      <c r="J28" s="142">
        <f t="shared" ca="1" si="15"/>
        <v>0</v>
      </c>
      <c r="K28" s="142">
        <f t="shared" ca="1" si="15"/>
        <v>0</v>
      </c>
      <c r="L28" s="142">
        <f t="shared" ca="1" si="15"/>
        <v>0</v>
      </c>
      <c r="M28" s="142">
        <f t="shared" ca="1" si="15"/>
        <v>2212294.3259999999</v>
      </c>
      <c r="N28" s="142">
        <f t="shared" ca="1" si="15"/>
        <v>4670399.1326666661</v>
      </c>
      <c r="O28" s="142">
        <f t="shared" ca="1" si="15"/>
        <v>4670399.1326666661</v>
      </c>
      <c r="P28" s="142">
        <f t="shared" ca="1" si="15"/>
        <v>4670399.1326666661</v>
      </c>
      <c r="Q28" s="142">
        <f t="shared" ca="1" si="15"/>
        <v>20193659.698086128</v>
      </c>
      <c r="R28" s="142">
        <f t="shared" ref="R28" ca="1" si="16">IF(((Q29+R25)&lt;=$B$29),R25,($B$29-Q29))</f>
        <v>65460861.269036829</v>
      </c>
      <c r="S28" s="142">
        <f t="shared" ref="S28" ca="1" si="17">IF(((R29+S25)&lt;=$B$29),S25,($B$29-R29))</f>
        <v>66270232.430659533</v>
      </c>
      <c r="T28" s="142">
        <f t="shared" ref="T28" ca="1" si="18">IF(((S29+T25)&lt;=$B$29),T25,($B$29-S29))</f>
        <v>69642905.624021932</v>
      </c>
      <c r="U28" s="142">
        <f t="shared" ref="U28" ca="1" si="19">IF(((T29+U25)&lt;=$B$29),U25,($B$29-T29))</f>
        <v>98105955.860644653</v>
      </c>
      <c r="V28" s="142">
        <f t="shared" ref="V28" ca="1" si="20">IF(((U29+V25)&lt;=$B$29),V25,($B$29-U29))</f>
        <v>126569006.09726737</v>
      </c>
      <c r="W28" s="142">
        <f t="shared" ref="W28" ca="1" si="21">IF(((V29+W25)&lt;=$B$29),W25,($B$29-V29))</f>
        <v>95647851.053977981</v>
      </c>
      <c r="X28" s="142">
        <f t="shared" ref="X28" ca="1" si="22">IF(((W29+X25)&lt;=$B$29),X25,($B$29-W29))</f>
        <v>71631283.534527212</v>
      </c>
      <c r="Y28" s="142">
        <f t="shared" ref="Y28" ca="1" si="23">IF(((X29+Y25)&lt;=$B$29),Y25,($B$29-X29))</f>
        <v>71631283.534527212</v>
      </c>
      <c r="Z28" s="142">
        <f t="shared" ref="Z28" ca="1" si="24">IF(((Y29+Z25)&lt;=$B$29),Z25,($B$29-Y29))</f>
        <v>44825499.774094999</v>
      </c>
      <c r="AA28" s="142">
        <f t="shared" ref="AA28" ca="1" si="25">IF(((Z29+AA25)&lt;=$B$29),AA25,($B$29-Z29))</f>
        <v>27427748.25</v>
      </c>
      <c r="AB28" s="142">
        <f t="shared" ref="AB28" ca="1" si="26">IF(((AA29+AB25)&lt;=$B$29),AB25,($B$29-AA29))</f>
        <v>27427748.25</v>
      </c>
      <c r="AC28" s="142"/>
      <c r="AD28" s="142"/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'E Financial'!D15</f>
        <v>801057527.10084403</v>
      </c>
      <c r="C29" s="142">
        <f ca="1">C28</f>
        <v>0</v>
      </c>
      <c r="D29" s="142">
        <f ca="1">IF(SUM($C$28:D$28)&lt;=$B29,SUM($C$28:D$28),0)</f>
        <v>0</v>
      </c>
      <c r="E29" s="142">
        <f ca="1">IF(SUM($C$28:E28)&lt;=$B29,SUM($C$28:E28),0)</f>
        <v>0</v>
      </c>
      <c r="F29" s="142">
        <f ca="1">IF(SUM($C$28:F28)&lt;=$B29,SUM($C$28:F28),0)</f>
        <v>0</v>
      </c>
      <c r="G29" s="142">
        <f ca="1">IF(SUM($C$28:G28)&lt;=$B29,SUM($C$28:G28),0)</f>
        <v>0</v>
      </c>
      <c r="H29" s="142">
        <f ca="1">IF(SUM($C$28:H28)&lt;=$B29,SUM($C$28:H28),0)</f>
        <v>0</v>
      </c>
      <c r="I29" s="142">
        <f ca="1">IF(SUM($C$28:I28)&lt;=$B29,SUM($C$28:I28),0)</f>
        <v>0</v>
      </c>
      <c r="J29" s="142">
        <f ca="1">IF(SUM($C$28:J28)&lt;=$B29,SUM($C$28:J28),0)</f>
        <v>0</v>
      </c>
      <c r="K29" s="142">
        <f ca="1">IF(SUM($C$28:K28)&lt;=$B29,SUM($C$28:K28),0)</f>
        <v>0</v>
      </c>
      <c r="L29" s="142">
        <f ca="1">IF(SUM($C$28:L28)&lt;=$B29,SUM($C$28:L28),0)</f>
        <v>0</v>
      </c>
      <c r="M29" s="142">
        <f ca="1">IF(SUM($C$28:M28)&lt;=$B29,SUM($C$28:M28),0)</f>
        <v>2212294.3259999999</v>
      </c>
      <c r="N29" s="142">
        <f ca="1">IF(SUM($C$28:N28)&lt;=$B29,SUM($C$28:N28),0)</f>
        <v>6882693.4586666655</v>
      </c>
      <c r="O29" s="142">
        <f ca="1">IF(SUM($C$28:O28)&lt;=$B29,SUM($C$28:O28),0)</f>
        <v>11553092.591333332</v>
      </c>
      <c r="P29" s="142">
        <f ca="1">IF(SUM($C$28:P28)&lt;=$B29,SUM($C$28:P28),0)</f>
        <v>16223491.723999998</v>
      </c>
      <c r="Q29" s="142">
        <f ca="1">IF(SUM($C$28:Q28)&lt;=$B29,SUM($C$28:Q28),0)</f>
        <v>36417151.422086127</v>
      </c>
      <c r="R29" s="142">
        <f ca="1">IF(SUM($C$28:R28)&lt;=$B29,SUM($C$28:R28),0)</f>
        <v>101878012.69112295</v>
      </c>
      <c r="S29" s="142">
        <f ca="1">IF(SUM($C$28:S28)&lt;=$B29,SUM($C$28:S28),0)</f>
        <v>168148245.12178248</v>
      </c>
      <c r="T29" s="142">
        <f ca="1">IF(SUM($C$28:T28)&lt;=$B29,SUM($C$28:T28),0)</f>
        <v>237791150.74580443</v>
      </c>
      <c r="U29" s="142">
        <f ca="1">IF(SUM($C$28:U28)&lt;=$B29,SUM($C$28:U28),0)</f>
        <v>335897106.60644907</v>
      </c>
      <c r="V29" s="142">
        <f ca="1">IF(SUM($C$28:V28)&lt;=$B29,SUM($C$28:V28),0)</f>
        <v>462466112.70371646</v>
      </c>
      <c r="W29" s="142">
        <f ca="1">IF(SUM($C$28:W28)&lt;=$B29,SUM($C$28:W28),0)</f>
        <v>558113963.75769448</v>
      </c>
      <c r="X29" s="142">
        <f ca="1">IF(SUM($C$28:X28)&lt;=$B29,SUM($C$28:X28),0)</f>
        <v>629745247.29222167</v>
      </c>
      <c r="Y29" s="142">
        <f ca="1">IF(SUM($C$28:Y28)&lt;=$B29,SUM($C$28:Y28),0)</f>
        <v>701376530.82674885</v>
      </c>
      <c r="Z29" s="142">
        <f ca="1">IF(SUM($C$28:Z28)&lt;=$B29,SUM($C$28:Z28),0)</f>
        <v>746202030.60084391</v>
      </c>
      <c r="AA29" s="142">
        <f ca="1">IF(SUM($C$28:AA28)&lt;=$B29,SUM($C$28:AA28),0)</f>
        <v>773629778.85084391</v>
      </c>
      <c r="AB29" s="142">
        <f ca="1">IF(SUM($C$28:AB28)&lt;=$B29,SUM($C$28:AB28),0)</f>
        <v>801057527.10084391</v>
      </c>
      <c r="AC29" s="142"/>
      <c r="AD29" s="142"/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'E Financial'!D14</f>
        <v>0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PMT(0.065,30,(B30))</f>
        <v>0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'E Financial'!D21+'E Financial'!D22</f>
        <v>1286947457.7772388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SUM(M35:AU35)</f>
        <v>513317678.92639494</v>
      </c>
      <c r="C35" s="170">
        <f t="shared" ref="C35:AA35" ca="1" si="27">-C28</f>
        <v>0</v>
      </c>
      <c r="D35" s="170">
        <f t="shared" ca="1" si="27"/>
        <v>0</v>
      </c>
      <c r="E35" s="170">
        <f t="shared" ca="1" si="27"/>
        <v>0</v>
      </c>
      <c r="F35" s="170">
        <f t="shared" ca="1" si="27"/>
        <v>0</v>
      </c>
      <c r="G35" s="170">
        <f t="shared" ca="1" si="27"/>
        <v>0</v>
      </c>
      <c r="H35" s="170">
        <f t="shared" ca="1" si="27"/>
        <v>0</v>
      </c>
      <c r="I35" s="170">
        <f t="shared" ca="1" si="27"/>
        <v>0</v>
      </c>
      <c r="J35" s="170">
        <f t="shared" ca="1" si="27"/>
        <v>0</v>
      </c>
      <c r="K35" s="170">
        <f t="shared" ca="1" si="27"/>
        <v>0</v>
      </c>
      <c r="L35" s="170">
        <f t="shared" ca="1" si="27"/>
        <v>0</v>
      </c>
      <c r="M35" s="170">
        <f t="shared" ca="1" si="27"/>
        <v>-2212294.3259999999</v>
      </c>
      <c r="N35" s="170">
        <f t="shared" ca="1" si="27"/>
        <v>-4670399.1326666661</v>
      </c>
      <c r="O35" s="170">
        <f t="shared" ca="1" si="27"/>
        <v>-4670399.1326666661</v>
      </c>
      <c r="P35" s="170">
        <f t="shared" ca="1" si="27"/>
        <v>-4670399.1326666661</v>
      </c>
      <c r="Q35" s="170">
        <f t="shared" ca="1" si="27"/>
        <v>-20193659.698086128</v>
      </c>
      <c r="R35" s="170">
        <f t="shared" ca="1" si="27"/>
        <v>-65460861.269036829</v>
      </c>
      <c r="S35" s="170">
        <f t="shared" ca="1" si="27"/>
        <v>-66270232.430659533</v>
      </c>
      <c r="T35" s="170">
        <f t="shared" ca="1" si="27"/>
        <v>-69642905.624021932</v>
      </c>
      <c r="U35" s="170">
        <f t="shared" ca="1" si="27"/>
        <v>-98105955.860644653</v>
      </c>
      <c r="V35" s="170">
        <f t="shared" ca="1" si="27"/>
        <v>-126569006.09726737</v>
      </c>
      <c r="W35" s="170">
        <f t="shared" ca="1" si="27"/>
        <v>-95647851.053977981</v>
      </c>
      <c r="X35" s="170">
        <f t="shared" ca="1" si="27"/>
        <v>-71631283.534527212</v>
      </c>
      <c r="Y35" s="170">
        <f t="shared" ca="1" si="27"/>
        <v>-71631283.534527212</v>
      </c>
      <c r="Z35" s="170">
        <f t="shared" ca="1" si="27"/>
        <v>-44825499.774094999</v>
      </c>
      <c r="AA35" s="170">
        <f t="shared" ca="1" si="27"/>
        <v>-27427748.25</v>
      </c>
      <c r="AB35" s="171">
        <f ca="1">B34</f>
        <v>1286947457.7772388</v>
      </c>
      <c r="AC35" s="170"/>
      <c r="AD35" s="170"/>
      <c r="AE35" s="170"/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8.1597561801783014E-2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0.36855671005270207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6"/>
      <c r="R37" s="176"/>
      <c r="S37" s="176"/>
      <c r="T37" s="176"/>
      <c r="U37" s="176"/>
      <c r="V37" s="177"/>
      <c r="W37" s="176"/>
      <c r="X37" s="176"/>
      <c r="Y37" s="176"/>
      <c r="Z37" s="176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6"/>
      <c r="R38" s="176"/>
      <c r="S38" s="176"/>
      <c r="T38" s="176"/>
      <c r="U38" s="176"/>
      <c r="V38" s="177"/>
      <c r="W38" s="176"/>
      <c r="X38" s="176"/>
      <c r="Y38" s="176"/>
      <c r="Z38" s="176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'E Financial'!D21-B26</f>
        <v>1286947457.7772388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6"/>
      <c r="R39" s="176"/>
      <c r="S39" s="176"/>
      <c r="T39" s="176"/>
      <c r="U39" s="176"/>
      <c r="V39" s="177"/>
      <c r="W39" s="176"/>
      <c r="X39" s="176"/>
      <c r="Y39" s="176"/>
      <c r="Z39" s="176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485889930.67639494</v>
      </c>
      <c r="C40" s="142">
        <f t="shared" ref="C40:AA40" ca="1" si="28">-C25</f>
        <v>0</v>
      </c>
      <c r="D40" s="142">
        <f t="shared" ca="1" si="28"/>
        <v>0</v>
      </c>
      <c r="E40" s="142">
        <f t="shared" ca="1" si="28"/>
        <v>0</v>
      </c>
      <c r="F40" s="142">
        <f t="shared" ca="1" si="28"/>
        <v>0</v>
      </c>
      <c r="G40" s="142">
        <f t="shared" ca="1" si="28"/>
        <v>0</v>
      </c>
      <c r="H40" s="142">
        <f t="shared" ca="1" si="28"/>
        <v>0</v>
      </c>
      <c r="I40" s="142">
        <f t="shared" ca="1" si="28"/>
        <v>0</v>
      </c>
      <c r="J40" s="142">
        <f t="shared" ca="1" si="28"/>
        <v>0</v>
      </c>
      <c r="K40" s="142">
        <f t="shared" ca="1" si="28"/>
        <v>0</v>
      </c>
      <c r="L40" s="142">
        <f t="shared" ca="1" si="28"/>
        <v>0</v>
      </c>
      <c r="M40" s="142">
        <f t="shared" ca="1" si="28"/>
        <v>-2212294.3259999999</v>
      </c>
      <c r="N40" s="142">
        <f t="shared" ca="1" si="28"/>
        <v>-4670399.1326666661</v>
      </c>
      <c r="O40" s="142">
        <f t="shared" ca="1" si="28"/>
        <v>-4670399.1326666661</v>
      </c>
      <c r="P40" s="142">
        <f t="shared" ca="1" si="28"/>
        <v>-4670399.1326666661</v>
      </c>
      <c r="Q40" s="142">
        <f t="shared" ca="1" si="28"/>
        <v>-20193659.698086128</v>
      </c>
      <c r="R40" s="142">
        <f t="shared" ca="1" si="28"/>
        <v>-65460861.269036829</v>
      </c>
      <c r="S40" s="142">
        <f t="shared" ca="1" si="28"/>
        <v>-66270232.430659533</v>
      </c>
      <c r="T40" s="142">
        <f t="shared" ca="1" si="28"/>
        <v>-69642905.624021932</v>
      </c>
      <c r="U40" s="142">
        <f t="shared" ca="1" si="28"/>
        <v>-98105955.860644653</v>
      </c>
      <c r="V40" s="142">
        <f t="shared" ca="1" si="28"/>
        <v>-126569006.09726737</v>
      </c>
      <c r="W40" s="142">
        <f t="shared" ca="1" si="28"/>
        <v>-95647851.053977981</v>
      </c>
      <c r="X40" s="142">
        <f t="shared" ca="1" si="28"/>
        <v>-71631283.534527212</v>
      </c>
      <c r="Y40" s="142">
        <f t="shared" ca="1" si="28"/>
        <v>-71631283.534527212</v>
      </c>
      <c r="Z40" s="142">
        <f t="shared" ca="1" si="28"/>
        <v>-44825499.774094999</v>
      </c>
      <c r="AA40" s="142">
        <f t="shared" si="28"/>
        <v>-27427748.25</v>
      </c>
      <c r="AB40" s="174">
        <f ca="1">B39-AB25</f>
        <v>1259519709.5272388</v>
      </c>
      <c r="AC40" s="142"/>
      <c r="AD40" s="142"/>
      <c r="AE40" s="142"/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7.8165643223356618E-2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0.35126943704114488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184" priority="1" operator="equal">
      <formula>#REF!</formula>
    </cfRule>
    <cfRule type="cellIs" dxfId="183" priority="2" operator="equal">
      <formula>#REF!</formula>
    </cfRule>
    <cfRule type="cellIs" dxfId="182" priority="3" operator="equal">
      <formula>#REF!</formula>
    </cfRule>
    <cfRule type="cellIs" dxfId="181" priority="4" operator="equal">
      <formula>#REF!</formula>
    </cfRule>
  </conditionalFormatting>
  <conditionalFormatting sqref="AT4:AU4">
    <cfRule type="cellIs" dxfId="180" priority="5" operator="equal">
      <formula>#REF!</formula>
    </cfRule>
    <cfRule type="cellIs" dxfId="179" priority="6" operator="equal">
      <formula>#REF!</formula>
    </cfRule>
    <cfRule type="cellIs" dxfId="178" priority="7" operator="equal">
      <formula>#REF!</formula>
    </cfRule>
    <cfRule type="cellIs" dxfId="177" priority="8" operator="equal">
      <formula>#REF!</formula>
    </cfRule>
    <cfRule type="cellIs" dxfId="176" priority="9" operator="equal">
      <formula>#REF!</formula>
    </cfRule>
    <cfRule type="cellIs" dxfId="175" priority="10" operator="equal">
      <formula>#REF!</formula>
    </cfRule>
    <cfRule type="cellIs" dxfId="174" priority="11" operator="equal">
      <formula>#REF!</formula>
    </cfRule>
    <cfRule type="cellIs" dxfId="173" priority="12" operator="equal">
      <formula>#REF!</formula>
    </cfRule>
  </conditionalFormatting>
  <conditionalFormatting sqref="AV3:AX3">
    <cfRule type="cellIs" dxfId="172" priority="13" operator="equal">
      <formula>#REF!</formula>
    </cfRule>
    <cfRule type="cellIs" dxfId="171" priority="14" operator="equal">
      <formula>#REF!</formula>
    </cfRule>
    <cfRule type="cellIs" dxfId="170" priority="15" operator="equal">
      <formula>#REF!</formula>
    </cfRule>
    <cfRule type="cellIs" dxfId="169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2B4FC2-9D67-4C9B-A4A4-214BD39C7570}">
  <sheetPr>
    <tabColor theme="6" tint="-0.249977111117893"/>
    <pageSetUpPr fitToPage="1"/>
  </sheetPr>
  <dimension ref="A1:AC164"/>
  <sheetViews>
    <sheetView showGridLines="0" zoomScale="70" zoomScaleNormal="70" zoomScaleSheetLayoutView="90" workbookViewId="0">
      <selection activeCell="C25" sqref="C25:D31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200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8561996.9086174816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100729375.3954998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195771810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19577181</v>
      </c>
      <c r="C8" s="637" t="s">
        <v>321</v>
      </c>
      <c r="D8" s="545">
        <f>SUM(E130:E131,K130:K131,Q130:Q131,W130:W131)</f>
        <v>100729375.3954998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Program'!$H$39</f>
        <v>547619.04761904757</v>
      </c>
      <c r="C11" s="25" t="s">
        <v>103</v>
      </c>
      <c r="D11" s="354">
        <f ca="1">IF(B31&lt;0,B31,0)</f>
        <v>-201392071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10767449.550000001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4306979.82</v>
      </c>
      <c r="C13" s="25" t="s">
        <v>104</v>
      </c>
      <c r="D13" s="354">
        <f ca="1">B27+D11</f>
        <v>77484134.699031413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Assumptions!$H$14</f>
        <v>0.5</v>
      </c>
      <c r="D14" s="355">
        <f ca="1">C14*B$27</f>
        <v>139438102.84951571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8613959.6400000006</v>
      </c>
      <c r="C15" s="382">
        <f>1-C14</f>
        <v>0.5</v>
      </c>
      <c r="D15" s="356">
        <f ca="1">C15*B$27</f>
        <v>139438102.84951571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>
      <c r="A16" s="397" t="s">
        <v>47</v>
      </c>
      <c r="B16" s="396">
        <f t="shared" ref="B16:B23" si="0">SUM(C142,I142,O142,U142)</f>
        <v>6460469.7300000004</v>
      </c>
      <c r="C16" s="855" t="s">
        <v>105</v>
      </c>
      <c r="D16" s="856">
        <f ca="1">D14+D15</f>
        <v>278876205.69903141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10767449.550000001</v>
      </c>
      <c r="C17" s="864" t="s">
        <v>106</v>
      </c>
      <c r="D17" s="857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>SUM(C144,I144,O144,U144)</f>
        <v>1359846.5678392472</v>
      </c>
      <c r="C18" s="384"/>
      <c r="D18" s="858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3230234.8650000002</v>
      </c>
      <c r="C19" s="385" t="s">
        <v>108</v>
      </c>
      <c r="D19" s="859">
        <f>D6</f>
        <v>100729375.3954998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1600000</v>
      </c>
      <c r="C20" s="386">
        <v>0.02</v>
      </c>
      <c r="D20" s="860">
        <f>-C20*D19</f>
        <v>-2014587.507909996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1453610.8528755559</v>
      </c>
      <c r="C21" s="387" t="s">
        <v>109</v>
      </c>
      <c r="D21" s="861">
        <f>D19+D20</f>
        <v>98714787.887589797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0</v>
      </c>
      <c r="C22" s="385" t="s">
        <v>110</v>
      </c>
      <c r="D22" s="859">
        <f ca="1">-D14</f>
        <v>-139438102.84951571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0</v>
      </c>
      <c r="C23" s="388" t="s">
        <v>111</v>
      </c>
      <c r="D23" s="862">
        <f ca="1">-D15</f>
        <v>-139438102.84951571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>
      <c r="A24" s="397" t="s">
        <v>57</v>
      </c>
      <c r="B24" s="396">
        <f ca="1">SUM(C150,I150,O150,U150)</f>
        <v>2544634.4251231011</v>
      </c>
      <c r="C24" s="865" t="s">
        <v>112</v>
      </c>
      <c r="D24" s="863">
        <f ca="1">ROUND(D21+D22+D23,-2)</f>
        <v>-180161400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>
      <c r="A25" s="642" t="s">
        <v>58</v>
      </c>
      <c r="B25" s="396">
        <f ca="1">SUM(C151,I151,O151,U151)</f>
        <v>11874960.650574474</v>
      </c>
      <c r="C25" s="329"/>
      <c r="D25" s="329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4408571.6955988668</v>
      </c>
      <c r="C26" s="329"/>
      <c r="D26" s="349"/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SUM(B7:B25)</f>
        <v>278876205.69903141</v>
      </c>
      <c r="C27" s="216"/>
      <c r="D27" s="851"/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3.0701783564345227E-2</v>
      </c>
      <c r="C28" s="852"/>
      <c r="D28" s="853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-0.63880254630182076</v>
      </c>
      <c r="C29" s="852"/>
      <c r="D29" s="853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0.3</v>
      </c>
      <c r="B30" s="120">
        <f>D8/(1+A30)</f>
        <v>77484134.919615224</v>
      </c>
      <c r="C30" s="216"/>
      <c r="D30" s="353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0.3</v>
      </c>
      <c r="B31" s="120">
        <f ca="1">ROUND((D8/(1+A31))-B27,0)</f>
        <v>-201392071</v>
      </c>
      <c r="C31" s="216"/>
      <c r="D31" s="854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246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331467</v>
      </c>
      <c r="E34" s="230"/>
      <c r="G34" s="515" t="s">
        <v>259</v>
      </c>
      <c r="H34" s="516" t="s">
        <v>247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287959</v>
      </c>
      <c r="K34" s="230"/>
      <c r="L34" s="328"/>
      <c r="M34" s="515" t="s">
        <v>259</v>
      </c>
      <c r="N34" s="516"/>
      <c r="O34" s="319" t="s">
        <v>203</v>
      </c>
      <c r="P34" s="320">
        <f>IFERROR(INDEX('Building Configuration'!$B$2:$Z$45,MATCH(N$34,'Building Configuration'!$C$2:$C$45,0),MATCH("Total",'Building Configuration'!$B$2:$Z$2,0)),0)</f>
        <v>0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Multifamily-Market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203070.90999999997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Multifamily-Market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170400.15999999997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Multifamily-Affordable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87030.39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Multifamily-Affordable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73028.639999999999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-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0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-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YES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41365.699999999997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YES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44530.2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-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0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1</v>
      </c>
      <c r="C44" s="460">
        <v>0</v>
      </c>
      <c r="D44" s="322"/>
      <c r="E44" s="231"/>
      <c r="F44" s="223"/>
      <c r="G44" s="6" t="s">
        <v>315</v>
      </c>
      <c r="H44" s="459">
        <v>1</v>
      </c>
      <c r="I44" s="460">
        <v>0</v>
      </c>
      <c r="J44" s="322"/>
      <c r="K44" s="231"/>
      <c r="L44" s="212"/>
      <c r="M44" s="6" t="s">
        <v>315</v>
      </c>
      <c r="N44" s="459">
        <v>0</v>
      </c>
      <c r="O44" s="460">
        <v>0</v>
      </c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Multifamily-Market</v>
      </c>
      <c r="C46" s="510" t="s">
        <v>298</v>
      </c>
      <c r="D46" s="308">
        <f>D$35*E$46</f>
        <v>152303.1825</v>
      </c>
      <c r="E46" s="303">
        <f>Assumptions!$C$44</f>
        <v>0.75</v>
      </c>
      <c r="F46" s="296"/>
      <c r="G46" s="301" t="s">
        <v>293</v>
      </c>
      <c r="H46" s="302" t="str">
        <f>H$35</f>
        <v>Multifamily-Market</v>
      </c>
      <c r="I46" s="510" t="s">
        <v>298</v>
      </c>
      <c r="J46" s="308">
        <f>J$35*K$46</f>
        <v>127800.11999999998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182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>
        <v>152</v>
      </c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>
        <v>0</v>
      </c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54.6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946632.9600000002</v>
      </c>
      <c r="F49" s="296"/>
      <c r="G49" s="109" t="s">
        <v>72</v>
      </c>
      <c r="H49" s="255">
        <f>H$47*INDEX(Assumptions!$C$52:$C$55,MATCH(G49,Assumptions!$A$52:$A$55,0))</f>
        <v>45.6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790594.56000000017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81.900000000000006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1668097.0973333335</v>
      </c>
      <c r="F50" s="296"/>
      <c r="G50" s="106" t="s">
        <v>73</v>
      </c>
      <c r="H50" s="255">
        <f>H$47*INDEX(Assumptions!$C$52:$C$55,MATCH(G50,Assumptions!$A$52:$A$55,0))</f>
        <v>68.400000000000006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1393136.0373333334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36.4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1066240.8794074075</v>
      </c>
      <c r="F51" s="297"/>
      <c r="G51" s="109" t="s">
        <v>74</v>
      </c>
      <c r="H51" s="255">
        <f>H$47*INDEX(Assumptions!$C$52:$C$55,MATCH(G51,Assumptions!$A$52:$A$55,0))</f>
        <v>30.400000000000002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890486.88829629647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9.1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557246.72640000004</v>
      </c>
      <c r="F52" s="223"/>
      <c r="G52" s="109" t="s">
        <v>75</v>
      </c>
      <c r="H52" s="255">
        <f>H$47*INDEX(Assumptions!$C$52:$C$55,MATCH(G52,Assumptions!$A$52:$A$55,0))</f>
        <v>7.6000000000000005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465392.87040000007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182</v>
      </c>
      <c r="C53" s="9">
        <f>SUMPRODUCT(B49:B52,C49:C52)</f>
        <v>152207.61111111112</v>
      </c>
      <c r="D53" s="225"/>
      <c r="E53" s="226">
        <f>SUM(E49:E52)</f>
        <v>4238217.6631407412</v>
      </c>
      <c r="F53" s="297"/>
      <c r="G53" s="7" t="s">
        <v>76</v>
      </c>
      <c r="H53" s="8">
        <f>SUM(H49:H52)</f>
        <v>152</v>
      </c>
      <c r="I53" s="9">
        <f>SUMPRODUCT(H49:H52,I49:I52)</f>
        <v>127118.44444444447</v>
      </c>
      <c r="J53" s="225"/>
      <c r="K53" s="226">
        <f>SUM(K49:K52)</f>
        <v>3539610.3560296297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836.30555555555566</v>
      </c>
      <c r="D54" s="227">
        <f>IFERROR((E53/12)/C53,0)</f>
        <v>2.320414877307972</v>
      </c>
      <c r="E54" s="228"/>
      <c r="F54" s="317"/>
      <c r="G54" s="10" t="s">
        <v>77</v>
      </c>
      <c r="H54" s="224"/>
      <c r="I54" s="11">
        <f>IFERROR(I53/H53,0)</f>
        <v>836.30555555555566</v>
      </c>
      <c r="J54" s="227">
        <f>IFERROR((K53/12)/I53,0)</f>
        <v>2.3204148773079716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Multifamily-Affordable</v>
      </c>
      <c r="C62" s="510" t="s">
        <v>298</v>
      </c>
      <c r="D62" s="308">
        <f>D$37*E$62</f>
        <v>65272.792499999996</v>
      </c>
      <c r="E62" s="303">
        <f>Assumptions!$C$44</f>
        <v>0.75</v>
      </c>
      <c r="F62" s="211"/>
      <c r="G62" s="301" t="s">
        <v>312</v>
      </c>
      <c r="H62" s="302" t="str">
        <f>H$37</f>
        <v>Multifamily-Affordable</v>
      </c>
      <c r="I62" s="510" t="s">
        <v>298</v>
      </c>
      <c r="J62" s="308">
        <f>J$37*K$62</f>
        <v>54771.479999999996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78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65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23.4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266479.19999999995</v>
      </c>
      <c r="F65" s="211"/>
      <c r="G65" s="109" t="s">
        <v>72</v>
      </c>
      <c r="H65" s="255">
        <f>H$63*INDEX(Assumptions!$C$52:$C$55,MATCH(G65,Assumptions!$A$52:$A$55,0))</f>
        <v>19.5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222066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35.1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454474.80000000005</v>
      </c>
      <c r="F66" s="211"/>
      <c r="G66" s="106" t="s">
        <v>73</v>
      </c>
      <c r="H66" s="255">
        <f>H$63*INDEX(Assumptions!$C$52:$C$55,MATCH(G66,Assumptions!$A$52:$A$55,0))</f>
        <v>29.25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378729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15.600000000000001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243360</v>
      </c>
      <c r="F67" s="211"/>
      <c r="G67" s="109" t="s">
        <v>74</v>
      </c>
      <c r="H67" s="255">
        <f>H$63*INDEX(Assumptions!$C$52:$C$55,MATCH(G67,Assumptions!$A$52:$A$55,0))</f>
        <v>13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202799.99999999997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3.9000000000000004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79092</v>
      </c>
      <c r="F68" s="211"/>
      <c r="G68" s="109" t="s">
        <v>75</v>
      </c>
      <c r="H68" s="255">
        <f>H$63*INDEX(Assumptions!$C$52:$C$55,MATCH(G68,Assumptions!$A$52:$A$55,0))</f>
        <v>3.25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65910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78</v>
      </c>
      <c r="C69" s="9">
        <f>SUMPRODUCT(B65:B68,C65:C68)</f>
        <v>65231.833333333336</v>
      </c>
      <c r="D69" s="225"/>
      <c r="E69" s="226">
        <f>SUM(E65:E68)</f>
        <v>1043406</v>
      </c>
      <c r="F69" s="211"/>
      <c r="G69" s="7" t="s">
        <v>76</v>
      </c>
      <c r="H69" s="8">
        <f>SUM(H65:H68)</f>
        <v>65</v>
      </c>
      <c r="I69" s="9">
        <f>SUMPRODUCT(H65:H68,I65:I68)</f>
        <v>54359.861111111109</v>
      </c>
      <c r="J69" s="225"/>
      <c r="K69" s="226">
        <f>SUM(K65:K68)</f>
        <v>869505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836.30555555555554</v>
      </c>
      <c r="D70" s="227">
        <f>IFERROR((E69/12)/C69,0)</f>
        <v>1.3329458265519647</v>
      </c>
      <c r="E70" s="228"/>
      <c r="F70" s="211"/>
      <c r="G70" s="10" t="s">
        <v>77</v>
      </c>
      <c r="H70" s="224"/>
      <c r="I70" s="11">
        <f>IFERROR(I69/H69,0)</f>
        <v>836.30555555555554</v>
      </c>
      <c r="J70" s="227">
        <f>IFERROR((K69/12)/I69,0)</f>
        <v>1.3329458265519647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Multifamily-Affordable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Multifamily-Affordable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-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-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0</v>
      </c>
      <c r="C89" s="218">
        <f>IFERROR(B89*INDEX(Assumptions!$C$46:$C$47,MATCH(A89,Assumptions!$A$46:$A$47,0)),0)</f>
        <v>0</v>
      </c>
      <c r="D89" s="219">
        <f>IF(C89&gt;0,INDEX(Assumptions!$F$5:$F$6,MATCH(A89,Assumptions!$E$5:$E$6,0)),0)</f>
        <v>0</v>
      </c>
      <c r="E89" s="220">
        <f>C89*D89*12</f>
        <v>0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0</v>
      </c>
      <c r="C91" s="191">
        <f>SUM(C89:C90)</f>
        <v>0</v>
      </c>
      <c r="D91" s="188">
        <f>IF(B91=0,0,E91/B91)</f>
        <v>0</v>
      </c>
      <c r="E91" s="189">
        <f>SUM(E89:E90)</f>
        <v>0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0</v>
      </c>
      <c r="O91" s="191">
        <f>SUM(O89:O90)</f>
        <v>0</v>
      </c>
      <c r="P91" s="188">
        <f>IF(N91=0,0,Q91/N91)</f>
        <v>0</v>
      </c>
      <c r="Q91" s="189">
        <f>SUM(Q89:Q90)</f>
        <v>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41365.699999999997</v>
      </c>
      <c r="C103" s="295">
        <f>IF(B103=0,0,IFERROR((B103/Assumptions!$C$82)-1,0))</f>
        <v>254.34382716049382</v>
      </c>
      <c r="D103" s="334"/>
      <c r="E103" s="187"/>
      <c r="G103" s="341"/>
      <c r="H103" s="335">
        <f>J43</f>
        <v>44530.2</v>
      </c>
      <c r="I103" s="295">
        <f>IF(H103=0,0,IFERROR((H103/Assumptions!$C$82)-1,0))</f>
        <v>273.87777777777774</v>
      </c>
      <c r="J103" s="334"/>
      <c r="K103" s="187"/>
      <c r="M103" s="341"/>
      <c r="N103" s="335">
        <f>P43</f>
        <v>0</v>
      </c>
      <c r="O103" s="295">
        <f>IF(N103=0,0,IFERROR((N103/Assumptions!$C$82)-1,0))</f>
        <v>0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41365.699999999997</v>
      </c>
      <c r="C104" s="333">
        <f>IF(B104=0,0,IFERROR((B104/Assumptions!$C$82)-1,0))</f>
        <v>254.34382716049382</v>
      </c>
      <c r="D104" s="118">
        <f>Assumptions!$C85</f>
        <v>250</v>
      </c>
      <c r="E104" s="220">
        <f>IF(B$56&gt;0,0,IF(C104&lt;0,0,C104*D104*12))</f>
        <v>763031.48148148146</v>
      </c>
      <c r="G104" s="461" t="s">
        <v>79</v>
      </c>
      <c r="H104" s="336">
        <f>H$103*H44</f>
        <v>44530.2</v>
      </c>
      <c r="I104" s="333">
        <f>IF(H104=0,0,IFERROR((H104/Assumptions!$C$82)-1,0))</f>
        <v>273.87777777777774</v>
      </c>
      <c r="J104" s="118">
        <f>Assumptions!$C85</f>
        <v>250</v>
      </c>
      <c r="K104" s="220">
        <f>IF(H$56&gt;0,0,IF(I104&lt;0,0,I104*J104*12))</f>
        <v>821633.33333333326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Multifamily 3</v>
      </c>
      <c r="D107" s="256"/>
      <c r="E107" s="281"/>
      <c r="F107" s="13"/>
      <c r="G107" s="259" t="s">
        <v>81</v>
      </c>
      <c r="H107" s="260"/>
      <c r="I107" s="256" t="str">
        <f>H34</f>
        <v>Multifamily 4</v>
      </c>
      <c r="J107" s="256"/>
      <c r="K107" s="281"/>
      <c r="L107" s="13"/>
      <c r="M107" s="259" t="s">
        <v>81</v>
      </c>
      <c r="N107" s="260"/>
      <c r="O107" s="256">
        <f>N34</f>
        <v>0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5281623.6631407412</v>
      </c>
      <c r="F109" s="13"/>
      <c r="G109" s="112" t="s">
        <v>268</v>
      </c>
      <c r="H109" s="113"/>
      <c r="I109" s="114"/>
      <c r="J109" s="262"/>
      <c r="K109" s="14">
        <f>SUM(K53,K69,K85)</f>
        <v>4409115.3560296297</v>
      </c>
      <c r="L109" s="13"/>
      <c r="M109" s="112" t="s">
        <v>268</v>
      </c>
      <c r="N109" s="113"/>
      <c r="O109" s="114"/>
      <c r="P109" s="262"/>
      <c r="Q109" s="14">
        <f>SUM(Q53,Q69,Q85)</f>
        <v>0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0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0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5281623.6631407412</v>
      </c>
      <c r="F112" s="13"/>
      <c r="G112" s="284" t="s">
        <v>275</v>
      </c>
      <c r="H112" s="273"/>
      <c r="I112" s="273"/>
      <c r="J112" s="267"/>
      <c r="K112" s="285">
        <f>SUM(K109:K111)</f>
        <v>4409115.3560296297</v>
      </c>
      <c r="L112" s="13"/>
      <c r="M112" s="284" t="s">
        <v>275</v>
      </c>
      <c r="N112" s="273"/>
      <c r="O112" s="273"/>
      <c r="P112" s="267"/>
      <c r="Q112" s="285">
        <f>SUM(Q109:Q111)</f>
        <v>0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59"/>
      <c r="C115" s="116"/>
      <c r="D115" s="116"/>
      <c r="E115" s="289">
        <f>E104</f>
        <v>763031.48148148146</v>
      </c>
      <c r="F115" s="13"/>
      <c r="G115" s="288" t="s">
        <v>270</v>
      </c>
      <c r="H115" s="659"/>
      <c r="I115" s="116"/>
      <c r="J115" s="116"/>
      <c r="K115" s="289">
        <f>K104</f>
        <v>821633.33333333326</v>
      </c>
      <c r="L115" s="13"/>
      <c r="M115" s="288" t="s">
        <v>270</v>
      </c>
      <c r="N115" s="659"/>
      <c r="O115" s="116"/>
      <c r="P115" s="116"/>
      <c r="Q115" s="289">
        <f>Q104</f>
        <v>0</v>
      </c>
      <c r="R115" s="13"/>
      <c r="S115" s="288" t="s">
        <v>270</v>
      </c>
      <c r="T115" s="659"/>
      <c r="U115" s="116"/>
      <c r="V115" s="116"/>
      <c r="W115" s="289">
        <f>W104</f>
        <v>0</v>
      </c>
    </row>
    <row r="116" spans="1:25" ht="12.5">
      <c r="A116" s="288" t="s">
        <v>271</v>
      </c>
      <c r="B116" s="659"/>
      <c r="C116" s="116"/>
      <c r="D116" s="116"/>
      <c r="E116" s="289">
        <f>E105</f>
        <v>0</v>
      </c>
      <c r="F116" s="13"/>
      <c r="G116" s="288" t="s">
        <v>271</v>
      </c>
      <c r="H116" s="659"/>
      <c r="I116" s="116"/>
      <c r="J116" s="116"/>
      <c r="K116" s="289">
        <f>K105</f>
        <v>0</v>
      </c>
      <c r="L116" s="13"/>
      <c r="M116" s="288" t="s">
        <v>271</v>
      </c>
      <c r="N116" s="659"/>
      <c r="O116" s="116"/>
      <c r="P116" s="116"/>
      <c r="Q116" s="289">
        <f>Q105</f>
        <v>0</v>
      </c>
      <c r="R116" s="13"/>
      <c r="S116" s="288" t="s">
        <v>271</v>
      </c>
      <c r="T116" s="659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369713.65641985193</v>
      </c>
      <c r="F117" s="13"/>
      <c r="G117" s="288" t="s">
        <v>85</v>
      </c>
      <c r="H117" s="116"/>
      <c r="I117" s="116"/>
      <c r="J117" s="116"/>
      <c r="K117" s="289">
        <f>Assumptions!$H$17*K112</f>
        <v>308638.0749220741</v>
      </c>
      <c r="L117" s="13"/>
      <c r="M117" s="288" t="s">
        <v>85</v>
      </c>
      <c r="N117" s="116"/>
      <c r="O117" s="116"/>
      <c r="P117" s="116"/>
      <c r="Q117" s="289">
        <f>Assumptions!$H$17*Q112</f>
        <v>0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1132745.1379013334</v>
      </c>
      <c r="F118" s="13"/>
      <c r="G118" s="264" t="s">
        <v>86</v>
      </c>
      <c r="H118" s="249"/>
      <c r="I118" s="268"/>
      <c r="J118" s="280"/>
      <c r="K118" s="250">
        <f>SUM(K115:K117)</f>
        <v>1130271.4082554074</v>
      </c>
      <c r="L118" s="13"/>
      <c r="M118" s="264" t="s">
        <v>86</v>
      </c>
      <c r="N118" s="249"/>
      <c r="O118" s="268"/>
      <c r="P118" s="280"/>
      <c r="Q118" s="250">
        <f>SUM(Q115:Q117)</f>
        <v>0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-264081.18315703707</v>
      </c>
      <c r="F119" s="13"/>
      <c r="G119" s="70">
        <v>0.05</v>
      </c>
      <c r="H119" s="251"/>
      <c r="I119" s="269"/>
      <c r="J119" s="279"/>
      <c r="K119" s="258">
        <f>-G119*K112</f>
        <v>-220455.7678014815</v>
      </c>
      <c r="L119" s="13"/>
      <c r="M119" s="70">
        <v>0.05</v>
      </c>
      <c r="N119" s="251"/>
      <c r="O119" s="269"/>
      <c r="P119" s="279"/>
      <c r="Q119" s="258">
        <f>-M119*Q112</f>
        <v>0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6150287.6178850373</v>
      </c>
      <c r="F120" s="13"/>
      <c r="G120" s="117" t="s">
        <v>87</v>
      </c>
      <c r="H120" s="15"/>
      <c r="I120" s="270"/>
      <c r="J120" s="278"/>
      <c r="K120" s="271">
        <f>K112+K118+K119</f>
        <v>5318930.996483556</v>
      </c>
      <c r="L120" s="13"/>
      <c r="M120" s="117" t="s">
        <v>87</v>
      </c>
      <c r="N120" s="15"/>
      <c r="O120" s="270"/>
      <c r="P120" s="278"/>
      <c r="Q120" s="271">
        <f>Q112+Q118+Q119</f>
        <v>0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-1584487.0989422223</v>
      </c>
      <c r="F122" s="13"/>
      <c r="G122" s="290" t="s">
        <v>89</v>
      </c>
      <c r="H122" s="274"/>
      <c r="I122" s="17"/>
      <c r="J122" s="17"/>
      <c r="K122" s="291">
        <f>-0.3*K112</f>
        <v>-1322734.606808889</v>
      </c>
      <c r="L122" s="13"/>
      <c r="M122" s="290" t="s">
        <v>89</v>
      </c>
      <c r="N122" s="274"/>
      <c r="O122" s="17"/>
      <c r="P122" s="17"/>
      <c r="Q122" s="291">
        <f>-0.3*Q112</f>
        <v>0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4565800.5189428153</v>
      </c>
      <c r="F123" s="13"/>
      <c r="G123" s="292" t="s">
        <v>90</v>
      </c>
      <c r="H123" s="261"/>
      <c r="I123" s="261"/>
      <c r="J123" s="261"/>
      <c r="K123" s="293">
        <f>K120+K122</f>
        <v>3996196.3896746673</v>
      </c>
      <c r="L123" s="13"/>
      <c r="M123" s="292" t="s">
        <v>90</v>
      </c>
      <c r="N123" s="261"/>
      <c r="O123" s="261"/>
      <c r="P123" s="261"/>
      <c r="Q123" s="293">
        <f>Q120+Q122</f>
        <v>0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Multifamily 3</v>
      </c>
      <c r="D125" s="256"/>
      <c r="E125" s="281"/>
      <c r="F125" s="13"/>
      <c r="G125" s="259" t="s">
        <v>355</v>
      </c>
      <c r="H125" s="260"/>
      <c r="I125" s="256" t="str">
        <f>H34</f>
        <v>Multifamily 4</v>
      </c>
      <c r="J125" s="256"/>
      <c r="K125" s="281"/>
      <c r="L125" s="13"/>
      <c r="M125" s="259" t="s">
        <v>355</v>
      </c>
      <c r="N125" s="260"/>
      <c r="O125" s="256">
        <f>N34</f>
        <v>0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Assumptions!H6</f>
        <v>8.5000000000000006E-2</v>
      </c>
      <c r="D130" s="521" t="s">
        <v>356</v>
      </c>
      <c r="E130" s="346">
        <f>E123/C130</f>
        <v>53715300.222856648</v>
      </c>
      <c r="F130" s="13"/>
      <c r="G130" s="522" t="s">
        <v>317</v>
      </c>
      <c r="H130" s="523" t="s">
        <v>91</v>
      </c>
      <c r="I130" s="524">
        <f>Assumptions!H6</f>
        <v>8.5000000000000006E-2</v>
      </c>
      <c r="J130" s="521" t="s">
        <v>356</v>
      </c>
      <c r="K130" s="346">
        <f>K123/I130</f>
        <v>47014075.17264314</v>
      </c>
      <c r="L130" s="13"/>
      <c r="M130" s="522" t="s">
        <v>317</v>
      </c>
      <c r="N130" s="523" t="s">
        <v>91</v>
      </c>
      <c r="O130" s="524">
        <f>Assumptions!H7</f>
        <v>0.11</v>
      </c>
      <c r="P130" s="521" t="s">
        <v>356</v>
      </c>
      <c r="Q130" s="346">
        <f>Q123/O130</f>
        <v>0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Assumptions!$F$12</f>
        <v>330</v>
      </c>
      <c r="C133" s="395">
        <f>B133*D34</f>
        <v>109384110</v>
      </c>
      <c r="F133" s="13"/>
      <c r="G133" s="88" t="s">
        <v>94</v>
      </c>
      <c r="H133" s="531">
        <f>Assumptions!$F$13</f>
        <v>300</v>
      </c>
      <c r="I133" s="395">
        <f>H133*J34</f>
        <v>86387700</v>
      </c>
      <c r="L133" s="13"/>
      <c r="M133" s="88" t="s">
        <v>94</v>
      </c>
      <c r="N133" s="531">
        <f>Assumptions!$F$13</f>
        <v>300</v>
      </c>
      <c r="O133" s="395">
        <f>N133*P34</f>
        <v>0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10938411</v>
      </c>
      <c r="E134" s="211"/>
      <c r="G134" s="19" t="s">
        <v>34</v>
      </c>
      <c r="H134" s="624">
        <f>Assumptions!$F$22</f>
        <v>0.1</v>
      </c>
      <c r="I134" s="532">
        <f>H134*I133</f>
        <v>8638770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0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6016126.0500000007</v>
      </c>
      <c r="D138" s="603"/>
      <c r="G138" s="19" t="s">
        <v>36</v>
      </c>
      <c r="H138" s="626">
        <f>Assumptions!$F$23</f>
        <v>0.05</v>
      </c>
      <c r="I138" s="398">
        <f>H138*(I$133+I$134)</f>
        <v>4751323.5</v>
      </c>
      <c r="M138" s="19" t="s">
        <v>36</v>
      </c>
      <c r="N138" s="626">
        <f>Assumptions!$F$23</f>
        <v>0.05</v>
      </c>
      <c r="O138" s="398">
        <f>N138*(O$133+O$134)</f>
        <v>0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2406450.42</v>
      </c>
      <c r="G139" s="397" t="s">
        <v>41</v>
      </c>
      <c r="H139" s="626">
        <f>Assumptions!$F$25</f>
        <v>0.02</v>
      </c>
      <c r="I139" s="398">
        <f>H139*(I$133+I$134)</f>
        <v>1900529.4000000001</v>
      </c>
      <c r="M139" s="397" t="s">
        <v>41</v>
      </c>
      <c r="N139" s="626">
        <f>Assumptions!$F$25</f>
        <v>0.02</v>
      </c>
      <c r="O139" s="398">
        <f>N139*(O$133+O$134)</f>
        <v>0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4812900.84</v>
      </c>
      <c r="G141" s="397" t="s">
        <v>45</v>
      </c>
      <c r="H141" s="626">
        <f>Assumptions!$F$27</f>
        <v>0.04</v>
      </c>
      <c r="I141" s="398">
        <f>H141*(I$133+I$134)</f>
        <v>3801058.8000000003</v>
      </c>
      <c r="M141" s="397" t="s">
        <v>45</v>
      </c>
      <c r="N141" s="626">
        <f>Assumptions!$F$27</f>
        <v>0.04</v>
      </c>
      <c r="O141" s="398">
        <f>N141*(O$133+O$134)</f>
        <v>0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3609675.63</v>
      </c>
      <c r="G142" s="397" t="s">
        <v>47</v>
      </c>
      <c r="H142" s="626">
        <f>Assumptions!$F$28</f>
        <v>0.03</v>
      </c>
      <c r="I142" s="398">
        <f>H142*(I$133+I$134)</f>
        <v>2850794.1</v>
      </c>
      <c r="M142" s="397" t="s">
        <v>47</v>
      </c>
      <c r="N142" s="626">
        <f>Assumptions!$F$28</f>
        <v>0.03</v>
      </c>
      <c r="O142" s="398">
        <f>N142*(O$133+O$134)</f>
        <v>0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6016126.0500000007</v>
      </c>
      <c r="G143" s="397" t="s">
        <v>48</v>
      </c>
      <c r="H143" s="626">
        <f>Assumptions!$F$29</f>
        <v>0.05</v>
      </c>
      <c r="I143" s="398">
        <f>H143*(I$133+I$134)</f>
        <v>4751323.5</v>
      </c>
      <c r="M143" s="397" t="s">
        <v>48</v>
      </c>
      <c r="N143" s="626">
        <f>Assumptions!$F$29</f>
        <v>0.05</v>
      </c>
      <c r="O143" s="398">
        <f>N143*(O$133+O$134)</f>
        <v>0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725156.55300856475</v>
      </c>
      <c r="G144" s="397" t="s">
        <v>96</v>
      </c>
      <c r="H144" s="627">
        <f>Assumptions!$F$30*Assumptions!$F$31</f>
        <v>1.35E-2</v>
      </c>
      <c r="I144" s="398">
        <f>H144*K130</f>
        <v>634690.01483068243</v>
      </c>
      <c r="M144" s="397" t="s">
        <v>96</v>
      </c>
      <c r="N144" s="627">
        <f>Assumptions!$F$30*Assumptions!$F$31</f>
        <v>1.35E-2</v>
      </c>
      <c r="O144" s="398">
        <f>N144*Q130</f>
        <v>0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1804837.8149999999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1425397.05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0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792243.54947111127</v>
      </c>
      <c r="G147" s="397" t="s">
        <v>54</v>
      </c>
      <c r="H147" s="628">
        <v>6</v>
      </c>
      <c r="I147" s="398">
        <f>-H147*(K122/12)</f>
        <v>661367.30340444448</v>
      </c>
      <c r="M147" s="397" t="s">
        <v>54</v>
      </c>
      <c r="N147" s="628">
        <v>6</v>
      </c>
      <c r="O147" s="398">
        <f>-N147*(Q122/12)</f>
        <v>0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70</v>
      </c>
      <c r="C148" s="398">
        <f>B148*SUM(C91,C96)</f>
        <v>0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0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0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0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v>1420257.4033180978</v>
      </c>
      <c r="D150" s="635"/>
      <c r="G150" s="397" t="s">
        <v>57</v>
      </c>
      <c r="H150" s="631">
        <v>1.4999999999999999E-2</v>
      </c>
      <c r="I150" s="399">
        <v>1124377.0218050033</v>
      </c>
      <c r="J150" s="635"/>
      <c r="M150" s="397" t="s">
        <v>57</v>
      </c>
      <c r="N150" s="631">
        <v>1.4999999999999999E-2</v>
      </c>
      <c r="O150" s="399">
        <f ca="1">N150*N162</f>
        <v>0</v>
      </c>
      <c r="P150" s="635"/>
      <c r="S150" s="397" t="s">
        <v>57</v>
      </c>
      <c r="T150" s="631">
        <v>1.4999999999999999E-2</v>
      </c>
      <c r="U150" s="399">
        <f ca="1">T150*T162</f>
        <v>0</v>
      </c>
      <c r="V150" s="635"/>
    </row>
    <row r="151" spans="1:23" ht="13">
      <c r="A151" s="536" t="s">
        <v>58</v>
      </c>
      <c r="B151" s="632">
        <v>7.0000000000000007E-2</v>
      </c>
      <c r="C151" s="622">
        <v>6627867.8821511241</v>
      </c>
      <c r="D151" s="635"/>
      <c r="G151" s="536" t="s">
        <v>58</v>
      </c>
      <c r="H151" s="632">
        <v>7.0000000000000007E-2</v>
      </c>
      <c r="I151" s="622">
        <v>5247092.7684233496</v>
      </c>
      <c r="J151" s="635"/>
      <c r="M151" s="536" t="s">
        <v>58</v>
      </c>
      <c r="N151" s="632">
        <v>7.0000000000000007E-2</v>
      </c>
      <c r="O151" s="622">
        <f ca="1">N151*N162</f>
        <v>0</v>
      </c>
      <c r="P151" s="635"/>
      <c r="S151" s="536" t="s">
        <v>58</v>
      </c>
      <c r="T151" s="632">
        <v>7.0000000000000007E-2</v>
      </c>
      <c r="U151" s="622">
        <f ca="1">T151*T162</f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2452214.9535064232</v>
      </c>
      <c r="D152" s="634"/>
      <c r="G152" s="105" t="s">
        <v>97</v>
      </c>
      <c r="H152" s="633">
        <f>7%</f>
        <v>7.0000000000000007E-2</v>
      </c>
      <c r="I152" s="399">
        <f>H152*SUM(I138:I151)</f>
        <v>1956356.7420924436</v>
      </c>
      <c r="J152" s="223"/>
      <c r="M152" s="105" t="s">
        <v>97</v>
      </c>
      <c r="N152" s="633">
        <f>7%</f>
        <v>7.0000000000000007E-2</v>
      </c>
      <c r="O152" s="399">
        <f ca="1">N152*SUM(O138:O151)</f>
        <v>0</v>
      </c>
      <c r="S152" s="105" t="s">
        <v>97</v>
      </c>
      <c r="T152" s="633">
        <f>7%</f>
        <v>7.0000000000000007E-2</v>
      </c>
      <c r="U152" s="399">
        <f ca="1">T152*SUM(U138:U151)</f>
        <v>0</v>
      </c>
    </row>
    <row r="153" spans="1:23" ht="14" thickTop="1" thickBot="1">
      <c r="A153" s="538" t="s">
        <v>98</v>
      </c>
      <c r="B153" s="539"/>
      <c r="C153" s="540">
        <f>SUM(C133:C152)</f>
        <v>157806378.14645532</v>
      </c>
      <c r="G153" s="538" t="s">
        <v>98</v>
      </c>
      <c r="H153" s="539"/>
      <c r="I153" s="540">
        <f>SUM(I133:I152)</f>
        <v>124930780.20055592</v>
      </c>
      <c r="M153" s="538" t="s">
        <v>98</v>
      </c>
      <c r="N153" s="539"/>
      <c r="O153" s="540">
        <f ca="1">SUM(O133:O152)</f>
        <v>0</v>
      </c>
      <c r="S153" s="538" t="s">
        <v>98</v>
      </c>
      <c r="T153" s="539"/>
      <c r="U153" s="540">
        <f ca="1">SUM(U133:U152)</f>
        <v>0</v>
      </c>
    </row>
    <row r="154" spans="1:23" ht="13">
      <c r="A154" s="537" t="s">
        <v>99</v>
      </c>
      <c r="B154" s="401">
        <f>E123/C153</f>
        <v>2.893292763303543E-2</v>
      </c>
      <c r="C154" s="535"/>
      <c r="G154" s="537" t="s">
        <v>99</v>
      </c>
      <c r="H154" s="401">
        <f>K123/I153</f>
        <v>3.1987284344654122E-2</v>
      </c>
      <c r="I154" s="535"/>
      <c r="M154" s="537" t="s">
        <v>99</v>
      </c>
      <c r="N154" s="401" t="e">
        <f ca="1">Q123/O153</f>
        <v>#DIV/0!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>((E130+E131)/C153)-1</f>
        <v>-0.65961261608193622</v>
      </c>
      <c r="C155" s="535"/>
      <c r="G155" s="400" t="s">
        <v>100</v>
      </c>
      <c r="H155" s="401">
        <f>((K130+K131)/I153)-1</f>
        <v>-0.62367900770995155</v>
      </c>
      <c r="I155" s="535"/>
      <c r="M155" s="400" t="s">
        <v>100</v>
      </c>
      <c r="N155" s="401" t="e">
        <f ca="1">((Q130+Q131)/O153)-1</f>
        <v>#DIV/0!</v>
      </c>
      <c r="O155" s="535"/>
      <c r="S155" s="400" t="s">
        <v>100</v>
      </c>
      <c r="T155" s="401" t="e">
        <f ca="1">((W130+W131)/U153)-1</f>
        <v>#DIV/0!</v>
      </c>
      <c r="U155" s="535"/>
    </row>
    <row r="156" spans="1:23" ht="13.5" thickBot="1">
      <c r="A156" s="119">
        <v>0.3</v>
      </c>
      <c r="B156" s="120">
        <f>((E130+E131)/(1+A156))</f>
        <v>41319461.709889725</v>
      </c>
      <c r="C156" s="535"/>
      <c r="G156" s="119">
        <v>0.3</v>
      </c>
      <c r="H156" s="120">
        <f>((K130+K131)/(1+G156))</f>
        <v>36164673.209725492</v>
      </c>
      <c r="I156" s="535"/>
      <c r="M156" s="119">
        <v>0.3</v>
      </c>
      <c r="N156" s="120">
        <f>((Q130+Q131)/(1+M156))</f>
        <v>0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0.3</v>
      </c>
      <c r="B157" s="120">
        <f>ROUND(((E130+E131)/(1+A157))-C153,0)</f>
        <v>-116486916</v>
      </c>
      <c r="C157" s="535"/>
      <c r="G157" s="402">
        <v>0.3</v>
      </c>
      <c r="H157" s="120">
        <f>ROUND(((K130+K131)/(1+G157))-I153,0)</f>
        <v>-88766107</v>
      </c>
      <c r="I157" s="535"/>
      <c r="M157" s="402">
        <v>0.3</v>
      </c>
      <c r="N157" s="120">
        <f ca="1">ROUND(((Q130+Q131)/(1+M157))-O153,0)</f>
        <v>0</v>
      </c>
      <c r="O157" s="535"/>
      <c r="S157" s="402">
        <v>0.3</v>
      </c>
      <c r="T157" s="120">
        <f ca="1"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Multifamily 3</v>
      </c>
      <c r="G158" s="644" t="s">
        <v>101</v>
      </c>
      <c r="H158" s="645"/>
      <c r="I158" s="646" t="str">
        <f>H34</f>
        <v>Multifamily 4</v>
      </c>
      <c r="M158" s="660" t="s">
        <v>101</v>
      </c>
      <c r="N158" s="661"/>
      <c r="O158" s="121">
        <f>N34</f>
        <v>0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-116486916</v>
      </c>
      <c r="C160" s="648">
        <f>IFERROR(B160/#REF!,0)</f>
        <v>0</v>
      </c>
      <c r="G160" s="647" t="s">
        <v>103</v>
      </c>
      <c r="H160" s="91">
        <f>IF(H157&lt;0,H157,0)</f>
        <v>-88766107</v>
      </c>
      <c r="I160" s="648">
        <f>IFERROR(H160/#REF!,0)</f>
        <v>0</v>
      </c>
      <c r="M160" s="24" t="s">
        <v>103</v>
      </c>
      <c r="N160" s="91">
        <f ca="1">IF(N157&lt;0,N157,0)</f>
        <v>0</v>
      </c>
      <c r="O160" s="125">
        <f ca="1">IFERROR(N160/#REF!,0)</f>
        <v>0</v>
      </c>
      <c r="S160" s="647" t="s">
        <v>103</v>
      </c>
      <c r="T160" s="91">
        <f ca="1">IF(T157&lt;0,T157,0)</f>
        <v>0</v>
      </c>
      <c r="U160" s="648">
        <f ca="1">IFERROR(T160/#REF!,0)</f>
        <v>0</v>
      </c>
    </row>
    <row r="161" spans="1:23" ht="13">
      <c r="A161" s="647" t="s">
        <v>104</v>
      </c>
      <c r="B161" s="91">
        <f>C153+B160</f>
        <v>41319462.146455318</v>
      </c>
      <c r="C161" s="648">
        <f>IFERROR(B161/#REF!,0)</f>
        <v>0</v>
      </c>
      <c r="G161" s="647" t="s">
        <v>104</v>
      </c>
      <c r="H161" s="91">
        <f>I153+H160</f>
        <v>36164673.200555921</v>
      </c>
      <c r="I161" s="648">
        <f>IFERROR(H161/#REF!,0)</f>
        <v>0</v>
      </c>
      <c r="M161" s="25" t="s">
        <v>104</v>
      </c>
      <c r="N161" s="91">
        <f ca="1">O153+N160</f>
        <v>0</v>
      </c>
      <c r="O161" s="125">
        <f ca="1">IFERROR(N161/#REF!,0)</f>
        <v>0</v>
      </c>
      <c r="S161" s="647" t="s">
        <v>104</v>
      </c>
      <c r="T161" s="91">
        <f ca="1">U153+T160</f>
        <v>0</v>
      </c>
      <c r="U161" s="648">
        <f ca="1"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78903189.073227659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62465390.10027796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 ca="1">M162*O$153</f>
        <v>0</v>
      </c>
      <c r="O162" s="125">
        <f ca="1">IFERROR(N162/#REF!,0)</f>
        <v>0</v>
      </c>
      <c r="P162" s="21"/>
      <c r="Q162" s="347"/>
      <c r="R162" s="347"/>
      <c r="S162" s="126">
        <f>Assumptions!$H$14</f>
        <v>0.5</v>
      </c>
      <c r="T162" s="92">
        <f ca="1">S162*U$153</f>
        <v>0</v>
      </c>
      <c r="U162" s="648">
        <f ca="1"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78903189.073227659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62465390.10027796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 ca="1">M163*O$153</f>
        <v>0</v>
      </c>
      <c r="O163" s="241">
        <f ca="1">IFERROR(N163/#REF!,0)</f>
        <v>0</v>
      </c>
      <c r="P163" s="5"/>
      <c r="Q163" s="347"/>
      <c r="R163" s="347"/>
      <c r="S163" s="127">
        <f>1-S162</f>
        <v>0.5</v>
      </c>
      <c r="T163" s="240">
        <f ca="1">S163*U$153</f>
        <v>0</v>
      </c>
      <c r="U163" s="649">
        <f ca="1"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157806378.14645532</v>
      </c>
      <c r="C164" s="652">
        <f>ROUND((C163+C162),-3)</f>
        <v>0</v>
      </c>
      <c r="D164" s="23"/>
      <c r="G164" s="650" t="s">
        <v>105</v>
      </c>
      <c r="H164" s="651">
        <f>H162+H163</f>
        <v>124930780.20055592</v>
      </c>
      <c r="I164" s="652">
        <f>ROUND((I163+I162),-3)</f>
        <v>0</v>
      </c>
      <c r="J164" s="23"/>
      <c r="M164" s="54" t="s">
        <v>105</v>
      </c>
      <c r="N164" s="128">
        <f ca="1">N162+N163</f>
        <v>0</v>
      </c>
      <c r="O164" s="93">
        <f ca="1">ROUND((O163+O162),-3)</f>
        <v>0</v>
      </c>
      <c r="P164" s="23"/>
      <c r="S164" s="650" t="s">
        <v>105</v>
      </c>
      <c r="T164" s="651">
        <f ca="1">T162+T163</f>
        <v>0</v>
      </c>
      <c r="U164" s="652">
        <f ca="1"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224" priority="19">
      <formula>C53&gt;D46</formula>
    </cfRule>
  </conditionalFormatting>
  <conditionalFormatting sqref="C63">
    <cfRule type="expression" dxfId="223" priority="18">
      <formula>C69&gt;D62</formula>
    </cfRule>
  </conditionalFormatting>
  <conditionalFormatting sqref="C79">
    <cfRule type="expression" dxfId="222" priority="17">
      <formula>C85&gt;D78</formula>
    </cfRule>
  </conditionalFormatting>
  <conditionalFormatting sqref="I79">
    <cfRule type="expression" dxfId="221" priority="12">
      <formula>I85&gt;J78</formula>
    </cfRule>
  </conditionalFormatting>
  <conditionalFormatting sqref="C56">
    <cfRule type="expression" dxfId="220" priority="20">
      <formula>C60&gt;D55</formula>
    </cfRule>
  </conditionalFormatting>
  <conditionalFormatting sqref="I47">
    <cfRule type="expression" dxfId="219" priority="14">
      <formula>I53&gt;J46</formula>
    </cfRule>
  </conditionalFormatting>
  <conditionalFormatting sqref="I63">
    <cfRule type="expression" dxfId="218" priority="13">
      <formula>I69&gt;J62</formula>
    </cfRule>
  </conditionalFormatting>
  <conditionalFormatting sqref="I56">
    <cfRule type="expression" dxfId="217" priority="15">
      <formula>I60&gt;J55</formula>
    </cfRule>
  </conditionalFormatting>
  <conditionalFormatting sqref="C72">
    <cfRule type="expression" dxfId="216" priority="16">
      <formula>C76&gt;D71</formula>
    </cfRule>
  </conditionalFormatting>
  <conditionalFormatting sqref="I72">
    <cfRule type="expression" dxfId="215" priority="11">
      <formula>I76&gt;J71</formula>
    </cfRule>
  </conditionalFormatting>
  <conditionalFormatting sqref="O47">
    <cfRule type="expression" dxfId="214" priority="9">
      <formula>O53&gt;P46</formula>
    </cfRule>
  </conditionalFormatting>
  <conditionalFormatting sqref="O63">
    <cfRule type="expression" dxfId="213" priority="8">
      <formula>O69&gt;P62</formula>
    </cfRule>
  </conditionalFormatting>
  <conditionalFormatting sqref="O79">
    <cfRule type="expression" dxfId="212" priority="7">
      <formula>O85&gt;P78</formula>
    </cfRule>
  </conditionalFormatting>
  <conditionalFormatting sqref="O56">
    <cfRule type="expression" dxfId="211" priority="10">
      <formula>O60&gt;P55</formula>
    </cfRule>
  </conditionalFormatting>
  <conditionalFormatting sqref="O72">
    <cfRule type="expression" dxfId="210" priority="6">
      <formula>O76&gt;P71</formula>
    </cfRule>
  </conditionalFormatting>
  <conditionalFormatting sqref="U47">
    <cfRule type="expression" dxfId="209" priority="4">
      <formula>U53&gt;V46</formula>
    </cfRule>
  </conditionalFormatting>
  <conditionalFormatting sqref="U63">
    <cfRule type="expression" dxfId="208" priority="3">
      <formula>U69&gt;V62</formula>
    </cfRule>
  </conditionalFormatting>
  <conditionalFormatting sqref="U79">
    <cfRule type="expression" dxfId="207" priority="2">
      <formula>U85&gt;V78</formula>
    </cfRule>
  </conditionalFormatting>
  <conditionalFormatting sqref="U56">
    <cfRule type="expression" dxfId="206" priority="5">
      <formula>U60&gt;V55</formula>
    </cfRule>
  </conditionalFormatting>
  <conditionalFormatting sqref="U72">
    <cfRule type="expression" dxfId="205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574127-BFDB-4012-84BF-B2C33DB5799E}">
  <sheetPr>
    <tabColor rgb="FF0070C0"/>
  </sheetPr>
  <dimension ref="A1:BX608"/>
  <sheetViews>
    <sheetView view="pageBreakPreview" zoomScale="86" zoomScaleNormal="85" zoomScaleSheetLayoutView="86" zoomScalePageLayoutView="125" workbookViewId="0">
      <pane xSplit="1" ySplit="3" topLeftCell="B13" activePane="bottomRight" state="frozen"/>
      <selection activeCell="B12" sqref="B12"/>
      <selection pane="topRight" activeCell="B12" sqref="B12"/>
      <selection pane="bottomLeft" activeCell="B12" sqref="B12"/>
      <selection pane="bottomRight" activeCell="B31" sqref="B31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hidden="1" customWidth="1"/>
    <col min="4" max="4" width="19.54296875" style="5" hidden="1" customWidth="1"/>
    <col min="5" max="6" width="17.6328125" style="5" hidden="1" customWidth="1"/>
    <col min="7" max="7" width="17.6328125" style="55" hidden="1" customWidth="1"/>
    <col min="8" max="12" width="17.6328125" style="5" hidden="1" customWidth="1"/>
    <col min="13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200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1/1/28 to 3/31/29</v>
      </c>
      <c r="D2" s="518" t="str">
        <f>INDEX('Development Program'!$B$62:$H$71,MATCH($A$1,'Development Program'!$B$62:$B$71,0),MATCH(D1,'Development Program'!$B$62:$H$62,0))</f>
        <v>4/1/29 to 3/31/31</v>
      </c>
      <c r="E2" s="518" t="str">
        <f>INDEX('Development Program'!$B$62:$H$71,MATCH($A$1,'Development Program'!$B$62:$B$71,0),MATCH(E1,'Development Program'!$B$62:$H$62,0))</f>
        <v>4/1/31 to 9/30/31</v>
      </c>
      <c r="G2" s="5"/>
      <c r="M2" s="601" t="s">
        <v>421</v>
      </c>
      <c r="Q2" s="601" t="s">
        <v>121</v>
      </c>
      <c r="R2" s="601" t="s">
        <v>122</v>
      </c>
      <c r="W2" s="99"/>
      <c r="Y2" s="601" t="s">
        <v>123</v>
      </c>
      <c r="Z2" s="601" t="s">
        <v>124</v>
      </c>
      <c r="AA2" s="601" t="s">
        <v>125</v>
      </c>
      <c r="AB2" s="99"/>
      <c r="AC2" s="99"/>
      <c r="AD2" s="99"/>
      <c r="AE2" s="99"/>
      <c r="AF2" s="99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602">
        <v>46388</v>
      </c>
      <c r="J3" s="602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102">
        <f t="shared" si="0"/>
        <v>46873</v>
      </c>
      <c r="O3" s="602">
        <f t="shared" si="0"/>
        <v>46965</v>
      </c>
      <c r="P3" s="602">
        <f t="shared" si="0"/>
        <v>47057</v>
      </c>
      <c r="Q3" s="83">
        <f t="shared" si="0"/>
        <v>47149</v>
      </c>
      <c r="R3" s="102">
        <f t="shared" si="0"/>
        <v>47238</v>
      </c>
      <c r="S3" s="102">
        <f t="shared" si="0"/>
        <v>47330</v>
      </c>
      <c r="T3" s="102">
        <f t="shared" si="0"/>
        <v>47422</v>
      </c>
      <c r="U3" s="102">
        <f t="shared" si="0"/>
        <v>47514</v>
      </c>
      <c r="V3" s="102">
        <f t="shared" ref="V3" si="1">EOMONTH(U3,3)</f>
        <v>47603</v>
      </c>
      <c r="W3" s="102">
        <f t="shared" ref="W3" si="2">EOMONTH(V3,3)</f>
        <v>47695</v>
      </c>
      <c r="X3" s="102">
        <f t="shared" ref="X3" si="3">EOMONTH(W3,3)</f>
        <v>47787</v>
      </c>
      <c r="Y3" s="102">
        <f t="shared" ref="Y3" si="4">EOMONTH(X3,3)</f>
        <v>47879</v>
      </c>
      <c r="Z3" s="102">
        <f t="shared" ref="Z3" si="5">EOMONTH(Y3,3)</f>
        <v>47968</v>
      </c>
      <c r="AA3" s="102">
        <f t="shared" si="0"/>
        <v>48060</v>
      </c>
      <c r="AB3" s="102">
        <f t="shared" si="0"/>
        <v>48152</v>
      </c>
      <c r="AC3" s="102">
        <f t="shared" si="0"/>
        <v>48244</v>
      </c>
      <c r="AD3" s="102">
        <f t="shared" si="0"/>
        <v>48334</v>
      </c>
      <c r="AE3" s="102">
        <f t="shared" si="0"/>
        <v>48426</v>
      </c>
      <c r="AF3" s="102">
        <f t="shared" si="0"/>
        <v>48518</v>
      </c>
      <c r="AG3" s="102">
        <f t="shared" si="0"/>
        <v>48610</v>
      </c>
      <c r="AH3" s="102">
        <f t="shared" si="0"/>
        <v>48699</v>
      </c>
      <c r="AI3" s="102">
        <f t="shared" si="0"/>
        <v>48791</v>
      </c>
      <c r="AJ3" s="102">
        <f t="shared" si="0"/>
        <v>48883</v>
      </c>
      <c r="AK3" s="102">
        <f t="shared" si="0"/>
        <v>48975</v>
      </c>
      <c r="AL3" s="102">
        <f>EOMONTH(AK3,3)</f>
        <v>49064</v>
      </c>
      <c r="AM3" s="102">
        <f t="shared" ref="AM3:AU3" si="6">EOMONTH(AL3,3)</f>
        <v>49156</v>
      </c>
      <c r="AN3" s="102">
        <f t="shared" si="6"/>
        <v>49248</v>
      </c>
      <c r="AO3" s="102">
        <f t="shared" si="6"/>
        <v>49340</v>
      </c>
      <c r="AP3" s="102">
        <f t="shared" si="6"/>
        <v>49429</v>
      </c>
      <c r="AQ3" s="102">
        <f t="shared" si="6"/>
        <v>49521</v>
      </c>
      <c r="AR3" s="102">
        <f t="shared" si="6"/>
        <v>49613</v>
      </c>
      <c r="AS3" s="102">
        <f>EOMONTH(AR3,3)</f>
        <v>49705</v>
      </c>
      <c r="AT3" s="102">
        <f t="shared" si="6"/>
        <v>49795</v>
      </c>
      <c r="AU3" s="102">
        <f t="shared" si="6"/>
        <v>49887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/>
      <c r="D4" s="97"/>
      <c r="E4" s="97"/>
      <c r="F4" s="96"/>
      <c r="G4" s="96"/>
      <c r="H4" s="96"/>
      <c r="I4" s="96"/>
      <c r="J4" s="96"/>
      <c r="K4" s="96"/>
      <c r="L4" s="96"/>
      <c r="M4" s="96"/>
      <c r="N4" s="96"/>
      <c r="O4" s="96"/>
      <c r="P4" s="96"/>
      <c r="Q4" s="96"/>
      <c r="R4" s="96">
        <v>0.05</v>
      </c>
      <c r="S4" s="96">
        <v>0.1</v>
      </c>
      <c r="T4" s="96">
        <v>0.15</v>
      </c>
      <c r="U4" s="96">
        <v>0.2</v>
      </c>
      <c r="V4" s="96">
        <v>0.2</v>
      </c>
      <c r="W4" s="97">
        <v>0.15</v>
      </c>
      <c r="X4" s="97">
        <v>0.1</v>
      </c>
      <c r="Y4" s="97">
        <v>0.05</v>
      </c>
      <c r="Z4" s="97"/>
      <c r="AA4" s="97"/>
      <c r="AB4" s="97"/>
      <c r="AC4" s="97"/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'F Financial'!$A7</f>
        <v>Hard Costs for Construction</v>
      </c>
      <c r="B5" s="140">
        <f>'F Financial'!$B7</f>
        <v>195771810</v>
      </c>
      <c r="C5" s="141"/>
      <c r="D5" s="141"/>
      <c r="E5" s="141"/>
      <c r="F5" s="141"/>
      <c r="G5" s="141"/>
      <c r="H5" s="141"/>
      <c r="I5" s="141"/>
      <c r="J5" s="141"/>
      <c r="K5" s="141"/>
      <c r="L5" s="141"/>
      <c r="M5" s="141">
        <f>$B$5*M4</f>
        <v>0</v>
      </c>
      <c r="N5" s="141">
        <f t="shared" ref="N5:Z5" si="7">$B$5*N4</f>
        <v>0</v>
      </c>
      <c r="O5" s="141">
        <f t="shared" si="7"/>
        <v>0</v>
      </c>
      <c r="P5" s="141">
        <f t="shared" si="7"/>
        <v>0</v>
      </c>
      <c r="Q5" s="141">
        <f t="shared" si="7"/>
        <v>0</v>
      </c>
      <c r="R5" s="141">
        <f t="shared" si="7"/>
        <v>9788590.5</v>
      </c>
      <c r="S5" s="141">
        <f t="shared" si="7"/>
        <v>19577181</v>
      </c>
      <c r="T5" s="141">
        <f t="shared" si="7"/>
        <v>29365771.5</v>
      </c>
      <c r="U5" s="141">
        <f t="shared" si="7"/>
        <v>39154362</v>
      </c>
      <c r="V5" s="141">
        <f t="shared" si="7"/>
        <v>39154362</v>
      </c>
      <c r="W5" s="141">
        <f t="shared" si="7"/>
        <v>29365771.5</v>
      </c>
      <c r="X5" s="141">
        <f t="shared" si="7"/>
        <v>19577181</v>
      </c>
      <c r="Y5" s="141">
        <f t="shared" si="7"/>
        <v>9788590.5</v>
      </c>
      <c r="Z5" s="141">
        <f t="shared" si="7"/>
        <v>0</v>
      </c>
      <c r="AA5" s="142"/>
      <c r="AB5" s="142"/>
      <c r="AC5" s="142"/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195771810</v>
      </c>
      <c r="AW5" s="142">
        <f t="shared" ref="AW5:AW24" si="8">B5</f>
        <v>195771810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'F Financial'!$A8</f>
        <v>Hard Cost Contingency</v>
      </c>
      <c r="B6" s="140">
        <f>'F Financial'!$B8</f>
        <v>19577181</v>
      </c>
      <c r="C6" s="141"/>
      <c r="D6" s="141"/>
      <c r="E6" s="141"/>
      <c r="F6" s="141"/>
      <c r="G6" s="141"/>
      <c r="H6" s="141"/>
      <c r="I6" s="141"/>
      <c r="J6" s="141"/>
      <c r="K6" s="141"/>
      <c r="L6" s="141"/>
      <c r="M6" s="141">
        <f>$B$6*M4</f>
        <v>0</v>
      </c>
      <c r="N6" s="141">
        <f t="shared" ref="N6:Z6" si="9">$B$6*N4</f>
        <v>0</v>
      </c>
      <c r="O6" s="141">
        <f t="shared" si="9"/>
        <v>0</v>
      </c>
      <c r="P6" s="141">
        <f t="shared" si="9"/>
        <v>0</v>
      </c>
      <c r="Q6" s="141">
        <f t="shared" si="9"/>
        <v>0</v>
      </c>
      <c r="R6" s="141">
        <f t="shared" si="9"/>
        <v>978859.05</v>
      </c>
      <c r="S6" s="141">
        <f t="shared" si="9"/>
        <v>1957718.1</v>
      </c>
      <c r="T6" s="141">
        <f t="shared" si="9"/>
        <v>2936577.15</v>
      </c>
      <c r="U6" s="141">
        <f t="shared" si="9"/>
        <v>3915436.2</v>
      </c>
      <c r="V6" s="141">
        <f t="shared" si="9"/>
        <v>3915436.2</v>
      </c>
      <c r="W6" s="141">
        <f t="shared" si="9"/>
        <v>2936577.15</v>
      </c>
      <c r="X6" s="141">
        <f t="shared" si="9"/>
        <v>1957718.1</v>
      </c>
      <c r="Y6" s="141">
        <f t="shared" si="9"/>
        <v>978859.05</v>
      </c>
      <c r="Z6" s="141">
        <f t="shared" si="9"/>
        <v>0</v>
      </c>
      <c r="AA6" s="142"/>
      <c r="AB6" s="142"/>
      <c r="AC6" s="142"/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19577181</v>
      </c>
      <c r="AW6" s="142">
        <f t="shared" si="8"/>
        <v>19577181</v>
      </c>
      <c r="AX6" s="142">
        <f t="shared" ref="AX6:AX24" si="10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'F Financial'!$A9</f>
        <v>Demolition</v>
      </c>
      <c r="B7" s="140">
        <f>'F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1"/>
      <c r="X7" s="141"/>
      <c r="Y7" s="141"/>
      <c r="Z7" s="141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8"/>
        <v>0</v>
      </c>
      <c r="AX7" s="142">
        <f t="shared" si="10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'F Financial'!$A10</f>
        <v>Land Cost</v>
      </c>
      <c r="B8" s="140">
        <f>'F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1"/>
      <c r="N8" s="141"/>
      <c r="O8" s="141"/>
      <c r="P8" s="141"/>
      <c r="Q8" s="141"/>
      <c r="R8" s="141"/>
      <c r="S8" s="141"/>
      <c r="T8" s="141"/>
      <c r="U8" s="141"/>
      <c r="V8" s="141"/>
      <c r="W8" s="141"/>
      <c r="X8" s="141"/>
      <c r="Y8" s="141"/>
      <c r="Z8" s="141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8"/>
        <v>0</v>
      </c>
      <c r="AX8" s="142">
        <f t="shared" si="10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'F Financial'!$A11</f>
        <v>Infrastructure Cost less Subsidy</v>
      </c>
      <c r="B9" s="140">
        <f>'F Financial'!$B11</f>
        <v>547619.04761904757</v>
      </c>
      <c r="C9" s="146"/>
      <c r="D9" s="143"/>
      <c r="E9" s="141"/>
      <c r="F9" s="141"/>
      <c r="G9" s="141"/>
      <c r="H9" s="144"/>
      <c r="I9" s="141"/>
      <c r="J9" s="141"/>
      <c r="K9" s="143"/>
      <c r="L9" s="141"/>
      <c r="M9" s="141"/>
      <c r="N9" s="141"/>
      <c r="O9" s="141"/>
      <c r="P9" s="141"/>
      <c r="Q9" s="141"/>
      <c r="R9" s="141"/>
      <c r="S9" s="141"/>
      <c r="T9" s="141"/>
      <c r="U9" s="141"/>
      <c r="V9" s="141"/>
      <c r="X9" s="141">
        <f>$B$9/2</f>
        <v>273809.52380952379</v>
      </c>
      <c r="Y9" s="141">
        <f>$B$9/2</f>
        <v>273809.52380952379</v>
      </c>
      <c r="Z9" s="141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11">SUM(C9:AU9)</f>
        <v>547619.04761904757</v>
      </c>
      <c r="AW9" s="142">
        <f t="shared" si="8"/>
        <v>547619.04761904757</v>
      </c>
      <c r="AX9" s="142">
        <f t="shared" si="10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'F Financial'!$A12</f>
        <v>Municipal Fees and Allowances</v>
      </c>
      <c r="B10" s="140">
        <f>'F Financial'!$B12</f>
        <v>10767449.550000001</v>
      </c>
      <c r="C10" s="148"/>
      <c r="D10" s="147"/>
      <c r="E10" s="149"/>
      <c r="F10" s="149"/>
      <c r="G10" s="149"/>
      <c r="H10" s="149"/>
      <c r="I10" s="149"/>
      <c r="J10" s="141"/>
      <c r="K10" s="147"/>
      <c r="L10" s="147"/>
      <c r="M10" s="141"/>
      <c r="N10" s="141"/>
      <c r="O10" s="141"/>
      <c r="P10" s="141"/>
      <c r="Q10" s="141"/>
      <c r="R10" s="141">
        <f>$B$10</f>
        <v>10767449.550000001</v>
      </c>
      <c r="S10" s="141"/>
      <c r="T10" s="141"/>
      <c r="U10" s="141"/>
      <c r="V10" s="141"/>
      <c r="W10" s="141"/>
      <c r="X10" s="141"/>
      <c r="Y10" s="141"/>
      <c r="Z10" s="141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11"/>
        <v>10767449.550000001</v>
      </c>
      <c r="AW10" s="142">
        <f t="shared" si="8"/>
        <v>10767449.550000001</v>
      </c>
      <c r="AX10" s="142">
        <f t="shared" si="10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'F Financial'!$A13</f>
        <v>Legal</v>
      </c>
      <c r="B11" s="140">
        <f>'F Financial'!$B13</f>
        <v>4306979.82</v>
      </c>
      <c r="C11" s="148"/>
      <c r="D11" s="148"/>
      <c r="E11" s="141"/>
      <c r="F11" s="141"/>
      <c r="G11" s="141"/>
      <c r="H11" s="141"/>
      <c r="I11" s="141"/>
      <c r="J11" s="141"/>
      <c r="K11" s="147"/>
      <c r="L11" s="147"/>
      <c r="M11" s="141">
        <f>$B$11/5</f>
        <v>861395.96400000004</v>
      </c>
      <c r="N11" s="141">
        <f t="shared" ref="N11:Q11" si="12">$B$11/5</f>
        <v>861395.96400000004</v>
      </c>
      <c r="O11" s="141">
        <f t="shared" si="12"/>
        <v>861395.96400000004</v>
      </c>
      <c r="P11" s="141">
        <f t="shared" si="12"/>
        <v>861395.96400000004</v>
      </c>
      <c r="Q11" s="141">
        <f t="shared" si="12"/>
        <v>861395.96400000004</v>
      </c>
      <c r="R11" s="141"/>
      <c r="S11" s="141"/>
      <c r="T11" s="141"/>
      <c r="U11" s="141"/>
      <c r="V11" s="141"/>
      <c r="W11" s="141"/>
      <c r="X11" s="141"/>
      <c r="Y11" s="141"/>
      <c r="Z11" s="141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11"/>
        <v>4306979.82</v>
      </c>
      <c r="AW11" s="142">
        <f t="shared" si="8"/>
        <v>4306979.82</v>
      </c>
      <c r="AX11" s="142">
        <f t="shared" si="10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'F Financial'!$A14</f>
        <v>Land Closing Costs/commissions</v>
      </c>
      <c r="B12" s="140">
        <f>'F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1"/>
      <c r="X12" s="141"/>
      <c r="Y12" s="141"/>
      <c r="Z12" s="141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11"/>
        <v>0</v>
      </c>
      <c r="AW12" s="142">
        <f t="shared" si="8"/>
        <v>0</v>
      </c>
      <c r="AX12" s="142">
        <f t="shared" si="10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'F Financial'!$A15</f>
        <v xml:space="preserve">Design </v>
      </c>
      <c r="B13" s="140">
        <f>'F Financial'!$B15</f>
        <v>8613959.6400000006</v>
      </c>
      <c r="C13" s="141"/>
      <c r="D13" s="141"/>
      <c r="E13" s="141"/>
      <c r="F13" s="141"/>
      <c r="G13" s="141"/>
      <c r="H13" s="141"/>
      <c r="I13" s="141"/>
      <c r="J13" s="141"/>
      <c r="K13" s="141"/>
      <c r="L13" s="141"/>
      <c r="M13" s="141"/>
      <c r="N13" s="141"/>
      <c r="O13" s="141"/>
      <c r="P13" s="141"/>
      <c r="Q13" s="141"/>
      <c r="R13" s="141">
        <f>$B$13/8</f>
        <v>1076744.9550000001</v>
      </c>
      <c r="S13" s="141">
        <f t="shared" ref="S13:Y13" si="13">$B$13/8</f>
        <v>1076744.9550000001</v>
      </c>
      <c r="T13" s="141">
        <f t="shared" si="13"/>
        <v>1076744.9550000001</v>
      </c>
      <c r="U13" s="141">
        <f t="shared" si="13"/>
        <v>1076744.9550000001</v>
      </c>
      <c r="V13" s="141">
        <f t="shared" si="13"/>
        <v>1076744.9550000001</v>
      </c>
      <c r="W13" s="141">
        <f t="shared" si="13"/>
        <v>1076744.9550000001</v>
      </c>
      <c r="X13" s="141">
        <f t="shared" si="13"/>
        <v>1076744.9550000001</v>
      </c>
      <c r="Y13" s="141">
        <f t="shared" si="13"/>
        <v>1076744.9550000001</v>
      </c>
      <c r="Z13" s="141"/>
      <c r="AA13" s="142"/>
      <c r="AB13" s="142"/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11"/>
        <v>8613959.6400000006</v>
      </c>
      <c r="AW13" s="142">
        <f t="shared" si="8"/>
        <v>8613959.6400000006</v>
      </c>
      <c r="AX13" s="142">
        <f t="shared" si="10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'F Financial'!$A16</f>
        <v>Developer Fee</v>
      </c>
      <c r="B14" s="140">
        <f>'F Financial'!$B16</f>
        <v>6460469.7300000004</v>
      </c>
      <c r="C14" s="141"/>
      <c r="D14" s="141"/>
      <c r="E14" s="141"/>
      <c r="F14" s="141"/>
      <c r="G14" s="141"/>
      <c r="H14" s="141"/>
      <c r="I14" s="141"/>
      <c r="J14" s="141"/>
      <c r="K14" s="141"/>
      <c r="L14" s="141"/>
      <c r="M14" s="141"/>
      <c r="N14" s="141"/>
      <c r="O14" s="141"/>
      <c r="P14" s="141"/>
      <c r="Q14" s="141"/>
      <c r="R14" s="141">
        <f>$B14/8</f>
        <v>807558.71625000006</v>
      </c>
      <c r="S14" s="141">
        <f t="shared" ref="S14:Y16" si="14">$B14/8</f>
        <v>807558.71625000006</v>
      </c>
      <c r="T14" s="141">
        <f t="shared" si="14"/>
        <v>807558.71625000006</v>
      </c>
      <c r="U14" s="141">
        <f t="shared" si="14"/>
        <v>807558.71625000006</v>
      </c>
      <c r="V14" s="141">
        <f t="shared" si="14"/>
        <v>807558.71625000006</v>
      </c>
      <c r="W14" s="141">
        <f t="shared" si="14"/>
        <v>807558.71625000006</v>
      </c>
      <c r="X14" s="141">
        <f t="shared" si="14"/>
        <v>807558.71625000006</v>
      </c>
      <c r="Y14" s="141">
        <f t="shared" si="14"/>
        <v>807558.71625000006</v>
      </c>
      <c r="Z14" s="141"/>
      <c r="AA14" s="142"/>
      <c r="AB14" s="142"/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11"/>
        <v>6460469.7300000004</v>
      </c>
      <c r="AW14" s="142">
        <f t="shared" si="8"/>
        <v>6460469.7300000004</v>
      </c>
      <c r="AX14" s="142">
        <f t="shared" si="10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'F Financial'!$A17</f>
        <v>Construction Management Fee</v>
      </c>
      <c r="B15" s="140">
        <f>'F Financial'!$B17</f>
        <v>10767449.550000001</v>
      </c>
      <c r="C15" s="141"/>
      <c r="D15" s="141"/>
      <c r="E15" s="141"/>
      <c r="F15" s="141"/>
      <c r="G15" s="141"/>
      <c r="H15" s="141"/>
      <c r="I15" s="141"/>
      <c r="J15" s="141"/>
      <c r="K15" s="141"/>
      <c r="L15" s="141"/>
      <c r="M15" s="141"/>
      <c r="N15" s="141"/>
      <c r="O15" s="141"/>
      <c r="P15" s="141"/>
      <c r="Q15" s="141"/>
      <c r="R15" s="141">
        <f t="shared" ref="R15:R16" si="15">$B15/8</f>
        <v>1345931.1937500001</v>
      </c>
      <c r="S15" s="141">
        <f t="shared" si="14"/>
        <v>1345931.1937500001</v>
      </c>
      <c r="T15" s="141">
        <f t="shared" si="14"/>
        <v>1345931.1937500001</v>
      </c>
      <c r="U15" s="141">
        <f t="shared" si="14"/>
        <v>1345931.1937500001</v>
      </c>
      <c r="V15" s="141">
        <f t="shared" si="14"/>
        <v>1345931.1937500001</v>
      </c>
      <c r="W15" s="141">
        <f t="shared" si="14"/>
        <v>1345931.1937500001</v>
      </c>
      <c r="X15" s="141">
        <f t="shared" si="14"/>
        <v>1345931.1937500001</v>
      </c>
      <c r="Y15" s="141">
        <f t="shared" si="14"/>
        <v>1345931.1937500001</v>
      </c>
      <c r="Z15" s="141"/>
      <c r="AA15" s="142"/>
      <c r="AB15" s="142"/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11"/>
        <v>10767449.549999999</v>
      </c>
      <c r="AW15" s="142">
        <f t="shared" si="8"/>
        <v>10767449.550000001</v>
      </c>
      <c r="AX15" s="142">
        <f t="shared" si="10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'F Financial'!$A18</f>
        <v>Taxes</v>
      </c>
      <c r="B16" s="140">
        <f>'F Financial'!$B18</f>
        <v>1359846.5678392472</v>
      </c>
      <c r="C16" s="145"/>
      <c r="D16" s="141"/>
      <c r="E16" s="141"/>
      <c r="F16" s="141"/>
      <c r="G16" s="144"/>
      <c r="H16" s="141"/>
      <c r="I16" s="141"/>
      <c r="J16" s="141"/>
      <c r="K16" s="141"/>
      <c r="L16" s="141"/>
      <c r="M16" s="141"/>
      <c r="N16" s="141"/>
      <c r="O16" s="141"/>
      <c r="P16" s="141"/>
      <c r="Q16" s="141"/>
      <c r="R16" s="141">
        <f t="shared" si="15"/>
        <v>169980.8209799059</v>
      </c>
      <c r="S16" s="141">
        <f t="shared" si="14"/>
        <v>169980.8209799059</v>
      </c>
      <c r="T16" s="141">
        <f t="shared" si="14"/>
        <v>169980.8209799059</v>
      </c>
      <c r="U16" s="141">
        <f t="shared" si="14"/>
        <v>169980.8209799059</v>
      </c>
      <c r="V16" s="141">
        <f t="shared" si="14"/>
        <v>169980.8209799059</v>
      </c>
      <c r="W16" s="141">
        <f t="shared" si="14"/>
        <v>169980.8209799059</v>
      </c>
      <c r="X16" s="141">
        <f t="shared" si="14"/>
        <v>169980.8209799059</v>
      </c>
      <c r="Y16" s="141">
        <f t="shared" si="14"/>
        <v>169980.8209799059</v>
      </c>
      <c r="Z16" s="141"/>
      <c r="AA16" s="142"/>
      <c r="AB16" s="142"/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11"/>
        <v>1359846.5678392472</v>
      </c>
      <c r="AW16" s="142">
        <f t="shared" si="8"/>
        <v>1359846.5678392472</v>
      </c>
      <c r="AX16" s="142">
        <f t="shared" si="10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'F Financial'!$A19</f>
        <v>Insurance</v>
      </c>
      <c r="B17" s="140">
        <f>'F Financial'!$B19</f>
        <v>3230234.8650000002</v>
      </c>
      <c r="C17" s="145"/>
      <c r="D17" s="144"/>
      <c r="E17" s="144"/>
      <c r="F17" s="141"/>
      <c r="G17" s="141"/>
      <c r="H17" s="141"/>
      <c r="I17" s="141"/>
      <c r="J17" s="141"/>
      <c r="K17" s="141"/>
      <c r="L17" s="145"/>
      <c r="M17" s="141"/>
      <c r="N17" s="141"/>
      <c r="O17" s="141"/>
      <c r="P17" s="141"/>
      <c r="Q17" s="141"/>
      <c r="R17" s="141">
        <f>B17</f>
        <v>3230234.8650000002</v>
      </c>
      <c r="S17" s="141"/>
      <c r="T17" s="141"/>
      <c r="U17" s="141"/>
      <c r="V17" s="141"/>
      <c r="W17" s="141"/>
      <c r="X17" s="141"/>
      <c r="Y17" s="141"/>
      <c r="Z17" s="141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11"/>
        <v>3230234.8650000002</v>
      </c>
      <c r="AW17" s="142">
        <f t="shared" si="8"/>
        <v>3230234.8650000002</v>
      </c>
      <c r="AX17" s="142">
        <f t="shared" si="10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'F Financial'!$A20</f>
        <v>Marketing, FFE and Preleasing</v>
      </c>
      <c r="B18" s="140">
        <f>'F Financial'!$B20</f>
        <v>1600000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/>
      <c r="O18" s="141"/>
      <c r="P18" s="141"/>
      <c r="Q18" s="141"/>
      <c r="R18" s="141"/>
      <c r="S18" s="141"/>
      <c r="T18" s="141"/>
      <c r="U18" s="141"/>
      <c r="V18" s="141"/>
      <c r="W18" s="141"/>
      <c r="X18" s="141"/>
      <c r="Z18" s="141">
        <f>$B$18/2</f>
        <v>800000</v>
      </c>
      <c r="AA18" s="141">
        <f>$B$18/2</f>
        <v>800000</v>
      </c>
      <c r="AB18" s="142"/>
      <c r="AC18" s="142"/>
      <c r="AD18" s="142"/>
      <c r="AE18" s="142"/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11"/>
        <v>1600000</v>
      </c>
      <c r="AW18" s="142">
        <f t="shared" si="8"/>
        <v>1600000</v>
      </c>
      <c r="AX18" s="142">
        <f t="shared" si="10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'F Financial'!$A21</f>
        <v>Operating Deficit</v>
      </c>
      <c r="B19" s="140">
        <f>'F Financial'!$B21</f>
        <v>1453610.8528755559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141"/>
      <c r="O19" s="141"/>
      <c r="P19" s="141"/>
      <c r="Q19" s="141"/>
      <c r="R19" s="141"/>
      <c r="S19" s="141"/>
      <c r="T19" s="141"/>
      <c r="U19" s="141"/>
      <c r="V19" s="141"/>
      <c r="W19" s="141"/>
      <c r="X19" s="141"/>
      <c r="Z19" s="141">
        <f>$B$19/2</f>
        <v>726805.42643777793</v>
      </c>
      <c r="AA19" s="141">
        <f>$B$19/2</f>
        <v>726805.42643777793</v>
      </c>
      <c r="AB19" s="104"/>
      <c r="AC19" s="104"/>
      <c r="AD19" s="104"/>
      <c r="AE19" s="104"/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11"/>
        <v>1453610.8528755559</v>
      </c>
      <c r="AW19" s="142">
        <f t="shared" si="8"/>
        <v>1453610.8528755559</v>
      </c>
      <c r="AX19" s="142">
        <f t="shared" si="10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'F Financial'!$A22</f>
        <v>Commercial Tenant Improvements</v>
      </c>
      <c r="B20" s="140">
        <f>'F Financial'!$B22</f>
        <v>0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/>
      <c r="S20" s="141"/>
      <c r="T20" s="141"/>
      <c r="U20" s="141"/>
      <c r="V20" s="141"/>
      <c r="W20" s="141"/>
      <c r="X20" s="141"/>
      <c r="Y20" s="141"/>
      <c r="Z20" s="141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11"/>
        <v>0</v>
      </c>
      <c r="AW20" s="142">
        <f t="shared" si="8"/>
        <v>0</v>
      </c>
      <c r="AX20" s="142">
        <f t="shared" si="10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'F Financial'!$A23</f>
        <v>Commercial brokerage</v>
      </c>
      <c r="B21" s="140">
        <f>'F Financial'!$B23</f>
        <v>0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1"/>
      <c r="X21" s="141"/>
      <c r="Y21" s="141"/>
      <c r="Z21" s="141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11"/>
        <v>0</v>
      </c>
      <c r="AW21" s="142">
        <f t="shared" si="8"/>
        <v>0</v>
      </c>
      <c r="AX21" s="142">
        <f t="shared" si="10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'F Financial'!$A24</f>
        <v>Construction Loan Origination</v>
      </c>
      <c r="B22" s="140">
        <f ca="1">'F Financial'!$B24</f>
        <v>2544634.4251231011</v>
      </c>
      <c r="C22" s="141"/>
      <c r="D22" s="141"/>
      <c r="E22" s="141"/>
      <c r="F22" s="141"/>
      <c r="G22" s="141"/>
      <c r="H22" s="141"/>
      <c r="I22" s="141"/>
      <c r="J22" s="141"/>
      <c r="K22" s="141"/>
      <c r="L22" s="141"/>
      <c r="M22" s="141"/>
      <c r="N22" s="141"/>
      <c r="O22" s="141"/>
      <c r="P22" s="141"/>
      <c r="Q22" s="141">
        <f ca="1">B22</f>
        <v>2544634.4251231011</v>
      </c>
      <c r="R22" s="141"/>
      <c r="S22" s="141"/>
      <c r="T22" s="141"/>
      <c r="U22" s="141"/>
      <c r="V22" s="141"/>
      <c r="W22" s="141"/>
      <c r="X22" s="141"/>
      <c r="Y22" s="141"/>
      <c r="Z22" s="141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11"/>
        <v>2544634.4251231011</v>
      </c>
      <c r="AW22" s="142">
        <f t="shared" ca="1" si="8"/>
        <v>2544634.4251231011</v>
      </c>
      <c r="AX22" s="142">
        <f t="shared" ca="1" si="10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'F Financial'!$A25</f>
        <v>Construction Interest</v>
      </c>
      <c r="B23" s="140">
        <f ca="1">'F Financial'!$B25</f>
        <v>11874960.650574474</v>
      </c>
      <c r="C23" s="153"/>
      <c r="D23" s="141"/>
      <c r="E23" s="141"/>
      <c r="F23" s="141"/>
      <c r="G23" s="141"/>
      <c r="H23" s="141"/>
      <c r="I23" s="141"/>
      <c r="J23" s="141"/>
      <c r="K23" s="141"/>
      <c r="L23" s="141"/>
      <c r="M23" s="141"/>
      <c r="N23" s="141"/>
      <c r="O23" s="141"/>
      <c r="P23" s="141"/>
      <c r="Q23" s="141"/>
      <c r="R23" s="141"/>
      <c r="S23" s="141"/>
      <c r="T23" s="141">
        <f ca="1">$B$23/7</f>
        <v>1696422.9500820676</v>
      </c>
      <c r="U23" s="141">
        <f t="shared" ref="U23:Z23" ca="1" si="16">$B$23/7</f>
        <v>1696422.9500820676</v>
      </c>
      <c r="V23" s="141">
        <f t="shared" ca="1" si="16"/>
        <v>1696422.9500820676</v>
      </c>
      <c r="W23" s="141">
        <f t="shared" ca="1" si="16"/>
        <v>1696422.9500820676</v>
      </c>
      <c r="X23" s="141">
        <f t="shared" ca="1" si="16"/>
        <v>1696422.9500820676</v>
      </c>
      <c r="Y23" s="141">
        <f t="shared" ca="1" si="16"/>
        <v>1696422.9500820676</v>
      </c>
      <c r="Z23" s="141">
        <f t="shared" ca="1" si="16"/>
        <v>1696422.9500820676</v>
      </c>
      <c r="AA23" s="142"/>
      <c r="AB23" s="142"/>
      <c r="AC23" s="142"/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ca="1" si="11"/>
        <v>11874960.650574474</v>
      </c>
      <c r="AW23" s="142">
        <f t="shared" ca="1" si="8"/>
        <v>11874960.650574474</v>
      </c>
      <c r="AX23" s="142">
        <f t="shared" ca="1" si="10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'F Financial'!$A26</f>
        <v>Additional Contingency</v>
      </c>
      <c r="B24" s="154">
        <f ca="1">'F Financial'!$B26</f>
        <v>4408571.6955988668</v>
      </c>
      <c r="C24" s="155"/>
      <c r="D24" s="155"/>
      <c r="E24" s="155"/>
      <c r="F24" s="155"/>
      <c r="G24" s="155"/>
      <c r="H24" s="155"/>
      <c r="I24" s="155"/>
      <c r="J24" s="155"/>
      <c r="K24" s="155"/>
      <c r="L24" s="155"/>
      <c r="M24" s="155"/>
      <c r="N24" s="155"/>
      <c r="O24" s="155"/>
      <c r="P24" s="155"/>
      <c r="Q24" s="155"/>
      <c r="R24" s="610"/>
      <c r="S24" s="610"/>
      <c r="T24" s="610"/>
      <c r="U24" s="610"/>
      <c r="V24" s="610"/>
      <c r="W24" s="610"/>
      <c r="X24" s="610"/>
      <c r="Y24" s="610"/>
      <c r="Z24" s="610"/>
      <c r="AA24" s="610"/>
      <c r="AB24" s="610"/>
      <c r="AC24" s="610"/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si="11"/>
        <v>0</v>
      </c>
      <c r="AW24" s="156">
        <f t="shared" ca="1" si="8"/>
        <v>4408571.6955988668</v>
      </c>
      <c r="AX24" s="156">
        <f t="shared" ca="1" si="10"/>
        <v>4408571.6955988668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'F Financial'!$A27</f>
        <v>Total Project Cost</v>
      </c>
      <c r="B25" s="608">
        <f ca="1">'F Financial'!$B27</f>
        <v>278876205.69903141</v>
      </c>
      <c r="C25" s="62">
        <f>SUM(C5:C24)</f>
        <v>0</v>
      </c>
      <c r="D25" s="62">
        <f t="shared" ref="D25:P25" si="17">SUM(D5:D24)</f>
        <v>0</v>
      </c>
      <c r="E25" s="62">
        <f t="shared" si="17"/>
        <v>0</v>
      </c>
      <c r="F25" s="62">
        <f t="shared" si="17"/>
        <v>0</v>
      </c>
      <c r="G25" s="62">
        <f t="shared" si="17"/>
        <v>0</v>
      </c>
      <c r="H25" s="62">
        <f t="shared" si="17"/>
        <v>0</v>
      </c>
      <c r="I25" s="62">
        <f t="shared" si="17"/>
        <v>0</v>
      </c>
      <c r="J25" s="62">
        <f t="shared" si="17"/>
        <v>0</v>
      </c>
      <c r="K25" s="62">
        <f t="shared" si="17"/>
        <v>0</v>
      </c>
      <c r="L25" s="62">
        <f t="shared" si="17"/>
        <v>0</v>
      </c>
      <c r="M25" s="62">
        <f t="shared" si="17"/>
        <v>861395.96400000004</v>
      </c>
      <c r="N25" s="62">
        <f t="shared" si="17"/>
        <v>861395.96400000004</v>
      </c>
      <c r="O25" s="62">
        <f t="shared" si="17"/>
        <v>861395.96400000004</v>
      </c>
      <c r="P25" s="62">
        <f t="shared" si="17"/>
        <v>861395.96400000004</v>
      </c>
      <c r="Q25" s="62">
        <f t="shared" ref="Q25:Y25" ca="1" si="18">SUM(Q5:Q24)</f>
        <v>3406030.3891231013</v>
      </c>
      <c r="R25" s="62">
        <f t="shared" si="18"/>
        <v>28165349.650979906</v>
      </c>
      <c r="S25" s="62">
        <f t="shared" si="18"/>
        <v>24935114.785979904</v>
      </c>
      <c r="T25" s="62">
        <f t="shared" ca="1" si="18"/>
        <v>37398987.28606198</v>
      </c>
      <c r="U25" s="62">
        <f t="shared" ca="1" si="18"/>
        <v>48166436.836061984</v>
      </c>
      <c r="V25" s="62">
        <f t="shared" ca="1" si="18"/>
        <v>48166436.836061984</v>
      </c>
      <c r="W25" s="62">
        <f t="shared" ca="1" si="18"/>
        <v>37398987.28606198</v>
      </c>
      <c r="X25" s="62">
        <f t="shared" ca="1" si="18"/>
        <v>26905347.259871494</v>
      </c>
      <c r="Y25" s="62">
        <f t="shared" ca="1" si="18"/>
        <v>16137897.709871499</v>
      </c>
      <c r="Z25" s="62">
        <f t="shared" ref="Z25:AX25" ca="1" si="19">SUM(Z4:Z24)</f>
        <v>3223228.3765198458</v>
      </c>
      <c r="AA25" s="62">
        <f t="shared" si="19"/>
        <v>1526805.4264377779</v>
      </c>
      <c r="AB25" s="62">
        <f t="shared" si="19"/>
        <v>0</v>
      </c>
      <c r="AC25" s="62">
        <f t="shared" si="19"/>
        <v>0</v>
      </c>
      <c r="AD25" s="62">
        <f t="shared" si="19"/>
        <v>0</v>
      </c>
      <c r="AE25" s="62">
        <f t="shared" si="19"/>
        <v>0</v>
      </c>
      <c r="AF25" s="62">
        <f t="shared" si="19"/>
        <v>0</v>
      </c>
      <c r="AG25" s="62">
        <f t="shared" si="19"/>
        <v>0</v>
      </c>
      <c r="AH25" s="62">
        <f t="shared" si="19"/>
        <v>0</v>
      </c>
      <c r="AI25" s="62">
        <f t="shared" si="19"/>
        <v>0</v>
      </c>
      <c r="AJ25" s="62">
        <f t="shared" si="19"/>
        <v>0</v>
      </c>
      <c r="AK25" s="62">
        <f t="shared" si="19"/>
        <v>0</v>
      </c>
      <c r="AL25" s="62">
        <f t="shared" si="19"/>
        <v>0</v>
      </c>
      <c r="AM25" s="62">
        <f t="shared" si="19"/>
        <v>0</v>
      </c>
      <c r="AN25" s="62">
        <f t="shared" si="19"/>
        <v>0</v>
      </c>
      <c r="AO25" s="62">
        <f t="shared" si="19"/>
        <v>0</v>
      </c>
      <c r="AP25" s="62">
        <f t="shared" si="19"/>
        <v>0</v>
      </c>
      <c r="AQ25" s="62">
        <f t="shared" si="19"/>
        <v>0</v>
      </c>
      <c r="AR25" s="62">
        <f t="shared" si="19"/>
        <v>0</v>
      </c>
      <c r="AS25" s="62">
        <f t="shared" si="19"/>
        <v>0</v>
      </c>
      <c r="AT25" s="62">
        <f t="shared" si="19"/>
        <v>0</v>
      </c>
      <c r="AU25" s="62">
        <f t="shared" si="19"/>
        <v>0</v>
      </c>
      <c r="AV25" s="62">
        <f t="shared" ca="1" si="19"/>
        <v>278876206.69903141</v>
      </c>
      <c r="AW25" s="62">
        <f t="shared" ca="1" si="19"/>
        <v>283284777.39463025</v>
      </c>
      <c r="AX25" s="62">
        <f t="shared" ca="1" si="19"/>
        <v>4408571.6955988668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'F Financial'!D11</f>
        <v>-201392071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77484134.699031413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139438102.84951571</v>
      </c>
      <c r="C28" s="142">
        <f>C25</f>
        <v>0</v>
      </c>
      <c r="D28" s="142">
        <f t="shared" ref="D28:P28" ca="1" si="20">IF(((C29+D25)&lt;=$B$29),D25,($B$29-C29))</f>
        <v>0</v>
      </c>
      <c r="E28" s="142">
        <f t="shared" ca="1" si="20"/>
        <v>0</v>
      </c>
      <c r="F28" s="142">
        <f t="shared" ca="1" si="20"/>
        <v>0</v>
      </c>
      <c r="G28" s="142">
        <f t="shared" ca="1" si="20"/>
        <v>0</v>
      </c>
      <c r="H28" s="142">
        <f t="shared" ca="1" si="20"/>
        <v>0</v>
      </c>
      <c r="I28" s="142">
        <f t="shared" ca="1" si="20"/>
        <v>0</v>
      </c>
      <c r="J28" s="142">
        <f t="shared" ca="1" si="20"/>
        <v>0</v>
      </c>
      <c r="K28" s="142">
        <f t="shared" ca="1" si="20"/>
        <v>0</v>
      </c>
      <c r="L28" s="142">
        <f t="shared" ca="1" si="20"/>
        <v>0</v>
      </c>
      <c r="M28" s="142">
        <f t="shared" ca="1" si="20"/>
        <v>861395.96400000004</v>
      </c>
      <c r="N28" s="142">
        <f t="shared" ca="1" si="20"/>
        <v>861395.96400000004</v>
      </c>
      <c r="O28" s="142">
        <f t="shared" ca="1" si="20"/>
        <v>861395.96400000004</v>
      </c>
      <c r="P28" s="142">
        <f t="shared" ca="1" si="20"/>
        <v>861395.96400000004</v>
      </c>
      <c r="Q28" s="142">
        <f t="shared" ref="Q28" ca="1" si="21">IF(((P29+Q25)&lt;=$B$29),Q25,($B$29-P29))</f>
        <v>3406030.3891231013</v>
      </c>
      <c r="R28" s="142">
        <f t="shared" ref="R28" ca="1" si="22">IF(((Q29+R25)&lt;=$B$29),R25,($B$29-Q29))</f>
        <v>28165349.650979906</v>
      </c>
      <c r="S28" s="142">
        <f t="shared" ref="S28" ca="1" si="23">IF(((R29+S25)&lt;=$B$29),S25,($B$29-R29))</f>
        <v>24935114.785979904</v>
      </c>
      <c r="T28" s="142">
        <f t="shared" ref="T28" ca="1" si="24">IF(((S29+T25)&lt;=$B$29),T25,($B$29-S29))</f>
        <v>37398987.28606198</v>
      </c>
      <c r="U28" s="142">
        <f t="shared" ref="U28" ca="1" si="25">IF(((T29+U25)&lt;=$B$29),U25,($B$29-T29))</f>
        <v>42087036.881370813</v>
      </c>
      <c r="V28" s="142">
        <f t="shared" ref="V28" ca="1" si="26">IF(((U29+V25)&lt;=$B$29),V25,($B$29-U29))</f>
        <v>0</v>
      </c>
      <c r="W28" s="142">
        <f t="shared" ref="W28" ca="1" si="27">IF(((V29+W25)&lt;=$B$29),W25,($B$29-V29))</f>
        <v>0</v>
      </c>
      <c r="X28" s="142">
        <f t="shared" ref="X28" ca="1" si="28">IF(((W29+X25)&lt;=$B$29),X25,($B$29-W29))</f>
        <v>0</v>
      </c>
      <c r="Y28" s="142">
        <f t="shared" ref="Y28" ca="1" si="29">IF(((X29+Y25)&lt;=$B$29),Y25,($B$29-X29))</f>
        <v>0</v>
      </c>
      <c r="Z28" s="142">
        <f t="shared" ref="Z28" ca="1" si="30">IF(((Y29+Z25)&lt;=$B$29),Z25,($B$29-Y29))</f>
        <v>0</v>
      </c>
      <c r="AA28" s="142"/>
      <c r="AB28" s="142"/>
      <c r="AC28" s="142"/>
      <c r="AD28" s="142"/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'F Financial'!D15</f>
        <v>139438102.84951571</v>
      </c>
      <c r="C29" s="142">
        <f>C28</f>
        <v>0</v>
      </c>
      <c r="D29" s="142">
        <f ca="1">IF(SUM($C$28:D$28)&lt;=$B29,SUM($C$28:D$28),0)</f>
        <v>0</v>
      </c>
      <c r="E29" s="142">
        <f ca="1">IF(SUM($C$28:E28)&lt;=$B29,SUM($C$28:E28),0)</f>
        <v>0</v>
      </c>
      <c r="F29" s="142">
        <f ca="1">IF(SUM($C$28:F28)&lt;=$B29,SUM($C$28:F28),0)</f>
        <v>0</v>
      </c>
      <c r="G29" s="142">
        <f ca="1">IF(SUM($C$28:G28)&lt;=$B29,SUM($C$28:G28),0)</f>
        <v>0</v>
      </c>
      <c r="H29" s="142">
        <f ca="1">IF(SUM($C$28:H28)&lt;=$B29,SUM($C$28:H28),0)</f>
        <v>0</v>
      </c>
      <c r="I29" s="142">
        <f ca="1">IF(SUM($C$28:I28)&lt;=$B29,SUM($C$28:I28),0)</f>
        <v>0</v>
      </c>
      <c r="J29" s="142">
        <f ca="1">IF(SUM($C$28:J28)&lt;=$B29,SUM($C$28:J28),0)</f>
        <v>0</v>
      </c>
      <c r="K29" s="142">
        <f ca="1">IF(SUM($C$28:K28)&lt;=$B29,SUM($C$28:K28),0)</f>
        <v>0</v>
      </c>
      <c r="L29" s="142">
        <f ca="1">IF(SUM($C$28:L28)&lt;=$B29,SUM($C$28:L28),0)</f>
        <v>0</v>
      </c>
      <c r="M29" s="142">
        <f ca="1">IF(SUM($C$28:M28)&lt;=$B29,SUM($C$28:M28),0)</f>
        <v>861395.96400000004</v>
      </c>
      <c r="N29" s="142">
        <f ca="1">IF(SUM($C$28:N28)&lt;=$B29,SUM($C$28:N28),0)</f>
        <v>1722791.9280000001</v>
      </c>
      <c r="O29" s="142">
        <f ca="1">IF(SUM($C$28:O28)&lt;=$B29,SUM($C$28:O28),0)</f>
        <v>2584187.892</v>
      </c>
      <c r="P29" s="142">
        <f ca="1">IF(SUM($C$28:P28)&lt;=$B29,SUM($C$28:P28),0)</f>
        <v>3445583.8560000001</v>
      </c>
      <c r="Q29" s="142">
        <f ca="1">IF(SUM($C$28:Q28)&lt;=$B29,SUM($C$28:Q28),0)</f>
        <v>6851614.2451231014</v>
      </c>
      <c r="R29" s="142">
        <f ca="1">IF(SUM($C$28:R28)&lt;=$B29,SUM($C$28:R28),0)</f>
        <v>35016963.89610301</v>
      </c>
      <c r="S29" s="142">
        <f ca="1">IF(SUM($C$28:S28)&lt;=$B29,SUM($C$28:S28),0)</f>
        <v>59952078.682082914</v>
      </c>
      <c r="T29" s="142">
        <f ca="1">IF(SUM($C$28:T28)&lt;=$B29,SUM($C$28:T28),0)</f>
        <v>97351065.968144894</v>
      </c>
      <c r="U29" s="142">
        <f ca="1">IF(SUM($C$28:U28)&lt;=$B29,SUM($C$28:U28),0)</f>
        <v>139438102.84951571</v>
      </c>
      <c r="V29" s="142">
        <f ca="1">IF(SUM($C$28:V28)&lt;=$B29,SUM($C$28:V28),0)</f>
        <v>139438102.84951571</v>
      </c>
      <c r="W29" s="142">
        <f ca="1">IF(SUM($C$28:W28)&lt;=$B29,SUM($C$28:W28),0)</f>
        <v>139438102.84951571</v>
      </c>
      <c r="X29" s="142">
        <f ca="1">IF(SUM($C$28:X28)&lt;=$B29,SUM($C$28:X28),0)</f>
        <v>139438102.84951571</v>
      </c>
      <c r="Y29" s="142">
        <f ca="1">IF(SUM($C$28:Y28)&lt;=$B29,SUM($C$28:Y28),0)</f>
        <v>139438102.84951571</v>
      </c>
      <c r="Z29" s="142">
        <f ca="1">IF(SUM($C$28:Z28)&lt;=$B29,SUM($C$28:Z28),0)</f>
        <v>139438102.84951571</v>
      </c>
      <c r="AA29" s="142"/>
      <c r="AB29" s="142"/>
      <c r="AC29" s="142"/>
      <c r="AD29" s="142"/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'F Financial'!D14</f>
        <v>139438102.84951571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PMT(0.065,30,(B30))</f>
        <v>-10677813.267838132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'F Financial'!D21+'F Financial'!D22</f>
        <v>-40723314.961925909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SUM(C35:AU35)</f>
        <v>-180161417.8114416</v>
      </c>
      <c r="C35" s="170">
        <f t="shared" ref="C35:P35" si="31">-C28</f>
        <v>0</v>
      </c>
      <c r="D35" s="170">
        <f t="shared" ca="1" si="31"/>
        <v>0</v>
      </c>
      <c r="E35" s="170">
        <f t="shared" ca="1" si="31"/>
        <v>0</v>
      </c>
      <c r="F35" s="170">
        <f t="shared" ca="1" si="31"/>
        <v>0</v>
      </c>
      <c r="G35" s="170">
        <f t="shared" ca="1" si="31"/>
        <v>0</v>
      </c>
      <c r="H35" s="170">
        <f t="shared" ca="1" si="31"/>
        <v>0</v>
      </c>
      <c r="I35" s="170">
        <f t="shared" ca="1" si="31"/>
        <v>0</v>
      </c>
      <c r="J35" s="170">
        <f t="shared" ca="1" si="31"/>
        <v>0</v>
      </c>
      <c r="K35" s="170">
        <f t="shared" ca="1" si="31"/>
        <v>0</v>
      </c>
      <c r="L35" s="170">
        <f t="shared" ca="1" si="31"/>
        <v>0</v>
      </c>
      <c r="M35" s="170">
        <f t="shared" ca="1" si="31"/>
        <v>-861395.96400000004</v>
      </c>
      <c r="N35" s="170">
        <f t="shared" ca="1" si="31"/>
        <v>-861395.96400000004</v>
      </c>
      <c r="O35" s="170">
        <f t="shared" ca="1" si="31"/>
        <v>-861395.96400000004</v>
      </c>
      <c r="P35" s="170">
        <f t="shared" ca="1" si="31"/>
        <v>-861395.96400000004</v>
      </c>
      <c r="Q35" s="170">
        <f t="shared" ref="Q35:Z35" ca="1" si="32">-Q28</f>
        <v>-3406030.3891231013</v>
      </c>
      <c r="R35" s="170">
        <f t="shared" ca="1" si="32"/>
        <v>-28165349.650979906</v>
      </c>
      <c r="S35" s="170">
        <f t="shared" ca="1" si="32"/>
        <v>-24935114.785979904</v>
      </c>
      <c r="T35" s="170">
        <f t="shared" ca="1" si="32"/>
        <v>-37398987.28606198</v>
      </c>
      <c r="U35" s="170">
        <f t="shared" ca="1" si="32"/>
        <v>-42087036.881370813</v>
      </c>
      <c r="V35" s="170">
        <f t="shared" ca="1" si="32"/>
        <v>0</v>
      </c>
      <c r="W35" s="170">
        <f t="shared" ca="1" si="32"/>
        <v>0</v>
      </c>
      <c r="X35" s="170">
        <f t="shared" ca="1" si="32"/>
        <v>0</v>
      </c>
      <c r="Y35" s="170">
        <f t="shared" ca="1" si="32"/>
        <v>0</v>
      </c>
      <c r="Z35" s="170">
        <f t="shared" ca="1" si="32"/>
        <v>0</v>
      </c>
      <c r="AA35" s="170">
        <f ca="1">B34</f>
        <v>-40723314.961925909</v>
      </c>
      <c r="AB35" s="170"/>
      <c r="AC35" s="170"/>
      <c r="AD35" s="170"/>
      <c r="AE35" s="170"/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0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7"/>
      <c r="R37" s="177"/>
      <c r="S37" s="177"/>
      <c r="T37" s="177"/>
      <c r="U37" s="177"/>
      <c r="V37" s="177"/>
      <c r="W37" s="177"/>
      <c r="X37" s="177"/>
      <c r="Y37" s="177"/>
      <c r="Z37" s="176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7"/>
      <c r="R38" s="177"/>
      <c r="S38" s="177"/>
      <c r="T38" s="177"/>
      <c r="U38" s="177"/>
      <c r="V38" s="177"/>
      <c r="W38" s="177"/>
      <c r="X38" s="177"/>
      <c r="Y38" s="177"/>
      <c r="Z38" s="176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'F Financial'!D21-B26</f>
        <v>300106858.88758981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7"/>
      <c r="R39" s="177"/>
      <c r="S39" s="177"/>
      <c r="T39" s="177"/>
      <c r="U39" s="177"/>
      <c r="V39" s="177"/>
      <c r="W39" s="177"/>
      <c r="X39" s="177"/>
      <c r="Y39" s="177"/>
      <c r="Z39" s="176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21230653.18855834</v>
      </c>
      <c r="C40" s="142">
        <f t="shared" ref="C40:P40" si="33">-C25</f>
        <v>0</v>
      </c>
      <c r="D40" s="142">
        <f t="shared" si="33"/>
        <v>0</v>
      </c>
      <c r="E40" s="142">
        <f t="shared" si="33"/>
        <v>0</v>
      </c>
      <c r="F40" s="142">
        <f t="shared" si="33"/>
        <v>0</v>
      </c>
      <c r="G40" s="142">
        <f t="shared" si="33"/>
        <v>0</v>
      </c>
      <c r="H40" s="142">
        <f t="shared" si="33"/>
        <v>0</v>
      </c>
      <c r="I40" s="142">
        <f t="shared" si="33"/>
        <v>0</v>
      </c>
      <c r="J40" s="142">
        <f t="shared" si="33"/>
        <v>0</v>
      </c>
      <c r="K40" s="142">
        <f t="shared" si="33"/>
        <v>0</v>
      </c>
      <c r="L40" s="142">
        <f t="shared" si="33"/>
        <v>0</v>
      </c>
      <c r="M40" s="142">
        <f t="shared" si="33"/>
        <v>-861395.96400000004</v>
      </c>
      <c r="N40" s="142">
        <f t="shared" si="33"/>
        <v>-861395.96400000004</v>
      </c>
      <c r="O40" s="142">
        <f t="shared" si="33"/>
        <v>-861395.96400000004</v>
      </c>
      <c r="P40" s="142">
        <f t="shared" si="33"/>
        <v>-861395.96400000004</v>
      </c>
      <c r="Q40" s="142">
        <f t="shared" ref="Q40:Z40" ca="1" si="34">-Q25</f>
        <v>-3406030.3891231013</v>
      </c>
      <c r="R40" s="142">
        <f t="shared" si="34"/>
        <v>-28165349.650979906</v>
      </c>
      <c r="S40" s="142">
        <f t="shared" si="34"/>
        <v>-24935114.785979904</v>
      </c>
      <c r="T40" s="142">
        <f t="shared" ca="1" si="34"/>
        <v>-37398987.28606198</v>
      </c>
      <c r="U40" s="142">
        <f t="shared" ca="1" si="34"/>
        <v>-48166436.836061984</v>
      </c>
      <c r="V40" s="142">
        <f t="shared" ca="1" si="34"/>
        <v>-48166436.836061984</v>
      </c>
      <c r="W40" s="142">
        <f t="shared" ca="1" si="34"/>
        <v>-37398987.28606198</v>
      </c>
      <c r="X40" s="142">
        <f t="shared" ca="1" si="34"/>
        <v>-26905347.259871494</v>
      </c>
      <c r="Y40" s="142">
        <f t="shared" ca="1" si="34"/>
        <v>-16137897.709871499</v>
      </c>
      <c r="Z40" s="142">
        <f t="shared" ca="1" si="34"/>
        <v>-3223228.3765198458</v>
      </c>
      <c r="AA40" s="174">
        <f ca="1">$B$39-AA25</f>
        <v>298580053.46115202</v>
      </c>
      <c r="AB40" s="142"/>
      <c r="AC40" s="142"/>
      <c r="AD40" s="142"/>
      <c r="AE40" s="142"/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1.2898523839605991E-2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5.2600938350047199E-2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168" priority="1" operator="equal">
      <formula>#REF!</formula>
    </cfRule>
    <cfRule type="cellIs" dxfId="167" priority="2" operator="equal">
      <formula>#REF!</formula>
    </cfRule>
    <cfRule type="cellIs" dxfId="166" priority="3" operator="equal">
      <formula>#REF!</formula>
    </cfRule>
    <cfRule type="cellIs" dxfId="165" priority="4" operator="equal">
      <formula>#REF!</formula>
    </cfRule>
  </conditionalFormatting>
  <conditionalFormatting sqref="AT4:AU4">
    <cfRule type="cellIs" dxfId="164" priority="5" operator="equal">
      <formula>#REF!</formula>
    </cfRule>
    <cfRule type="cellIs" dxfId="163" priority="6" operator="equal">
      <formula>#REF!</formula>
    </cfRule>
    <cfRule type="cellIs" dxfId="162" priority="7" operator="equal">
      <formula>#REF!</formula>
    </cfRule>
    <cfRule type="cellIs" dxfId="161" priority="8" operator="equal">
      <formula>#REF!</formula>
    </cfRule>
    <cfRule type="cellIs" dxfId="160" priority="9" operator="equal">
      <formula>#REF!</formula>
    </cfRule>
    <cfRule type="cellIs" dxfId="159" priority="10" operator="equal">
      <formula>#REF!</formula>
    </cfRule>
    <cfRule type="cellIs" dxfId="158" priority="11" operator="equal">
      <formula>#REF!</formula>
    </cfRule>
    <cfRule type="cellIs" dxfId="157" priority="12" operator="equal">
      <formula>#REF!</formula>
    </cfRule>
  </conditionalFormatting>
  <conditionalFormatting sqref="AV3:AX3">
    <cfRule type="cellIs" dxfId="156" priority="13" operator="equal">
      <formula>#REF!</formula>
    </cfRule>
    <cfRule type="cellIs" dxfId="155" priority="14" operator="equal">
      <formula>#REF!</formula>
    </cfRule>
    <cfRule type="cellIs" dxfId="154" priority="15" operator="equal">
      <formula>#REF!</formula>
    </cfRule>
    <cfRule type="cellIs" dxfId="153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D87A1E-7EA3-415F-8041-42CC3DF24573}">
  <sheetPr>
    <tabColor theme="6" tint="-0.249977111117893"/>
    <pageSetUpPr fitToPage="1"/>
  </sheetPr>
  <dimension ref="A1:AC164"/>
  <sheetViews>
    <sheetView showGridLines="0" zoomScale="70" zoomScaleNormal="70" zoomScaleSheetLayoutView="90" workbookViewId="0">
      <selection activeCell="C25" sqref="C25:D31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 t="s">
        <v>201</v>
      </c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201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9377112.9219626673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110318975.55250195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210571143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21057114.300000001</v>
      </c>
      <c r="C8" s="637" t="s">
        <v>321</v>
      </c>
      <c r="D8" s="545">
        <f>SUM(E130:E131,K130:K131,Q130:Q131,W130:W131)</f>
        <v>110318975.55250195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Program'!$I$39-'Development Program'!I41</f>
        <v>-28166666.666666668</v>
      </c>
      <c r="C11" s="25" t="s">
        <v>103</v>
      </c>
      <c r="D11" s="354">
        <f ca="1">IF(B31&lt;0,B31,0)</f>
        <v>-186309273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11581412.865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4632565.1459999997</v>
      </c>
      <c r="C13" s="25" t="s">
        <v>104</v>
      </c>
      <c r="D13" s="354">
        <f ca="1">B27+D11</f>
        <v>84860750.518958509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Assumptions!$H$14</f>
        <v>0.5</v>
      </c>
      <c r="D14" s="355">
        <f ca="1">C14*B$27</f>
        <v>135585011.75947925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9265130.2919999994</v>
      </c>
      <c r="C15" s="382">
        <f>1-C14</f>
        <v>0.5</v>
      </c>
      <c r="D15" s="356">
        <f ca="1">C15*B$27</f>
        <v>135585011.75947925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6948847.7189999996</v>
      </c>
      <c r="C16" s="383" t="s">
        <v>105</v>
      </c>
      <c r="D16" s="93">
        <f ca="1">D14+D15</f>
        <v>271170023.51895851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11581412.865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>SUM(C144,I144,O144,U144)</f>
        <v>1489306.1699587763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3474423.8594999998</v>
      </c>
      <c r="C19" s="385" t="s">
        <v>108</v>
      </c>
      <c r="D19" s="130">
        <f>D6</f>
        <v>110318975.55250195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1600000</v>
      </c>
      <c r="C20" s="386">
        <v>0.02</v>
      </c>
      <c r="D20" s="131">
        <f>-C20*D19</f>
        <v>-2206379.511050039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1627443.6642977779</v>
      </c>
      <c r="C21" s="387" t="s">
        <v>109</v>
      </c>
      <c r="D21" s="94">
        <f>D19+D20</f>
        <v>108112596.0414519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0</v>
      </c>
      <c r="C22" s="385" t="s">
        <v>110</v>
      </c>
      <c r="D22" s="130">
        <f ca="1">-D14</f>
        <v>-135585011.75947925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0</v>
      </c>
      <c r="C23" s="388" t="s">
        <v>111</v>
      </c>
      <c r="D23" s="132">
        <f ca="1">-D15</f>
        <v>-135585011.75947925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 ca="1">SUM(C150,I150,O150,U150)</f>
        <v>2736686.5243885694</v>
      </c>
      <c r="C24" s="389" t="s">
        <v>112</v>
      </c>
      <c r="D24" s="95">
        <f ca="1">ROUND(D21+D22+D23,-2)</f>
        <v>-163057400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>
      <c r="A25" s="642" t="s">
        <v>58</v>
      </c>
      <c r="B25" s="396">
        <f ca="1">SUM(C151,I151,O151,U151)</f>
        <v>12771203.780479994</v>
      </c>
      <c r="C25" s="329"/>
      <c r="D25" s="329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4739590.3019937593</v>
      </c>
      <c r="C26" s="329"/>
      <c r="D26" s="349"/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SUM(B7:B25)</f>
        <v>271170023.51895851</v>
      </c>
      <c r="C27" s="216"/>
      <c r="D27" s="851"/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3.4580197325192463E-2</v>
      </c>
      <c r="C28" s="852"/>
      <c r="D28" s="853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-0.5931741491153828</v>
      </c>
      <c r="C29" s="852"/>
      <c r="D29" s="853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0.3</v>
      </c>
      <c r="B30" s="120">
        <f>D8/(1+A30)</f>
        <v>84860750.425001487</v>
      </c>
      <c r="C30" s="216"/>
      <c r="D30" s="353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0.3</v>
      </c>
      <c r="B31" s="120">
        <f ca="1">ROUND((D8/(1+A31))-B27,0)</f>
        <v>-186309273</v>
      </c>
      <c r="C31" s="216"/>
      <c r="D31" s="854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249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180158.1</v>
      </c>
      <c r="E34" s="230"/>
      <c r="G34" s="515" t="s">
        <v>259</v>
      </c>
      <c r="H34" s="516" t="s">
        <v>250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108759.8</v>
      </c>
      <c r="K34" s="230"/>
      <c r="L34" s="328"/>
      <c r="M34" s="515" t="s">
        <v>259</v>
      </c>
      <c r="N34" s="516" t="s">
        <v>386</v>
      </c>
      <c r="O34" s="319" t="s">
        <v>203</v>
      </c>
      <c r="P34" s="320">
        <f>IFERROR(INDEX('Building Configuration'!$B$2:$Z$45,MATCH(N$34,'Building Configuration'!$C$2:$C$45,0),MATCH("Total",'Building Configuration'!$B$2:$Z$2,0)),0)</f>
        <v>394970.1</v>
      </c>
      <c r="Q34" s="230"/>
      <c r="R34" s="328"/>
      <c r="S34" s="515" t="s">
        <v>259</v>
      </c>
      <c r="T34" s="516"/>
      <c r="U34" s="319" t="s">
        <v>203</v>
      </c>
      <c r="V34" s="320">
        <f>IFERROR(INDEX('Building Configuration'!$B$2:$Z$45,MATCH(T$34,'Building Configuration'!$C$2:$C$45,0),MATCH("Total",'Building Configuration'!$B$2:$Z$2,0)),0)</f>
        <v>0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Multifamily-Market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106999.9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Multifamily-Market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64787.8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Multifamily-Market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247422.21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Multifamily-Affordable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45857.1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Multifamily-Affordable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27766.2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Multifamily-Affordable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106038.09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-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0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-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YES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27301.1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YES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16205.8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YES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41509.800000000003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-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0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1</v>
      </c>
      <c r="C44" s="460">
        <v>0</v>
      </c>
      <c r="D44" s="322"/>
      <c r="E44" s="231"/>
      <c r="F44" s="223"/>
      <c r="G44" s="6" t="s">
        <v>315</v>
      </c>
      <c r="H44" s="459">
        <v>1</v>
      </c>
      <c r="I44" s="460">
        <v>0</v>
      </c>
      <c r="J44" s="322"/>
      <c r="K44" s="231"/>
      <c r="L44" s="212"/>
      <c r="M44" s="6" t="s">
        <v>315</v>
      </c>
      <c r="N44" s="459">
        <v>1</v>
      </c>
      <c r="O44" s="460">
        <v>0</v>
      </c>
      <c r="P44" s="322"/>
      <c r="Q44" s="231"/>
      <c r="R44" s="212"/>
      <c r="S44" s="6" t="s">
        <v>315</v>
      </c>
      <c r="T44" s="459">
        <v>0</v>
      </c>
      <c r="U44" s="460">
        <v>0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Multifamily-Market</v>
      </c>
      <c r="C46" s="510" t="s">
        <v>298</v>
      </c>
      <c r="D46" s="308">
        <f>D$35*E$46</f>
        <v>80249.924999999988</v>
      </c>
      <c r="E46" s="303">
        <f>Assumptions!$C$44</f>
        <v>0.75</v>
      </c>
      <c r="F46" s="296"/>
      <c r="G46" s="301" t="s">
        <v>293</v>
      </c>
      <c r="H46" s="302" t="str">
        <f>H$35</f>
        <v>Multifamily-Market</v>
      </c>
      <c r="I46" s="510" t="s">
        <v>298</v>
      </c>
      <c r="J46" s="308">
        <f>J$35*K$46</f>
        <v>48590.850000000006</v>
      </c>
      <c r="K46" s="303">
        <f>Assumptions!$C$44</f>
        <v>0.75</v>
      </c>
      <c r="L46" s="212"/>
      <c r="M46" s="301" t="s">
        <v>293</v>
      </c>
      <c r="N46" s="302" t="str">
        <f>N$35</f>
        <v>Multifamily-Market</v>
      </c>
      <c r="O46" s="510" t="s">
        <v>298</v>
      </c>
      <c r="P46" s="308">
        <f>P$35*Q$46</f>
        <v>185566.6575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95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>
        <v>58</v>
      </c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>
        <v>221</v>
      </c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28.5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494121.6</v>
      </c>
      <c r="F49" s="296"/>
      <c r="G49" s="109" t="s">
        <v>72</v>
      </c>
      <c r="H49" s="255">
        <f>H$47*INDEX(Assumptions!$C$52:$C$55,MATCH(G49,Assumptions!$A$52:$A$55,0))</f>
        <v>17.399999999999999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301674.23999999999</v>
      </c>
      <c r="L49" s="330"/>
      <c r="M49" s="109" t="s">
        <v>72</v>
      </c>
      <c r="N49" s="255">
        <f>N$47*INDEX(Assumptions!$C$52:$C$55,MATCH(M49,Assumptions!$A$52:$A$55,0))</f>
        <v>66.3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1149482.8799999999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42.75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870710.02333333332</v>
      </c>
      <c r="F50" s="296"/>
      <c r="G50" s="106" t="s">
        <v>73</v>
      </c>
      <c r="H50" s="255">
        <f>H$47*INDEX(Assumptions!$C$52:$C$55,MATCH(G50,Assumptions!$A$52:$A$55,0))</f>
        <v>26.1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531591.38266666676</v>
      </c>
      <c r="L50" s="330"/>
      <c r="M50" s="106" t="s">
        <v>73</v>
      </c>
      <c r="N50" s="255">
        <f>N$47*INDEX(Assumptions!$C$52:$C$55,MATCH(M50,Assumptions!$A$52:$A$55,0))</f>
        <v>99.45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2025546.4753333337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19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556554.30518518528</v>
      </c>
      <c r="F51" s="297"/>
      <c r="G51" s="109" t="s">
        <v>74</v>
      </c>
      <c r="H51" s="255">
        <f>H$47*INDEX(Assumptions!$C$52:$C$55,MATCH(G51,Assumptions!$A$52:$A$55,0))</f>
        <v>11.600000000000001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339791.04948148155</v>
      </c>
      <c r="L51" s="330"/>
      <c r="M51" s="109" t="s">
        <v>74</v>
      </c>
      <c r="N51" s="255">
        <f>N$47*INDEX(Assumptions!$C$52:$C$55,MATCH(M51,Assumptions!$A$52:$A$55,0))</f>
        <v>44.2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1294721.0678518522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4.75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290870.54400000005</v>
      </c>
      <c r="F52" s="223"/>
      <c r="G52" s="109" t="s">
        <v>75</v>
      </c>
      <c r="H52" s="255">
        <f>H$47*INDEX(Assumptions!$C$52:$C$55,MATCH(G52,Assumptions!$A$52:$A$55,0))</f>
        <v>2.9000000000000004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177584.12160000001</v>
      </c>
      <c r="L52" s="330"/>
      <c r="M52" s="109" t="s">
        <v>75</v>
      </c>
      <c r="N52" s="255">
        <f>N$47*INDEX(Assumptions!$C$52:$C$55,MATCH(M52,Assumptions!$A$52:$A$55,0))</f>
        <v>11.05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676656.73920000019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95</v>
      </c>
      <c r="C53" s="9">
        <f>SUMPRODUCT(B49:B52,C49:C52)</f>
        <v>79449.027777777781</v>
      </c>
      <c r="D53" s="225"/>
      <c r="E53" s="226">
        <f>SUM(E49:E52)</f>
        <v>2212256.4725185186</v>
      </c>
      <c r="F53" s="297"/>
      <c r="G53" s="7" t="s">
        <v>76</v>
      </c>
      <c r="H53" s="8">
        <f>SUM(H49:H52)</f>
        <v>58</v>
      </c>
      <c r="I53" s="9">
        <f>SUMPRODUCT(H49:H52,I49:I52)</f>
        <v>48505.722222222226</v>
      </c>
      <c r="J53" s="225"/>
      <c r="K53" s="226">
        <f>SUM(K49:K52)</f>
        <v>1350640.7937481483</v>
      </c>
      <c r="L53" s="327"/>
      <c r="M53" s="7" t="s">
        <v>76</v>
      </c>
      <c r="N53" s="8">
        <f>SUM(N49:N52)</f>
        <v>221</v>
      </c>
      <c r="O53" s="9">
        <f>SUMPRODUCT(N49:N52,O49:O52)</f>
        <v>184823.52777777781</v>
      </c>
      <c r="P53" s="225"/>
      <c r="Q53" s="226">
        <f>SUM(Q49:Q52)</f>
        <v>5146407.1623851862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836.30555555555554</v>
      </c>
      <c r="D54" s="227">
        <f>IFERROR((E53/12)/C53,0)</f>
        <v>2.320414877307972</v>
      </c>
      <c r="E54" s="228"/>
      <c r="F54" s="317"/>
      <c r="G54" s="10" t="s">
        <v>77</v>
      </c>
      <c r="H54" s="224"/>
      <c r="I54" s="11">
        <f>IFERROR(I53/H53,0)</f>
        <v>836.30555555555566</v>
      </c>
      <c r="J54" s="227">
        <f>IFERROR((K53/12)/I53,0)</f>
        <v>2.320414877307972</v>
      </c>
      <c r="K54" s="228"/>
      <c r="L54" s="216"/>
      <c r="M54" s="10" t="s">
        <v>77</v>
      </c>
      <c r="N54" s="224"/>
      <c r="O54" s="11">
        <f>IFERROR(O53/N53,0)</f>
        <v>836.30555555555566</v>
      </c>
      <c r="P54" s="227">
        <f>IFERROR((Q53/12)/O53,0)</f>
        <v>2.320414877307972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Multifamily-Affordable</v>
      </c>
      <c r="C62" s="510" t="s">
        <v>298</v>
      </c>
      <c r="D62" s="308">
        <f>D$37*E$62</f>
        <v>34392.824999999997</v>
      </c>
      <c r="E62" s="303">
        <f>Assumptions!$C$44</f>
        <v>0.75</v>
      </c>
      <c r="F62" s="211"/>
      <c r="G62" s="301" t="s">
        <v>312</v>
      </c>
      <c r="H62" s="302" t="str">
        <f>H$37</f>
        <v>Multifamily-Affordable</v>
      </c>
      <c r="I62" s="510" t="s">
        <v>298</v>
      </c>
      <c r="J62" s="308">
        <f>J$37*K$62</f>
        <v>20824.650000000001</v>
      </c>
      <c r="K62" s="303">
        <f>Assumptions!$C$44</f>
        <v>0.75</v>
      </c>
      <c r="L62" s="216"/>
      <c r="M62" s="301" t="s">
        <v>312</v>
      </c>
      <c r="N62" s="302" t="str">
        <f>N$37</f>
        <v>Multifamily-Affordable</v>
      </c>
      <c r="O62" s="510" t="s">
        <v>298</v>
      </c>
      <c r="P62" s="308">
        <f>P$37*Q$62</f>
        <v>79528.567500000005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41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24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95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12.299999999999999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140072.4</v>
      </c>
      <c r="F65" s="211"/>
      <c r="G65" s="109" t="s">
        <v>72</v>
      </c>
      <c r="H65" s="255">
        <f>H$63*INDEX(Assumptions!$C$52:$C$55,MATCH(G65,Assumptions!$A$52:$A$55,0))</f>
        <v>7.1999999999999993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81993.599999999991</v>
      </c>
      <c r="L65" s="216"/>
      <c r="M65" s="109" t="s">
        <v>72</v>
      </c>
      <c r="N65" s="255">
        <f>N$63*INDEX(Assumptions!$C$52:$C$55,MATCH(M65,Assumptions!$A$52:$A$55,0))</f>
        <v>28.5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324558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18.45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238890.59999999998</v>
      </c>
      <c r="F66" s="211"/>
      <c r="G66" s="106" t="s">
        <v>73</v>
      </c>
      <c r="H66" s="255">
        <f>H$63*INDEX(Assumptions!$C$52:$C$55,MATCH(G66,Assumptions!$A$52:$A$55,0))</f>
        <v>10.8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139838.40000000002</v>
      </c>
      <c r="L66" s="216"/>
      <c r="M66" s="106" t="s">
        <v>73</v>
      </c>
      <c r="N66" s="255">
        <f>N$63*INDEX(Assumptions!$C$52:$C$55,MATCH(M66,Assumptions!$A$52:$A$55,0))</f>
        <v>42.75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553527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8.2000000000000011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127920</v>
      </c>
      <c r="F67" s="211"/>
      <c r="G67" s="109" t="s">
        <v>74</v>
      </c>
      <c r="H67" s="255">
        <f>H$63*INDEX(Assumptions!$C$52:$C$55,MATCH(G67,Assumptions!$A$52:$A$55,0))</f>
        <v>4.8000000000000007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74880</v>
      </c>
      <c r="L67" s="216"/>
      <c r="M67" s="109" t="s">
        <v>74</v>
      </c>
      <c r="N67" s="255">
        <f>N$63*INDEX(Assumptions!$C$52:$C$55,MATCH(M67,Assumptions!$A$52:$A$55,0))</f>
        <v>19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296400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2.0500000000000003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41574</v>
      </c>
      <c r="F68" s="211"/>
      <c r="G68" s="109" t="s">
        <v>75</v>
      </c>
      <c r="H68" s="255">
        <f>H$63*INDEX(Assumptions!$C$52:$C$55,MATCH(G68,Assumptions!$A$52:$A$55,0))</f>
        <v>1.2000000000000002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24336.000000000004</v>
      </c>
      <c r="L68" s="216"/>
      <c r="M68" s="109" t="s">
        <v>75</v>
      </c>
      <c r="N68" s="255">
        <f>N$63*INDEX(Assumptions!$C$52:$C$55,MATCH(M68,Assumptions!$A$52:$A$55,0))</f>
        <v>4.75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96330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41</v>
      </c>
      <c r="C69" s="9">
        <f>SUMPRODUCT(B65:B68,C65:C68)</f>
        <v>34288.527777777781</v>
      </c>
      <c r="D69" s="225"/>
      <c r="E69" s="226">
        <f>SUM(E65:E68)</f>
        <v>548457</v>
      </c>
      <c r="F69" s="211"/>
      <c r="G69" s="7" t="s">
        <v>76</v>
      </c>
      <c r="H69" s="8">
        <f>SUM(H65:H68)</f>
        <v>24</v>
      </c>
      <c r="I69" s="9">
        <f>SUMPRODUCT(H65:H68,I65:I68)</f>
        <v>20071.333333333336</v>
      </c>
      <c r="J69" s="225"/>
      <c r="K69" s="226">
        <f>SUM(K65:K68)</f>
        <v>321048</v>
      </c>
      <c r="L69" s="216"/>
      <c r="M69" s="7" t="s">
        <v>76</v>
      </c>
      <c r="N69" s="8">
        <f>SUM(N65:N68)</f>
        <v>95</v>
      </c>
      <c r="O69" s="9">
        <f>SUMPRODUCT(N65:N68,O65:O68)</f>
        <v>79449.027777777781</v>
      </c>
      <c r="P69" s="225"/>
      <c r="Q69" s="226">
        <f>SUM(Q65:Q68)</f>
        <v>1270815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836.30555555555566</v>
      </c>
      <c r="D70" s="227">
        <f>IFERROR((E69/12)/C69,0)</f>
        <v>1.3329458265519645</v>
      </c>
      <c r="E70" s="228"/>
      <c r="F70" s="211"/>
      <c r="G70" s="10" t="s">
        <v>77</v>
      </c>
      <c r="H70" s="224"/>
      <c r="I70" s="11">
        <f>IFERROR(I69/H69,0)</f>
        <v>836.30555555555566</v>
      </c>
      <c r="J70" s="227">
        <f>IFERROR((K69/12)/I69,0)</f>
        <v>1.3329458265519645</v>
      </c>
      <c r="K70" s="228"/>
      <c r="L70" s="216"/>
      <c r="M70" s="10" t="s">
        <v>77</v>
      </c>
      <c r="N70" s="224"/>
      <c r="O70" s="11">
        <f>IFERROR(O69/N69,0)</f>
        <v>836.30555555555554</v>
      </c>
      <c r="P70" s="227">
        <f>IFERROR((Q69/12)/O69,0)</f>
        <v>1.3329458265519647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Multifamily-Affordable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Multifamily-Affordable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Multifamily-Affordable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-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-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0</v>
      </c>
      <c r="C89" s="218">
        <f>IFERROR(B89*INDEX(Assumptions!$C$46:$C$47,MATCH(A89,Assumptions!$A$46:$A$47,0)),0)</f>
        <v>0</v>
      </c>
      <c r="D89" s="219">
        <f>IF(C89&gt;0,INDEX(Assumptions!$F$5:$F$6,MATCH(A89,Assumptions!$E$5:$E$6,0)),0)</f>
        <v>0</v>
      </c>
      <c r="E89" s="220">
        <f>C89*D89*12</f>
        <v>0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</row>
    <row r="91" spans="1:24" ht="15" customHeight="1" thickTop="1" thickBot="1">
      <c r="A91" s="12" t="s">
        <v>76</v>
      </c>
      <c r="B91" s="191">
        <f>SUM(B89:B90)</f>
        <v>0</v>
      </c>
      <c r="C91" s="191">
        <f>SUM(C89:C90)</f>
        <v>0</v>
      </c>
      <c r="D91" s="188">
        <f>IF(B91=0,0,E91/B91)</f>
        <v>0</v>
      </c>
      <c r="E91" s="189">
        <f>SUM(E89:E90)</f>
        <v>0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0</v>
      </c>
      <c r="O91" s="191">
        <f>SUM(O89:O90)</f>
        <v>0</v>
      </c>
      <c r="P91" s="188">
        <f>IF(N91=0,0,Q91/N91)</f>
        <v>0</v>
      </c>
      <c r="Q91" s="189">
        <f>SUM(Q89:Q90)</f>
        <v>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27301.1</v>
      </c>
      <c r="C103" s="295">
        <f>IF(B103=0,0,IFERROR((B103/Assumptions!$C$82)-1,0))</f>
        <v>167.5253086419753</v>
      </c>
      <c r="D103" s="334"/>
      <c r="E103" s="187"/>
      <c r="G103" s="341"/>
      <c r="H103" s="335">
        <f>J43</f>
        <v>16205.8</v>
      </c>
      <c r="I103" s="295">
        <f>IF(H103=0,0,IFERROR((H103/Assumptions!$C$82)-1,0))</f>
        <v>99.035802469135803</v>
      </c>
      <c r="J103" s="334"/>
      <c r="K103" s="187"/>
      <c r="M103" s="341"/>
      <c r="N103" s="335">
        <f>P43</f>
        <v>41509.800000000003</v>
      </c>
      <c r="O103" s="295">
        <f>IF(N103=0,0,IFERROR((N103/Assumptions!$C$82)-1,0))</f>
        <v>255.23333333333335</v>
      </c>
      <c r="P103" s="334"/>
      <c r="Q103" s="187"/>
      <c r="S103" s="341"/>
      <c r="T103" s="335">
        <f>V43</f>
        <v>0</v>
      </c>
      <c r="U103" s="295">
        <f>IF(T103=0,0,IFERROR((T103/Assumptions!$C$82)-1,0))</f>
        <v>0</v>
      </c>
      <c r="V103" s="334"/>
      <c r="W103" s="187"/>
    </row>
    <row r="104" spans="1:23" ht="15" customHeight="1" thickTop="1">
      <c r="A104" s="461" t="s">
        <v>79</v>
      </c>
      <c r="B104" s="336">
        <f>B$103*B44</f>
        <v>27301.1</v>
      </c>
      <c r="C104" s="333">
        <f>IF(B104=0,0,IFERROR((B104/Assumptions!$C$82)-1,0))</f>
        <v>167.5253086419753</v>
      </c>
      <c r="D104" s="118">
        <f>Assumptions!$C85</f>
        <v>250</v>
      </c>
      <c r="E104" s="220">
        <f>IF(B$56&gt;0,0,IF(C104&lt;0,0,C104*D104*12))</f>
        <v>502575.92592592596</v>
      </c>
      <c r="G104" s="461" t="s">
        <v>79</v>
      </c>
      <c r="H104" s="336">
        <f>H$103*H44</f>
        <v>16205.8</v>
      </c>
      <c r="I104" s="333">
        <f>IF(H104=0,0,IFERROR((H104/Assumptions!$C$82)-1,0))</f>
        <v>99.035802469135803</v>
      </c>
      <c r="J104" s="118">
        <f>Assumptions!$C85</f>
        <v>250</v>
      </c>
      <c r="K104" s="220">
        <f>IF(H$56&gt;0,0,IF(I104&lt;0,0,I104*J104*12))</f>
        <v>297107.40740740742</v>
      </c>
      <c r="M104" s="461" t="s">
        <v>79</v>
      </c>
      <c r="N104" s="336">
        <f>N$103*N44</f>
        <v>41509.800000000003</v>
      </c>
      <c r="O104" s="333">
        <f>IF(N104=0,0,IFERROR((N104/Assumptions!$C$82)-1,0))</f>
        <v>255.23333333333335</v>
      </c>
      <c r="P104" s="118">
        <f>Assumptions!$C85</f>
        <v>250</v>
      </c>
      <c r="Q104" s="220">
        <f>IF(N$56&gt;0,0,IF(O104&lt;0,0,O104*P104*12))</f>
        <v>765700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Multifamily 6</v>
      </c>
      <c r="D107" s="256"/>
      <c r="E107" s="281"/>
      <c r="F107" s="13"/>
      <c r="G107" s="259" t="s">
        <v>81</v>
      </c>
      <c r="H107" s="260"/>
      <c r="I107" s="256" t="str">
        <f>H34</f>
        <v>Multifamily 7</v>
      </c>
      <c r="J107" s="256"/>
      <c r="K107" s="281"/>
      <c r="L107" s="13"/>
      <c r="M107" s="259" t="s">
        <v>81</v>
      </c>
      <c r="N107" s="260"/>
      <c r="O107" s="256" t="str">
        <f>N34</f>
        <v>Multifamily 8</v>
      </c>
      <c r="P107" s="256"/>
      <c r="Q107" s="281"/>
      <c r="R107" s="13"/>
      <c r="S107" s="259" t="s">
        <v>81</v>
      </c>
      <c r="T107" s="260"/>
      <c r="U107" s="256">
        <f>T34</f>
        <v>0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2760713.4725185186</v>
      </c>
      <c r="F109" s="13"/>
      <c r="G109" s="112" t="s">
        <v>268</v>
      </c>
      <c r="H109" s="113"/>
      <c r="I109" s="114"/>
      <c r="J109" s="262"/>
      <c r="K109" s="14">
        <f>SUM(K53,K69,K85)</f>
        <v>1671688.7937481483</v>
      </c>
      <c r="L109" s="13"/>
      <c r="M109" s="112" t="s">
        <v>268</v>
      </c>
      <c r="N109" s="113"/>
      <c r="O109" s="114"/>
      <c r="P109" s="262"/>
      <c r="Q109" s="14">
        <f>SUM(Q53,Q69,Q85)</f>
        <v>6417222.1623851862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0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0</v>
      </c>
      <c r="R110" s="13"/>
      <c r="S110" s="275" t="s">
        <v>313</v>
      </c>
      <c r="T110" s="113"/>
      <c r="U110" s="114"/>
      <c r="V110" s="277"/>
      <c r="W110" s="276">
        <f>SUM(W91,W96)</f>
        <v>0</v>
      </c>
    </row>
    <row r="111" spans="1:23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2760713.4725185186</v>
      </c>
      <c r="F112" s="13"/>
      <c r="G112" s="284" t="s">
        <v>275</v>
      </c>
      <c r="H112" s="273"/>
      <c r="I112" s="273"/>
      <c r="J112" s="267"/>
      <c r="K112" s="285">
        <f>SUM(K109:K111)</f>
        <v>1671688.7937481483</v>
      </c>
      <c r="L112" s="13"/>
      <c r="M112" s="284" t="s">
        <v>275</v>
      </c>
      <c r="N112" s="273"/>
      <c r="O112" s="273"/>
      <c r="P112" s="267"/>
      <c r="Q112" s="285">
        <f>SUM(Q109:Q111)</f>
        <v>6417222.1623851862</v>
      </c>
      <c r="R112" s="13"/>
      <c r="S112" s="284" t="s">
        <v>275</v>
      </c>
      <c r="T112" s="273"/>
      <c r="U112" s="273"/>
      <c r="V112" s="267"/>
      <c r="W112" s="285">
        <f>SUM(W109:W111)</f>
        <v>0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59"/>
      <c r="C115" s="116"/>
      <c r="D115" s="116"/>
      <c r="E115" s="289">
        <f>E104</f>
        <v>502575.92592592596</v>
      </c>
      <c r="F115" s="13"/>
      <c r="G115" s="288" t="s">
        <v>270</v>
      </c>
      <c r="H115" s="659"/>
      <c r="I115" s="116"/>
      <c r="J115" s="116"/>
      <c r="K115" s="289">
        <f>K104</f>
        <v>297107.40740740742</v>
      </c>
      <c r="L115" s="13"/>
      <c r="M115" s="288" t="s">
        <v>270</v>
      </c>
      <c r="N115" s="659"/>
      <c r="O115" s="116"/>
      <c r="P115" s="116"/>
      <c r="Q115" s="289">
        <f>Q104</f>
        <v>765700</v>
      </c>
      <c r="R115" s="13"/>
      <c r="S115" s="288" t="s">
        <v>270</v>
      </c>
      <c r="T115" s="659"/>
      <c r="U115" s="116"/>
      <c r="V115" s="116"/>
      <c r="W115" s="289">
        <f>W104</f>
        <v>0</v>
      </c>
    </row>
    <row r="116" spans="1:25" ht="12.5">
      <c r="A116" s="288" t="s">
        <v>271</v>
      </c>
      <c r="B116" s="659"/>
      <c r="C116" s="116"/>
      <c r="D116" s="116"/>
      <c r="E116" s="289">
        <f>E105</f>
        <v>0</v>
      </c>
      <c r="F116" s="13"/>
      <c r="G116" s="288" t="s">
        <v>271</v>
      </c>
      <c r="H116" s="659"/>
      <c r="I116" s="116"/>
      <c r="J116" s="116"/>
      <c r="K116" s="289">
        <f>K105</f>
        <v>0</v>
      </c>
      <c r="L116" s="13"/>
      <c r="M116" s="288" t="s">
        <v>271</v>
      </c>
      <c r="N116" s="659"/>
      <c r="O116" s="116"/>
      <c r="P116" s="116"/>
      <c r="Q116" s="289">
        <f>Q105</f>
        <v>0</v>
      </c>
      <c r="R116" s="13"/>
      <c r="S116" s="288" t="s">
        <v>271</v>
      </c>
      <c r="T116" s="659"/>
      <c r="U116" s="116"/>
      <c r="V116" s="116"/>
      <c r="W116" s="289">
        <f>W105</f>
        <v>0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193249.94307629633</v>
      </c>
      <c r="F117" s="13"/>
      <c r="G117" s="288" t="s">
        <v>85</v>
      </c>
      <c r="H117" s="116"/>
      <c r="I117" s="116"/>
      <c r="J117" s="116"/>
      <c r="K117" s="289">
        <f>Assumptions!$H$17*K112</f>
        <v>117018.21556237039</v>
      </c>
      <c r="L117" s="13"/>
      <c r="M117" s="288" t="s">
        <v>85</v>
      </c>
      <c r="N117" s="116"/>
      <c r="O117" s="116"/>
      <c r="P117" s="116"/>
      <c r="Q117" s="289">
        <f>Assumptions!$H$17*Q112</f>
        <v>449205.55136696307</v>
      </c>
      <c r="R117" s="13"/>
      <c r="S117" s="288" t="s">
        <v>85</v>
      </c>
      <c r="T117" s="116"/>
      <c r="U117" s="116"/>
      <c r="V117" s="116"/>
      <c r="W117" s="289">
        <f>Assumptions!$H$17*W112</f>
        <v>0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695825.86900222232</v>
      </c>
      <c r="F118" s="13"/>
      <c r="G118" s="264" t="s">
        <v>86</v>
      </c>
      <c r="H118" s="249"/>
      <c r="I118" s="268"/>
      <c r="J118" s="280"/>
      <c r="K118" s="250">
        <f>SUM(K115:K117)</f>
        <v>414125.62296977779</v>
      </c>
      <c r="L118" s="13"/>
      <c r="M118" s="264" t="s">
        <v>86</v>
      </c>
      <c r="N118" s="249"/>
      <c r="O118" s="268"/>
      <c r="P118" s="280"/>
      <c r="Q118" s="250">
        <f>SUM(Q115:Q117)</f>
        <v>1214905.551366963</v>
      </c>
      <c r="R118" s="13"/>
      <c r="S118" s="264" t="s">
        <v>86</v>
      </c>
      <c r="T118" s="249"/>
      <c r="U118" s="268"/>
      <c r="V118" s="280"/>
      <c r="W118" s="250">
        <f>SUM(W115:W117)</f>
        <v>0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-138035.67362592593</v>
      </c>
      <c r="F119" s="13"/>
      <c r="G119" s="70">
        <v>0.05</v>
      </c>
      <c r="H119" s="251"/>
      <c r="I119" s="269"/>
      <c r="J119" s="279"/>
      <c r="K119" s="258">
        <f>-G119*K112</f>
        <v>-83584.439687407415</v>
      </c>
      <c r="L119" s="13"/>
      <c r="M119" s="70">
        <v>0.05</v>
      </c>
      <c r="N119" s="251"/>
      <c r="O119" s="269"/>
      <c r="P119" s="279"/>
      <c r="Q119" s="258">
        <f>-M119*Q112</f>
        <v>-320861.10811925936</v>
      </c>
      <c r="R119" s="13"/>
      <c r="S119" s="70">
        <v>0.05</v>
      </c>
      <c r="T119" s="251"/>
      <c r="U119" s="269"/>
      <c r="V119" s="279"/>
      <c r="W119" s="258">
        <f>-S119*W112</f>
        <v>0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3318503.6678948146</v>
      </c>
      <c r="F120" s="13"/>
      <c r="G120" s="117" t="s">
        <v>87</v>
      </c>
      <c r="H120" s="15"/>
      <c r="I120" s="270"/>
      <c r="J120" s="278"/>
      <c r="K120" s="271">
        <f>K112+K118+K119</f>
        <v>2002229.9770305187</v>
      </c>
      <c r="L120" s="13"/>
      <c r="M120" s="117" t="s">
        <v>87</v>
      </c>
      <c r="N120" s="15"/>
      <c r="O120" s="270"/>
      <c r="P120" s="278"/>
      <c r="Q120" s="271">
        <f>Q112+Q118+Q119</f>
        <v>7311266.6056328891</v>
      </c>
      <c r="R120" s="13"/>
      <c r="S120" s="117" t="s">
        <v>87</v>
      </c>
      <c r="T120" s="15"/>
      <c r="U120" s="270"/>
      <c r="V120" s="278"/>
      <c r="W120" s="271">
        <f>W112+W118+W119</f>
        <v>0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-828214.04175555555</v>
      </c>
      <c r="F122" s="13"/>
      <c r="G122" s="290" t="s">
        <v>89</v>
      </c>
      <c r="H122" s="274"/>
      <c r="I122" s="17"/>
      <c r="J122" s="17"/>
      <c r="K122" s="291">
        <f>-0.3*K112</f>
        <v>-501506.63812444446</v>
      </c>
      <c r="L122" s="13"/>
      <c r="M122" s="290" t="s">
        <v>89</v>
      </c>
      <c r="N122" s="274"/>
      <c r="O122" s="17"/>
      <c r="P122" s="17"/>
      <c r="Q122" s="291">
        <f>-0.3*Q112</f>
        <v>-1925166.6487155557</v>
      </c>
      <c r="R122" s="13"/>
      <c r="S122" s="290" t="s">
        <v>89</v>
      </c>
      <c r="T122" s="274"/>
      <c r="U122" s="17"/>
      <c r="V122" s="17"/>
      <c r="W122" s="291">
        <f>-0.3*W112</f>
        <v>0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2490289.626139259</v>
      </c>
      <c r="F123" s="13"/>
      <c r="G123" s="292" t="s">
        <v>90</v>
      </c>
      <c r="H123" s="261"/>
      <c r="I123" s="261"/>
      <c r="J123" s="261"/>
      <c r="K123" s="293">
        <f>K120+K122</f>
        <v>1500723.3389060742</v>
      </c>
      <c r="L123" s="13"/>
      <c r="M123" s="292" t="s">
        <v>90</v>
      </c>
      <c r="N123" s="261"/>
      <c r="O123" s="261"/>
      <c r="P123" s="261"/>
      <c r="Q123" s="293">
        <f>Q120+Q122</f>
        <v>5386099.9569173334</v>
      </c>
      <c r="R123" s="13"/>
      <c r="S123" s="292" t="s">
        <v>90</v>
      </c>
      <c r="T123" s="261"/>
      <c r="U123" s="261"/>
      <c r="V123" s="261"/>
      <c r="W123" s="293">
        <f>W120+W122</f>
        <v>0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Multifamily 6</v>
      </c>
      <c r="D125" s="256"/>
      <c r="E125" s="281"/>
      <c r="F125" s="13"/>
      <c r="G125" s="259" t="s">
        <v>355</v>
      </c>
      <c r="H125" s="260"/>
      <c r="I125" s="256" t="str">
        <f>H34</f>
        <v>Multifamily 7</v>
      </c>
      <c r="J125" s="256"/>
      <c r="K125" s="281"/>
      <c r="L125" s="13"/>
      <c r="M125" s="259" t="s">
        <v>355</v>
      </c>
      <c r="N125" s="260"/>
      <c r="O125" s="256" t="str">
        <f>N34</f>
        <v>Multifamily 8</v>
      </c>
      <c r="P125" s="256"/>
      <c r="Q125" s="281"/>
      <c r="R125" s="13"/>
      <c r="S125" s="259" t="s">
        <v>355</v>
      </c>
      <c r="T125" s="260"/>
      <c r="U125" s="256">
        <f>T34</f>
        <v>0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Assumptions!H6</f>
        <v>8.5000000000000006E-2</v>
      </c>
      <c r="D130" s="521" t="s">
        <v>356</v>
      </c>
      <c r="E130" s="346">
        <f>E123/C130</f>
        <v>29297525.013403043</v>
      </c>
      <c r="F130" s="13"/>
      <c r="G130" s="522" t="s">
        <v>317</v>
      </c>
      <c r="H130" s="523" t="s">
        <v>91</v>
      </c>
      <c r="I130" s="524">
        <f>Assumptions!H6</f>
        <v>8.5000000000000006E-2</v>
      </c>
      <c r="J130" s="521" t="s">
        <v>356</v>
      </c>
      <c r="K130" s="346">
        <f>K123/I130</f>
        <v>17655568.693012636</v>
      </c>
      <c r="L130" s="13"/>
      <c r="M130" s="522" t="s">
        <v>317</v>
      </c>
      <c r="N130" s="523" t="s">
        <v>91</v>
      </c>
      <c r="O130" s="524">
        <f>Assumptions!H6</f>
        <v>8.5000000000000006E-2</v>
      </c>
      <c r="P130" s="521" t="s">
        <v>356</v>
      </c>
      <c r="Q130" s="346">
        <f>Q123/O130</f>
        <v>63365881.846086271</v>
      </c>
      <c r="R130" s="13"/>
      <c r="S130" s="522" t="s">
        <v>317</v>
      </c>
      <c r="T130" s="523" t="s">
        <v>91</v>
      </c>
      <c r="U130" s="524">
        <v>0.06</v>
      </c>
      <c r="V130" s="521" t="s">
        <v>356</v>
      </c>
      <c r="W130" s="346">
        <f>W123/U130</f>
        <v>0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Assumptions!$F$12</f>
        <v>330</v>
      </c>
      <c r="C133" s="395">
        <f>B133*D34</f>
        <v>59452173</v>
      </c>
      <c r="F133" s="13"/>
      <c r="G133" s="88" t="s">
        <v>94</v>
      </c>
      <c r="H133" s="531">
        <f>Assumptions!$F$13</f>
        <v>300</v>
      </c>
      <c r="I133" s="395">
        <f>H133*J34</f>
        <v>32627940</v>
      </c>
      <c r="L133" s="13"/>
      <c r="M133" s="88" t="s">
        <v>94</v>
      </c>
      <c r="N133" s="531">
        <f>Assumptions!$F$13</f>
        <v>300</v>
      </c>
      <c r="O133" s="395">
        <f>N133*P34</f>
        <v>118491030</v>
      </c>
      <c r="R133" s="13"/>
      <c r="S133" s="88" t="s">
        <v>94</v>
      </c>
      <c r="T133" s="531">
        <f>Assumptions!$F$13</f>
        <v>300</v>
      </c>
      <c r="U133" s="395">
        <f>T133*V34</f>
        <v>0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5945217.3000000007</v>
      </c>
      <c r="E134" s="211"/>
      <c r="G134" s="19" t="s">
        <v>34</v>
      </c>
      <c r="H134" s="624">
        <f>Assumptions!$F$22</f>
        <v>0.1</v>
      </c>
      <c r="I134" s="532">
        <f>H134*I133</f>
        <v>3262794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11849103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0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3269869.5150000001</v>
      </c>
      <c r="D138" s="603"/>
      <c r="G138" s="19" t="s">
        <v>36</v>
      </c>
      <c r="H138" s="626">
        <f>Assumptions!$F$23</f>
        <v>0.05</v>
      </c>
      <c r="I138" s="398">
        <f>H138*(I$133+I$134)</f>
        <v>1794536.7000000002</v>
      </c>
      <c r="M138" s="19" t="s">
        <v>36</v>
      </c>
      <c r="N138" s="626">
        <f>Assumptions!$F$23</f>
        <v>0.05</v>
      </c>
      <c r="O138" s="398">
        <f>N138*(O$133+O$134)</f>
        <v>6517006.6500000004</v>
      </c>
      <c r="S138" s="19" t="s">
        <v>95</v>
      </c>
      <c r="T138" s="626">
        <f>Assumptions!$F$23</f>
        <v>0.05</v>
      </c>
      <c r="U138" s="398">
        <f>T138*(U$133+U$134)</f>
        <v>0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1307947.8059999999</v>
      </c>
      <c r="G139" s="397" t="s">
        <v>41</v>
      </c>
      <c r="H139" s="626">
        <f>Assumptions!$F$25</f>
        <v>0.02</v>
      </c>
      <c r="I139" s="398">
        <f>H139*(I$133+I$134)</f>
        <v>717814.68</v>
      </c>
      <c r="M139" s="397" t="s">
        <v>41</v>
      </c>
      <c r="N139" s="626">
        <f>Assumptions!$F$25</f>
        <v>0.02</v>
      </c>
      <c r="O139" s="398">
        <f>N139*(O$133+O$134)</f>
        <v>2606802.66</v>
      </c>
      <c r="S139" s="397" t="s">
        <v>41</v>
      </c>
      <c r="T139" s="626">
        <f>Assumptions!$F$25</f>
        <v>0.02</v>
      </c>
      <c r="U139" s="398">
        <f>T139*(U$133+U$134)</f>
        <v>0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2615895.6119999997</v>
      </c>
      <c r="G141" s="397" t="s">
        <v>45</v>
      </c>
      <c r="H141" s="626">
        <f>Assumptions!$F$27</f>
        <v>0.04</v>
      </c>
      <c r="I141" s="398">
        <f>H141*(I$133+I$134)</f>
        <v>1435629.36</v>
      </c>
      <c r="M141" s="397" t="s">
        <v>45</v>
      </c>
      <c r="N141" s="626">
        <f>Assumptions!$F$27</f>
        <v>0.04</v>
      </c>
      <c r="O141" s="398">
        <f>N141*(O$133+O$134)</f>
        <v>5213605.32</v>
      </c>
      <c r="S141" s="397" t="s">
        <v>45</v>
      </c>
      <c r="T141" s="626">
        <f>Assumptions!$F$27</f>
        <v>0.04</v>
      </c>
      <c r="U141" s="398">
        <f>T141*(U$133+U$134)</f>
        <v>0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1961921.7089999998</v>
      </c>
      <c r="G142" s="397" t="s">
        <v>47</v>
      </c>
      <c r="H142" s="626">
        <f>Assumptions!$F$28</f>
        <v>0.03</v>
      </c>
      <c r="I142" s="398">
        <f>H142*(I$133+I$134)</f>
        <v>1076722.02</v>
      </c>
      <c r="M142" s="397" t="s">
        <v>47</v>
      </c>
      <c r="N142" s="626">
        <f>Assumptions!$F$28</f>
        <v>0.03</v>
      </c>
      <c r="O142" s="398">
        <f>N142*(O$133+O$134)</f>
        <v>3910203.9899999998</v>
      </c>
      <c r="S142" s="397" t="s">
        <v>47</v>
      </c>
      <c r="T142" s="626">
        <f>Assumptions!$F$28</f>
        <v>0.03</v>
      </c>
      <c r="U142" s="398">
        <f>T142*(U$133+U$134)</f>
        <v>0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3269869.5150000001</v>
      </c>
      <c r="G143" s="397" t="s">
        <v>48</v>
      </c>
      <c r="H143" s="626">
        <f>Assumptions!$F$29</f>
        <v>0.05</v>
      </c>
      <c r="I143" s="398">
        <f>H143*(I$133+I$134)</f>
        <v>1794536.7000000002</v>
      </c>
      <c r="M143" s="397" t="s">
        <v>48</v>
      </c>
      <c r="N143" s="626">
        <f>Assumptions!$F$29</f>
        <v>0.05</v>
      </c>
      <c r="O143" s="398">
        <f>N143*(O$133+O$134)</f>
        <v>6517006.6500000004</v>
      </c>
      <c r="S143" s="397" t="s">
        <v>48</v>
      </c>
      <c r="T143" s="626">
        <f>Assumptions!$F$29</f>
        <v>0.05</v>
      </c>
      <c r="U143" s="398">
        <f>T143*(U$133+U$134)</f>
        <v>0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395516.5876809411</v>
      </c>
      <c r="G144" s="397" t="s">
        <v>96</v>
      </c>
      <c r="H144" s="627">
        <f>Assumptions!$F$30*Assumptions!$F$31</f>
        <v>1.35E-2</v>
      </c>
      <c r="I144" s="398">
        <f>H144*K130</f>
        <v>238350.17735567057</v>
      </c>
      <c r="M144" s="397" t="s">
        <v>96</v>
      </c>
      <c r="N144" s="627">
        <f>Assumptions!$F$30*Assumptions!$F$31</f>
        <v>1.35E-2</v>
      </c>
      <c r="O144" s="398">
        <f>N144*Q130</f>
        <v>855439.40492216463</v>
      </c>
      <c r="S144" s="397" t="s">
        <v>96</v>
      </c>
      <c r="T144" s="627">
        <f>Assumptions!$F$30*Assumptions!$F$31</f>
        <v>1.35E-2</v>
      </c>
      <c r="U144" s="398">
        <f>T144*W130</f>
        <v>0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980960.8544999999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538361.01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1955101.9949999999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0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414107.02087777783</v>
      </c>
      <c r="G147" s="397" t="s">
        <v>54</v>
      </c>
      <c r="H147" s="628">
        <v>6</v>
      </c>
      <c r="I147" s="398">
        <f>-H147*(K122/12)</f>
        <v>250753.31906222226</v>
      </c>
      <c r="M147" s="397" t="s">
        <v>54</v>
      </c>
      <c r="N147" s="628">
        <v>6</v>
      </c>
      <c r="O147" s="398">
        <f>-N147*(Q122/12)</f>
        <v>962583.32435777783</v>
      </c>
      <c r="S147" s="397" t="s">
        <v>54</v>
      </c>
      <c r="T147" s="628">
        <v>6</v>
      </c>
      <c r="U147" s="398">
        <f>-T147*(W122/12)</f>
        <v>0</v>
      </c>
    </row>
    <row r="148" spans="1:23" ht="13">
      <c r="A148" s="397" t="s">
        <v>55</v>
      </c>
      <c r="B148" s="629">
        <v>70</v>
      </c>
      <c r="C148" s="398">
        <f>B148*SUM(C91,C96)</f>
        <v>0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0</v>
      </c>
      <c r="S148" s="397" t="s">
        <v>55</v>
      </c>
      <c r="T148" s="629">
        <v>100</v>
      </c>
      <c r="U148" s="398">
        <f>T148*SUM(U91,U96)</f>
        <v>0</v>
      </c>
    </row>
    <row r="149" spans="1:23" ht="13">
      <c r="A149" s="397" t="s">
        <v>316</v>
      </c>
      <c r="B149" s="630">
        <v>0.05</v>
      </c>
      <c r="C149" s="399">
        <f>B149*SUM(E91,E96)</f>
        <v>0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0</v>
      </c>
      <c r="S149" s="397" t="s">
        <v>316</v>
      </c>
      <c r="T149" s="630">
        <v>0.05</v>
      </c>
      <c r="U149" s="399">
        <f>T149*SUM(W91,W96)</f>
        <v>0</v>
      </c>
    </row>
    <row r="150" spans="1:23" ht="13">
      <c r="A150" s="397" t="s">
        <v>57</v>
      </c>
      <c r="B150" s="631">
        <v>1.4999999999999999E-2</v>
      </c>
      <c r="C150" s="399">
        <v>775500.50888079009</v>
      </c>
      <c r="D150" s="635"/>
      <c r="G150" s="397" t="s">
        <v>57</v>
      </c>
      <c r="H150" s="631">
        <v>1.4999999999999999E-2</v>
      </c>
      <c r="I150" s="399">
        <v>429735.00438594545</v>
      </c>
      <c r="J150" s="635"/>
      <c r="M150" s="397" t="s">
        <v>57</v>
      </c>
      <c r="N150" s="631">
        <v>1.4999999999999999E-2</v>
      </c>
      <c r="O150" s="399">
        <v>1531451.0111218342</v>
      </c>
      <c r="P150" s="635"/>
      <c r="S150" s="397" t="s">
        <v>57</v>
      </c>
      <c r="T150" s="631">
        <v>1.4999999999999999E-2</v>
      </c>
      <c r="U150" s="399">
        <f ca="1">T150*T162</f>
        <v>0</v>
      </c>
      <c r="V150" s="635"/>
    </row>
    <row r="151" spans="1:23" ht="13">
      <c r="A151" s="536" t="s">
        <v>58</v>
      </c>
      <c r="B151" s="632">
        <v>7.0000000000000007E-2</v>
      </c>
      <c r="C151" s="622">
        <v>3619002.3747770214</v>
      </c>
      <c r="D151" s="635"/>
      <c r="G151" s="536" t="s">
        <v>58</v>
      </c>
      <c r="H151" s="632">
        <v>7.0000000000000007E-2</v>
      </c>
      <c r="I151" s="622">
        <v>2005430.0204677456</v>
      </c>
      <c r="J151" s="635"/>
      <c r="M151" s="536" t="s">
        <v>58</v>
      </c>
      <c r="N151" s="632">
        <v>7.0000000000000007E-2</v>
      </c>
      <c r="O151" s="622">
        <v>7146771.3852352267</v>
      </c>
      <c r="P151" s="635"/>
      <c r="S151" s="536" t="s">
        <v>58</v>
      </c>
      <c r="T151" s="632">
        <v>7.0000000000000007E-2</v>
      </c>
      <c r="U151" s="622">
        <f ca="1">T151*T162</f>
        <v>0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1358741.4052601573</v>
      </c>
      <c r="D152" s="634"/>
      <c r="G152" s="105" t="s">
        <v>97</v>
      </c>
      <c r="H152" s="633">
        <f>7%</f>
        <v>7.0000000000000007E-2</v>
      </c>
      <c r="I152" s="399">
        <f>H152*SUM(I138:I151)</f>
        <v>775730.82938901091</v>
      </c>
      <c r="J152" s="223"/>
      <c r="M152" s="105" t="s">
        <v>97</v>
      </c>
      <c r="N152" s="633">
        <f>7%</f>
        <v>7.0000000000000007E-2</v>
      </c>
      <c r="O152" s="399">
        <f>N152*SUM(O138:O151)</f>
        <v>2605118.067344591</v>
      </c>
      <c r="S152" s="105" t="s">
        <v>97</v>
      </c>
      <c r="T152" s="633">
        <f>7%</f>
        <v>7.0000000000000007E-2</v>
      </c>
      <c r="U152" s="399">
        <f ca="1">T152*SUM(U138:U151)</f>
        <v>0</v>
      </c>
    </row>
    <row r="153" spans="1:23" ht="14" thickTop="1" thickBot="1">
      <c r="A153" s="538" t="s">
        <v>98</v>
      </c>
      <c r="B153" s="539"/>
      <c r="C153" s="540">
        <f>SUM(C133:C152)</f>
        <v>86166723.208976686</v>
      </c>
      <c r="G153" s="538" t="s">
        <v>98</v>
      </c>
      <c r="H153" s="539"/>
      <c r="I153" s="540">
        <f>SUM(I133:I152)</f>
        <v>47748333.820660606</v>
      </c>
      <c r="M153" s="538" t="s">
        <v>98</v>
      </c>
      <c r="N153" s="539"/>
      <c r="O153" s="540">
        <f>SUM(O133:O152)</f>
        <v>170161223.45798159</v>
      </c>
      <c r="S153" s="538" t="s">
        <v>98</v>
      </c>
      <c r="T153" s="539"/>
      <c r="U153" s="540">
        <f ca="1">SUM(U133:U152)</f>
        <v>0</v>
      </c>
    </row>
    <row r="154" spans="1:23" ht="13">
      <c r="A154" s="537" t="s">
        <v>99</v>
      </c>
      <c r="B154" s="401">
        <f>E123/C153</f>
        <v>2.8900827760383319E-2</v>
      </c>
      <c r="C154" s="535"/>
      <c r="G154" s="537" t="s">
        <v>99</v>
      </c>
      <c r="H154" s="401">
        <f>K123/I153</f>
        <v>3.1429857731637E-2</v>
      </c>
      <c r="I154" s="535"/>
      <c r="M154" s="537" t="s">
        <v>99</v>
      </c>
      <c r="N154" s="401">
        <f>Q123/O153</f>
        <v>3.1652922137383077E-2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>((E130+E131)/C153)-1</f>
        <v>-0.65999026164254926</v>
      </c>
      <c r="C155" s="535"/>
      <c r="G155" s="400" t="s">
        <v>100</v>
      </c>
      <c r="H155" s="401">
        <f>((K130+K131)/I153)-1</f>
        <v>-0.63023696786309413</v>
      </c>
      <c r="I155" s="535"/>
      <c r="M155" s="400" t="s">
        <v>100</v>
      </c>
      <c r="N155" s="401">
        <f>((Q130+Q131)/O153)-1</f>
        <v>-0.62761268073666976</v>
      </c>
      <c r="O155" s="535"/>
      <c r="S155" s="400" t="s">
        <v>100</v>
      </c>
      <c r="T155" s="401" t="e">
        <f ca="1">((W130+W131)/U153)-1</f>
        <v>#DIV/0!</v>
      </c>
      <c r="U155" s="535"/>
    </row>
    <row r="156" spans="1:23" ht="13.5" thickBot="1">
      <c r="A156" s="119">
        <v>0.3</v>
      </c>
      <c r="B156" s="120">
        <f>((E130+E131)/(1+A156))</f>
        <v>22536557.702617723</v>
      </c>
      <c r="C156" s="535"/>
      <c r="G156" s="119">
        <v>0.3</v>
      </c>
      <c r="H156" s="120">
        <f>((K130+K131)/(1+G156))</f>
        <v>13581206.686932797</v>
      </c>
      <c r="I156" s="535"/>
      <c r="M156" s="119">
        <v>0.3</v>
      </c>
      <c r="N156" s="120">
        <f>((Q130+Q131)/(1+M156))</f>
        <v>48742986.035450973</v>
      </c>
      <c r="O156" s="535"/>
      <c r="S156" s="119">
        <v>0.3</v>
      </c>
      <c r="T156" s="120">
        <f>((W130+W131)/(1+S156))</f>
        <v>0</v>
      </c>
      <c r="U156" s="535"/>
    </row>
    <row r="157" spans="1:23" ht="13.5" thickBot="1">
      <c r="A157" s="402">
        <v>0.3</v>
      </c>
      <c r="B157" s="120">
        <f>ROUND(((E130+E131)/(1+A157))-C153,0)</f>
        <v>-63630166</v>
      </c>
      <c r="C157" s="535"/>
      <c r="G157" s="402">
        <v>0.3</v>
      </c>
      <c r="H157" s="120">
        <f>ROUND(((K130+K131)/(1+G157))-I153,0)</f>
        <v>-34167127</v>
      </c>
      <c r="I157" s="535"/>
      <c r="M157" s="402">
        <v>0.3</v>
      </c>
      <c r="N157" s="120">
        <f>ROUND(((Q130+Q131)/(1+M157))-O153,0)</f>
        <v>-121418237</v>
      </c>
      <c r="O157" s="535"/>
      <c r="S157" s="402">
        <v>0.3</v>
      </c>
      <c r="T157" s="120">
        <f ca="1">ROUND(((W130+W131)/(1+S157))-U153,0)</f>
        <v>0</v>
      </c>
      <c r="U157" s="535"/>
    </row>
    <row r="158" spans="1:23" ht="13.5" thickBot="1">
      <c r="A158" s="644" t="s">
        <v>265</v>
      </c>
      <c r="B158" s="645"/>
      <c r="C158" s="646" t="str">
        <f>B34</f>
        <v>Multifamily 6</v>
      </c>
      <c r="G158" s="644" t="s">
        <v>101</v>
      </c>
      <c r="H158" s="645"/>
      <c r="I158" s="646" t="str">
        <f>H34</f>
        <v>Multifamily 7</v>
      </c>
      <c r="M158" s="660" t="s">
        <v>101</v>
      </c>
      <c r="N158" s="661"/>
      <c r="O158" s="121" t="str">
        <f>N34</f>
        <v>Multifamily 8</v>
      </c>
      <c r="S158" s="644" t="s">
        <v>101</v>
      </c>
      <c r="T158" s="645"/>
      <c r="U158" s="646">
        <f>T34</f>
        <v>0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-63630166</v>
      </c>
      <c r="C160" s="648">
        <f>IFERROR(B160/#REF!,0)</f>
        <v>0</v>
      </c>
      <c r="G160" s="647" t="s">
        <v>103</v>
      </c>
      <c r="H160" s="91">
        <f>IF(H157&lt;0,H157,0)</f>
        <v>-34167127</v>
      </c>
      <c r="I160" s="648">
        <f>IFERROR(H160/#REF!,0)</f>
        <v>0</v>
      </c>
      <c r="M160" s="24" t="s">
        <v>103</v>
      </c>
      <c r="N160" s="91">
        <f>IF(N157&lt;0,N157,0)</f>
        <v>-121418237</v>
      </c>
      <c r="O160" s="125">
        <f>IFERROR(N160/#REF!,0)</f>
        <v>0</v>
      </c>
      <c r="S160" s="647" t="s">
        <v>103</v>
      </c>
      <c r="T160" s="91">
        <f ca="1">IF(T157&lt;0,T157,0)</f>
        <v>0</v>
      </c>
      <c r="U160" s="648">
        <f ca="1">IFERROR(T160/#REF!,0)</f>
        <v>0</v>
      </c>
    </row>
    <row r="161" spans="1:23" ht="13">
      <c r="A161" s="647" t="s">
        <v>104</v>
      </c>
      <c r="B161" s="91">
        <f>C153+B160</f>
        <v>22536557.208976686</v>
      </c>
      <c r="C161" s="648">
        <f>IFERROR(B161/#REF!,0)</f>
        <v>0</v>
      </c>
      <c r="G161" s="647" t="s">
        <v>104</v>
      </c>
      <c r="H161" s="91">
        <f>I153+H160</f>
        <v>13581206.820660606</v>
      </c>
      <c r="I161" s="648">
        <f>IFERROR(H161/#REF!,0)</f>
        <v>0</v>
      </c>
      <c r="M161" s="25" t="s">
        <v>104</v>
      </c>
      <c r="N161" s="91">
        <f>O153+N160</f>
        <v>48742986.457981586</v>
      </c>
      <c r="O161" s="125">
        <f>IFERROR(N161/#REF!,0)</f>
        <v>0</v>
      </c>
      <c r="S161" s="647" t="s">
        <v>104</v>
      </c>
      <c r="T161" s="91">
        <f ca="1">U153+T160</f>
        <v>0</v>
      </c>
      <c r="U161" s="648">
        <f ca="1"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43083361.604488343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23874166.910330303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>M162*O$153</f>
        <v>85080611.728990793</v>
      </c>
      <c r="O162" s="125">
        <f>IFERROR(N162/#REF!,0)</f>
        <v>0</v>
      </c>
      <c r="P162" s="21"/>
      <c r="Q162" s="347"/>
      <c r="R162" s="347"/>
      <c r="S162" s="126">
        <f>Assumptions!$H$14</f>
        <v>0.5</v>
      </c>
      <c r="T162" s="92">
        <f ca="1">S162*U$153</f>
        <v>0</v>
      </c>
      <c r="U162" s="648">
        <f ca="1"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43083361.604488343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23874166.910330303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>M163*O$153</f>
        <v>85080611.728990793</v>
      </c>
      <c r="O163" s="241">
        <f>IFERROR(N163/#REF!,0)</f>
        <v>0</v>
      </c>
      <c r="P163" s="5"/>
      <c r="Q163" s="347"/>
      <c r="R163" s="347"/>
      <c r="S163" s="127">
        <f>1-S162</f>
        <v>0.5</v>
      </c>
      <c r="T163" s="240">
        <f ca="1">S163*U$153</f>
        <v>0</v>
      </c>
      <c r="U163" s="649">
        <f ca="1"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86166723.208976686</v>
      </c>
      <c r="C164" s="652">
        <f>ROUND((C163+C162),-3)</f>
        <v>0</v>
      </c>
      <c r="D164" s="23"/>
      <c r="G164" s="650" t="s">
        <v>105</v>
      </c>
      <c r="H164" s="651">
        <f>H162+H163</f>
        <v>47748333.820660606</v>
      </c>
      <c r="I164" s="652">
        <f>ROUND((I163+I162),-3)</f>
        <v>0</v>
      </c>
      <c r="J164" s="23"/>
      <c r="M164" s="54" t="s">
        <v>105</v>
      </c>
      <c r="N164" s="128">
        <f>N162+N163</f>
        <v>170161223.45798159</v>
      </c>
      <c r="O164" s="93">
        <f>ROUND((O163+O162),-3)</f>
        <v>0</v>
      </c>
      <c r="P164" s="23"/>
      <c r="S164" s="650" t="s">
        <v>105</v>
      </c>
      <c r="T164" s="651">
        <f ca="1">T162+T163</f>
        <v>0</v>
      </c>
      <c r="U164" s="652">
        <f ca="1"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152" priority="19">
      <formula>C53&gt;D46</formula>
    </cfRule>
  </conditionalFormatting>
  <conditionalFormatting sqref="C63">
    <cfRule type="expression" dxfId="151" priority="18">
      <formula>C69&gt;D62</formula>
    </cfRule>
  </conditionalFormatting>
  <conditionalFormatting sqref="C79">
    <cfRule type="expression" dxfId="150" priority="17">
      <formula>C85&gt;D78</formula>
    </cfRule>
  </conditionalFormatting>
  <conditionalFormatting sqref="I79">
    <cfRule type="expression" dxfId="149" priority="12">
      <formula>I85&gt;J78</formula>
    </cfRule>
  </conditionalFormatting>
  <conditionalFormatting sqref="C56">
    <cfRule type="expression" dxfId="148" priority="20">
      <formula>C60&gt;D55</formula>
    </cfRule>
  </conditionalFormatting>
  <conditionalFormatting sqref="I47">
    <cfRule type="expression" dxfId="147" priority="14">
      <formula>I53&gt;J46</formula>
    </cfRule>
  </conditionalFormatting>
  <conditionalFormatting sqref="I63">
    <cfRule type="expression" dxfId="146" priority="13">
      <formula>I69&gt;J62</formula>
    </cfRule>
  </conditionalFormatting>
  <conditionalFormatting sqref="I56">
    <cfRule type="expression" dxfId="145" priority="15">
      <formula>I60&gt;J55</formula>
    </cfRule>
  </conditionalFormatting>
  <conditionalFormatting sqref="C72">
    <cfRule type="expression" dxfId="144" priority="16">
      <formula>C76&gt;D71</formula>
    </cfRule>
  </conditionalFormatting>
  <conditionalFormatting sqref="I72">
    <cfRule type="expression" dxfId="143" priority="11">
      <formula>I76&gt;J71</formula>
    </cfRule>
  </conditionalFormatting>
  <conditionalFormatting sqref="O47">
    <cfRule type="expression" dxfId="142" priority="9">
      <formula>O53&gt;P46</formula>
    </cfRule>
  </conditionalFormatting>
  <conditionalFormatting sqref="O63">
    <cfRule type="expression" dxfId="141" priority="8">
      <formula>O69&gt;P62</formula>
    </cfRule>
  </conditionalFormatting>
  <conditionalFormatting sqref="O79">
    <cfRule type="expression" dxfId="140" priority="7">
      <formula>O85&gt;P78</formula>
    </cfRule>
  </conditionalFormatting>
  <conditionalFormatting sqref="O56">
    <cfRule type="expression" dxfId="139" priority="10">
      <formula>O60&gt;P55</formula>
    </cfRule>
  </conditionalFormatting>
  <conditionalFormatting sqref="O72">
    <cfRule type="expression" dxfId="138" priority="6">
      <formula>O76&gt;P71</formula>
    </cfRule>
  </conditionalFormatting>
  <conditionalFormatting sqref="U47">
    <cfRule type="expression" dxfId="137" priority="4">
      <formula>U53&gt;V46</formula>
    </cfRule>
  </conditionalFormatting>
  <conditionalFormatting sqref="U63">
    <cfRule type="expression" dxfId="136" priority="3">
      <formula>U69&gt;V62</formula>
    </cfRule>
  </conditionalFormatting>
  <conditionalFormatting sqref="U79">
    <cfRule type="expression" dxfId="135" priority="2">
      <formula>U85&gt;V78</formula>
    </cfRule>
  </conditionalFormatting>
  <conditionalFormatting sqref="U56">
    <cfRule type="expression" dxfId="134" priority="5">
      <formula>U60&gt;V55</formula>
    </cfRule>
  </conditionalFormatting>
  <conditionalFormatting sqref="U72">
    <cfRule type="expression" dxfId="133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74B0BD-41B1-4E73-B399-A805EA40227F}">
  <sheetPr>
    <tabColor rgb="FF0070C0"/>
  </sheetPr>
  <dimension ref="A1:BX608"/>
  <sheetViews>
    <sheetView zoomScale="85" zoomScaleNormal="85" zoomScalePageLayoutView="125" workbookViewId="0">
      <pane xSplit="1" ySplit="3" topLeftCell="B16" activePane="bottomRight" state="frozen"/>
      <selection activeCell="E44" sqref="E44"/>
      <selection pane="topRight" activeCell="E44" sqref="E44"/>
      <selection pane="bottomLeft" activeCell="E44" sqref="E44"/>
      <selection pane="bottomRight" activeCell="B49" sqref="B49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hidden="1" customWidth="1"/>
    <col min="4" max="4" width="19.54296875" style="5" hidden="1" customWidth="1"/>
    <col min="5" max="6" width="17.6328125" style="5" hidden="1" customWidth="1"/>
    <col min="7" max="7" width="17.6328125" style="55" hidden="1" customWidth="1"/>
    <col min="8" max="15" width="17.6328125" style="5" hidden="1" customWidth="1"/>
    <col min="16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201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10/1/28 to 12/31/29</v>
      </c>
      <c r="D2" s="518" t="str">
        <f>INDEX('Development Program'!$B$62:$H$71,MATCH($A$1,'Development Program'!$B$62:$B$71,0),MATCH(D1,'Development Program'!$B$62:$H$62,0))</f>
        <v>1/1/30 to 3/31/32</v>
      </c>
      <c r="E2" s="518" t="str">
        <f>INDEX('Development Program'!$B$62:$H$71,MATCH($A$1,'Development Program'!$B$62:$B$71,0),MATCH(E1,'Development Program'!$B$62:$H$62,0))</f>
        <v>4/1/32 to 9/30/32</v>
      </c>
      <c r="G2" s="5"/>
      <c r="P2" s="101" t="s">
        <v>421</v>
      </c>
      <c r="T2" s="601" t="s">
        <v>121</v>
      </c>
      <c r="U2" s="601" t="s">
        <v>122</v>
      </c>
      <c r="W2" s="99"/>
      <c r="AC2" s="601" t="s">
        <v>123</v>
      </c>
      <c r="AD2" s="601" t="s">
        <v>124</v>
      </c>
      <c r="AE2" s="601" t="s">
        <v>125</v>
      </c>
      <c r="AF2" s="99"/>
      <c r="AG2" s="99"/>
      <c r="AH2" s="99"/>
      <c r="AI2" s="99"/>
      <c r="AJ2" s="99"/>
      <c r="AK2" s="99"/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U3" si="0">EOMONTH(D3,3)</f>
        <v>46142</v>
      </c>
      <c r="F3" s="602">
        <f t="shared" si="0"/>
        <v>46234</v>
      </c>
      <c r="G3" s="102">
        <f t="shared" si="0"/>
        <v>46326</v>
      </c>
      <c r="H3" s="102">
        <v>46387</v>
      </c>
      <c r="I3" s="602">
        <v>46388</v>
      </c>
      <c r="J3" s="602">
        <f t="shared" si="0"/>
        <v>46507</v>
      </c>
      <c r="K3" s="102">
        <f t="shared" si="0"/>
        <v>46599</v>
      </c>
      <c r="L3" s="102">
        <f t="shared" si="0"/>
        <v>46691</v>
      </c>
      <c r="M3" s="102">
        <f t="shared" si="0"/>
        <v>46783</v>
      </c>
      <c r="N3" s="102">
        <f t="shared" si="0"/>
        <v>46873</v>
      </c>
      <c r="O3" s="602">
        <f t="shared" si="0"/>
        <v>46965</v>
      </c>
      <c r="P3" s="602">
        <f t="shared" si="0"/>
        <v>47057</v>
      </c>
      <c r="Q3" s="602">
        <f t="shared" si="0"/>
        <v>47149</v>
      </c>
      <c r="R3" s="102">
        <f t="shared" si="0"/>
        <v>47238</v>
      </c>
      <c r="S3" s="102">
        <f t="shared" si="0"/>
        <v>47330</v>
      </c>
      <c r="T3" s="102">
        <f t="shared" si="0"/>
        <v>47422</v>
      </c>
      <c r="U3" s="102">
        <f t="shared" si="0"/>
        <v>47514</v>
      </c>
      <c r="V3" s="102">
        <f t="shared" ref="V3" si="1">EOMONTH(U3,3)</f>
        <v>47603</v>
      </c>
      <c r="W3" s="102">
        <f t="shared" ref="W3" si="2">EOMONTH(V3,3)</f>
        <v>47695</v>
      </c>
      <c r="X3" s="102">
        <f t="shared" ref="X3" si="3">EOMONTH(W3,3)</f>
        <v>47787</v>
      </c>
      <c r="Y3" s="102">
        <f t="shared" ref="Y3" si="4">EOMONTH(X3,3)</f>
        <v>47879</v>
      </c>
      <c r="Z3" s="102">
        <f t="shared" ref="Z3" si="5">EOMONTH(Y3,3)</f>
        <v>47968</v>
      </c>
      <c r="AA3" s="102">
        <f t="shared" ref="AA3" si="6">EOMONTH(Z3,3)</f>
        <v>48060</v>
      </c>
      <c r="AB3" s="102">
        <f t="shared" ref="AB3" si="7">EOMONTH(AA3,3)</f>
        <v>48152</v>
      </c>
      <c r="AC3" s="102">
        <f t="shared" ref="AC3" si="8">EOMONTH(AB3,3)</f>
        <v>48244</v>
      </c>
      <c r="AD3" s="102">
        <f t="shared" ref="AD3" si="9">EOMONTH(AC3,3)</f>
        <v>48334</v>
      </c>
      <c r="AE3" s="102">
        <f t="shared" ref="AE3" si="10">EOMONTH(AD3,3)</f>
        <v>48426</v>
      </c>
      <c r="AF3" s="102">
        <f t="shared" ref="AF3" si="11">EOMONTH(AE3,3)</f>
        <v>48518</v>
      </c>
      <c r="AG3" s="102">
        <f t="shared" ref="AG3" si="12">EOMONTH(AF3,3)</f>
        <v>48610</v>
      </c>
      <c r="AH3" s="102">
        <f t="shared" ref="AH3" si="13">EOMONTH(AG3,3)</f>
        <v>48699</v>
      </c>
      <c r="AI3" s="102">
        <f t="shared" ref="AI3" si="14">EOMONTH(AH3,3)</f>
        <v>48791</v>
      </c>
      <c r="AJ3" s="102">
        <f t="shared" ref="AJ3" si="15">EOMONTH(AI3,3)</f>
        <v>48883</v>
      </c>
      <c r="AK3" s="102">
        <f t="shared" ref="AK3" si="16">EOMONTH(AJ3,3)</f>
        <v>48975</v>
      </c>
      <c r="AL3" s="102">
        <f t="shared" ref="AL3" si="17">EOMONTH(AK3,3)</f>
        <v>49064</v>
      </c>
      <c r="AM3" s="102">
        <f t="shared" ref="AM3" si="18">EOMONTH(AL3,3)</f>
        <v>49156</v>
      </c>
      <c r="AN3" s="102">
        <f t="shared" ref="AN3" si="19">EOMONTH(AM3,3)</f>
        <v>49248</v>
      </c>
      <c r="AO3" s="102">
        <f t="shared" ref="AO3" si="20">EOMONTH(AN3,3)</f>
        <v>49340</v>
      </c>
      <c r="AP3" s="102">
        <f t="shared" ref="AP3" si="21">EOMONTH(AO3,3)</f>
        <v>49429</v>
      </c>
      <c r="AQ3" s="102">
        <f t="shared" ref="AQ3" si="22">EOMONTH(AP3,3)</f>
        <v>49521</v>
      </c>
      <c r="AR3" s="102">
        <f t="shared" ref="AR3" si="23">EOMONTH(AQ3,3)</f>
        <v>49613</v>
      </c>
      <c r="AS3" s="102">
        <f t="shared" ref="AS3" si="24">EOMONTH(AR3,3)</f>
        <v>49705</v>
      </c>
      <c r="AT3" s="102">
        <f t="shared" ref="AT3" si="25">EOMONTH(AS3,3)</f>
        <v>49795</v>
      </c>
      <c r="AU3" s="102">
        <f t="shared" ref="AU3" si="26">EOMONTH(AT3,3)</f>
        <v>49887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/>
      <c r="D4" s="97"/>
      <c r="E4" s="97"/>
      <c r="F4" s="96"/>
      <c r="G4" s="96"/>
      <c r="H4" s="96"/>
      <c r="I4" s="96"/>
      <c r="J4" s="96"/>
      <c r="K4" s="96"/>
      <c r="L4" s="96"/>
      <c r="M4" s="96"/>
      <c r="N4" s="96"/>
      <c r="O4" s="96"/>
      <c r="P4" s="96">
        <v>0</v>
      </c>
      <c r="Q4" s="96">
        <v>0</v>
      </c>
      <c r="R4" s="96">
        <v>0</v>
      </c>
      <c r="S4" s="96">
        <v>0</v>
      </c>
      <c r="T4" s="96">
        <v>0</v>
      </c>
      <c r="U4" s="96">
        <v>0.05</v>
      </c>
      <c r="V4" s="96">
        <v>0.1</v>
      </c>
      <c r="W4" s="96">
        <v>0.15</v>
      </c>
      <c r="X4" s="96">
        <v>0.2</v>
      </c>
      <c r="Y4" s="96">
        <v>0.23</v>
      </c>
      <c r="Z4" s="97">
        <v>0.12</v>
      </c>
      <c r="AA4" s="97">
        <v>7.0000000000000007E-2</v>
      </c>
      <c r="AB4" s="97">
        <v>0.05</v>
      </c>
      <c r="AC4" s="97">
        <v>0.03</v>
      </c>
      <c r="AD4" s="97"/>
      <c r="AE4" s="97"/>
      <c r="AF4" s="97"/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'G Financial'!$A7</f>
        <v>Hard Costs for Construction</v>
      </c>
      <c r="B5" s="140">
        <f>'G Financial'!$B7</f>
        <v>210571143</v>
      </c>
      <c r="C5" s="141"/>
      <c r="D5" s="141"/>
      <c r="E5" s="141"/>
      <c r="F5" s="141"/>
      <c r="G5" s="141"/>
      <c r="H5" s="141"/>
      <c r="I5" s="141"/>
      <c r="J5" s="141"/>
      <c r="K5" s="141"/>
      <c r="L5" s="141"/>
      <c r="M5" s="141">
        <f>$B$5*M4</f>
        <v>0</v>
      </c>
      <c r="N5" s="141">
        <f t="shared" ref="N5:AC5" si="27">$B$5*N4</f>
        <v>0</v>
      </c>
      <c r="O5" s="141">
        <f t="shared" si="27"/>
        <v>0</v>
      </c>
      <c r="P5" s="141">
        <f t="shared" si="27"/>
        <v>0</v>
      </c>
      <c r="Q5" s="141">
        <f t="shared" si="27"/>
        <v>0</v>
      </c>
      <c r="R5" s="141">
        <f t="shared" si="27"/>
        <v>0</v>
      </c>
      <c r="S5" s="141">
        <f t="shared" si="27"/>
        <v>0</v>
      </c>
      <c r="T5" s="141">
        <f t="shared" si="27"/>
        <v>0</v>
      </c>
      <c r="U5" s="141">
        <f t="shared" si="27"/>
        <v>10528557.15</v>
      </c>
      <c r="V5" s="141">
        <f t="shared" si="27"/>
        <v>21057114.300000001</v>
      </c>
      <c r="W5" s="141">
        <f t="shared" si="27"/>
        <v>31585671.449999999</v>
      </c>
      <c r="X5" s="141">
        <f t="shared" si="27"/>
        <v>42114228.600000001</v>
      </c>
      <c r="Y5" s="141">
        <f t="shared" si="27"/>
        <v>48431362.890000001</v>
      </c>
      <c r="Z5" s="141">
        <f t="shared" si="27"/>
        <v>25268537.16</v>
      </c>
      <c r="AA5" s="141">
        <f t="shared" si="27"/>
        <v>14739980.010000002</v>
      </c>
      <c r="AB5" s="141">
        <f t="shared" si="27"/>
        <v>10528557.15</v>
      </c>
      <c r="AC5" s="141">
        <f t="shared" si="27"/>
        <v>6317134.29</v>
      </c>
      <c r="AD5" s="142"/>
      <c r="AE5" s="142"/>
      <c r="AF5" s="142"/>
      <c r="AG5" s="142"/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210571142.99999997</v>
      </c>
      <c r="AW5" s="142">
        <f t="shared" ref="AW5:AW24" si="28">B5</f>
        <v>210571143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'G Financial'!$A8</f>
        <v>Hard Cost Contingency</v>
      </c>
      <c r="B6" s="140">
        <f>'G Financial'!$B8</f>
        <v>21057114.300000001</v>
      </c>
      <c r="C6" s="141"/>
      <c r="D6" s="141"/>
      <c r="E6" s="141"/>
      <c r="F6" s="141"/>
      <c r="G6" s="141"/>
      <c r="H6" s="141"/>
      <c r="I6" s="141"/>
      <c r="J6" s="141"/>
      <c r="K6" s="141"/>
      <c r="L6" s="141"/>
      <c r="M6" s="141">
        <f>$B$6*M4</f>
        <v>0</v>
      </c>
      <c r="N6" s="141">
        <f t="shared" ref="N6:AC6" si="29">$B$6*N4</f>
        <v>0</v>
      </c>
      <c r="O6" s="141">
        <f t="shared" si="29"/>
        <v>0</v>
      </c>
      <c r="P6" s="141">
        <f t="shared" si="29"/>
        <v>0</v>
      </c>
      <c r="Q6" s="141">
        <f t="shared" si="29"/>
        <v>0</v>
      </c>
      <c r="R6" s="141">
        <f t="shared" si="29"/>
        <v>0</v>
      </c>
      <c r="S6" s="141">
        <f t="shared" si="29"/>
        <v>0</v>
      </c>
      <c r="T6" s="141">
        <f t="shared" si="29"/>
        <v>0</v>
      </c>
      <c r="U6" s="141">
        <f t="shared" si="29"/>
        <v>1052855.7150000001</v>
      </c>
      <c r="V6" s="141">
        <f t="shared" si="29"/>
        <v>2105711.4300000002</v>
      </c>
      <c r="W6" s="141">
        <f t="shared" si="29"/>
        <v>3158567.145</v>
      </c>
      <c r="X6" s="141">
        <f t="shared" si="29"/>
        <v>4211422.8600000003</v>
      </c>
      <c r="Y6" s="141">
        <f t="shared" si="29"/>
        <v>4843136.2890000008</v>
      </c>
      <c r="Z6" s="141">
        <f t="shared" si="29"/>
        <v>2526853.716</v>
      </c>
      <c r="AA6" s="141">
        <f t="shared" si="29"/>
        <v>1473998.0010000002</v>
      </c>
      <c r="AB6" s="141">
        <f t="shared" si="29"/>
        <v>1052855.7150000001</v>
      </c>
      <c r="AC6" s="141">
        <f t="shared" si="29"/>
        <v>631713.429</v>
      </c>
      <c r="AD6" s="142"/>
      <c r="AE6" s="142"/>
      <c r="AF6" s="142"/>
      <c r="AG6" s="142"/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21057114.300000004</v>
      </c>
      <c r="AW6" s="142">
        <f t="shared" si="28"/>
        <v>21057114.300000001</v>
      </c>
      <c r="AX6" s="142">
        <f t="shared" ref="AX6:AX24" si="30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'G Financial'!$A9</f>
        <v>Demolition</v>
      </c>
      <c r="B7" s="140">
        <f>'G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1"/>
      <c r="X7" s="141"/>
      <c r="Y7" s="141"/>
      <c r="Z7" s="141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28"/>
        <v>0</v>
      </c>
      <c r="AX7" s="142">
        <f t="shared" si="30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'G Financial'!$A10</f>
        <v>Land Cost</v>
      </c>
      <c r="B8" s="140">
        <f>'G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1"/>
      <c r="N8" s="141"/>
      <c r="O8" s="141"/>
      <c r="P8" s="141"/>
      <c r="Q8" s="141"/>
      <c r="R8" s="141"/>
      <c r="S8" s="141"/>
      <c r="T8" s="141"/>
      <c r="U8" s="141"/>
      <c r="V8" s="141"/>
      <c r="W8" s="141"/>
      <c r="X8" s="141"/>
      <c r="Y8" s="141"/>
      <c r="Z8" s="141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28"/>
        <v>0</v>
      </c>
      <c r="AX8" s="142">
        <f t="shared" si="30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'G Financial'!$A11</f>
        <v>Infrastructure Cost less Subsidy</v>
      </c>
      <c r="B9" s="140">
        <f>'G Financial'!$B11</f>
        <v>-28166666.666666668</v>
      </c>
      <c r="C9" s="146"/>
      <c r="D9" s="143"/>
      <c r="E9" s="141"/>
      <c r="F9" s="141"/>
      <c r="G9" s="141"/>
      <c r="H9" s="144"/>
      <c r="I9" s="141"/>
      <c r="J9" s="141"/>
      <c r="K9" s="143"/>
      <c r="L9" s="141"/>
      <c r="M9" s="141"/>
      <c r="N9" s="141"/>
      <c r="O9" s="141"/>
      <c r="P9" s="141"/>
      <c r="Q9" s="141"/>
      <c r="R9" s="141"/>
      <c r="S9" s="141"/>
      <c r="T9" s="141"/>
      <c r="U9" s="141"/>
      <c r="V9" s="141"/>
      <c r="W9" s="141">
        <f>$B$9/2</f>
        <v>-14083333.333333334</v>
      </c>
      <c r="X9" s="141">
        <f>$B$9/2</f>
        <v>-14083333.333333334</v>
      </c>
      <c r="Y9" s="141"/>
      <c r="Z9" s="141"/>
      <c r="AA9" s="147"/>
      <c r="AB9" s="147"/>
      <c r="AC9" s="147"/>
      <c r="AD9" s="147"/>
      <c r="AE9" s="147"/>
      <c r="AF9" s="147"/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31">SUM(C9:AU9)</f>
        <v>-28166666.666666668</v>
      </c>
      <c r="AW9" s="142">
        <f t="shared" si="28"/>
        <v>-28166666.666666668</v>
      </c>
      <c r="AX9" s="142">
        <f t="shared" si="30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'G Financial'!$A12</f>
        <v>Municipal Fees and Allowances</v>
      </c>
      <c r="B10" s="140">
        <f>'G Financial'!$B12</f>
        <v>11581412.865</v>
      </c>
      <c r="C10" s="148"/>
      <c r="D10" s="147"/>
      <c r="E10" s="149"/>
      <c r="F10" s="149"/>
      <c r="G10" s="149"/>
      <c r="H10" s="149"/>
      <c r="I10" s="149"/>
      <c r="J10" s="141"/>
      <c r="K10" s="147"/>
      <c r="L10" s="147"/>
      <c r="M10" s="141"/>
      <c r="N10" s="141"/>
      <c r="O10" s="141"/>
      <c r="P10" s="141"/>
      <c r="Q10" s="141"/>
      <c r="S10" s="141"/>
      <c r="T10" s="141">
        <f>$B$10</f>
        <v>11581412.865</v>
      </c>
      <c r="U10" s="141"/>
      <c r="V10" s="141"/>
      <c r="W10" s="141"/>
      <c r="X10" s="141"/>
      <c r="Y10" s="141"/>
      <c r="Z10" s="141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31"/>
        <v>11581412.865</v>
      </c>
      <c r="AW10" s="142">
        <f t="shared" si="28"/>
        <v>11581412.865</v>
      </c>
      <c r="AX10" s="142">
        <f t="shared" si="30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'G Financial'!$A13</f>
        <v>Legal</v>
      </c>
      <c r="B11" s="140">
        <f>'G Financial'!$B13</f>
        <v>4632565.1459999997</v>
      </c>
      <c r="C11" s="148"/>
      <c r="D11" s="148"/>
      <c r="E11" s="141"/>
      <c r="F11" s="141"/>
      <c r="G11" s="141"/>
      <c r="H11" s="141"/>
      <c r="I11" s="141"/>
      <c r="J11" s="141"/>
      <c r="K11" s="147"/>
      <c r="L11" s="147"/>
      <c r="P11" s="141">
        <f>$B$11/5</f>
        <v>926513.02919999999</v>
      </c>
      <c r="Q11" s="141">
        <f t="shared" ref="Q11:T11" si="32">$B$11/5</f>
        <v>926513.02919999999</v>
      </c>
      <c r="R11" s="141">
        <f t="shared" si="32"/>
        <v>926513.02919999999</v>
      </c>
      <c r="S11" s="141">
        <f t="shared" si="32"/>
        <v>926513.02919999999</v>
      </c>
      <c r="T11" s="141">
        <f t="shared" si="32"/>
        <v>926513.02919999999</v>
      </c>
      <c r="U11" s="141"/>
      <c r="V11" s="141"/>
      <c r="W11" s="141"/>
      <c r="X11" s="141"/>
      <c r="Y11" s="141"/>
      <c r="Z11" s="141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31"/>
        <v>4632565.1459999997</v>
      </c>
      <c r="AW11" s="142">
        <f t="shared" si="28"/>
        <v>4632565.1459999997</v>
      </c>
      <c r="AX11" s="142">
        <f t="shared" si="30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'G Financial'!$A14</f>
        <v>Land Closing Costs/commissions</v>
      </c>
      <c r="B12" s="140">
        <f>'G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1"/>
      <c r="X12" s="141"/>
      <c r="Y12" s="141"/>
      <c r="Z12" s="141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31"/>
        <v>0</v>
      </c>
      <c r="AW12" s="142">
        <f t="shared" si="28"/>
        <v>0</v>
      </c>
      <c r="AX12" s="142">
        <f t="shared" si="30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'G Financial'!$A15</f>
        <v xml:space="preserve">Design </v>
      </c>
      <c r="B13" s="140">
        <f>'G Financial'!$B15</f>
        <v>9265130.2919999994</v>
      </c>
      <c r="C13" s="141"/>
      <c r="D13" s="141"/>
      <c r="E13" s="141"/>
      <c r="F13" s="141"/>
      <c r="G13" s="141"/>
      <c r="H13" s="141"/>
      <c r="I13" s="141"/>
      <c r="J13" s="141"/>
      <c r="K13" s="141"/>
      <c r="L13" s="141"/>
      <c r="M13" s="141"/>
      <c r="N13" s="141"/>
      <c r="O13" s="141"/>
      <c r="P13" s="141"/>
      <c r="Q13" s="141"/>
      <c r="R13" s="141"/>
      <c r="S13" s="141"/>
      <c r="T13" s="141"/>
      <c r="U13" s="141">
        <f>$B$13/8</f>
        <v>1158141.2864999999</v>
      </c>
      <c r="V13" s="141">
        <f t="shared" ref="V13:AB13" si="33">$B$13/8</f>
        <v>1158141.2864999999</v>
      </c>
      <c r="W13" s="141">
        <f t="shared" si="33"/>
        <v>1158141.2864999999</v>
      </c>
      <c r="X13" s="141">
        <f t="shared" si="33"/>
        <v>1158141.2864999999</v>
      </c>
      <c r="Y13" s="141">
        <f t="shared" si="33"/>
        <v>1158141.2864999999</v>
      </c>
      <c r="Z13" s="141">
        <f t="shared" si="33"/>
        <v>1158141.2864999999</v>
      </c>
      <c r="AA13" s="141">
        <f t="shared" si="33"/>
        <v>1158141.2864999999</v>
      </c>
      <c r="AB13" s="141">
        <f t="shared" si="33"/>
        <v>1158141.2864999999</v>
      </c>
      <c r="AC13" s="142"/>
      <c r="AD13" s="142"/>
      <c r="AE13" s="142"/>
      <c r="AF13" s="142"/>
      <c r="AG13" s="142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31"/>
        <v>9265130.2919999976</v>
      </c>
      <c r="AW13" s="142">
        <f t="shared" si="28"/>
        <v>9265130.2919999994</v>
      </c>
      <c r="AX13" s="142">
        <f t="shared" si="30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'G Financial'!$A16</f>
        <v>Developer Fee</v>
      </c>
      <c r="B14" s="140">
        <f>'G Financial'!$B16</f>
        <v>6948847.7189999996</v>
      </c>
      <c r="C14" s="141"/>
      <c r="D14" s="141"/>
      <c r="E14" s="141"/>
      <c r="F14" s="141"/>
      <c r="G14" s="141"/>
      <c r="H14" s="141"/>
      <c r="I14" s="141"/>
      <c r="J14" s="141"/>
      <c r="K14" s="141"/>
      <c r="L14" s="141"/>
      <c r="M14" s="141"/>
      <c r="N14" s="141"/>
      <c r="O14" s="141"/>
      <c r="P14" s="141"/>
      <c r="Q14" s="141"/>
      <c r="R14" s="141"/>
      <c r="S14" s="141"/>
      <c r="T14" s="141"/>
      <c r="U14" s="141">
        <f>$B$14/8</f>
        <v>868605.96487499995</v>
      </c>
      <c r="V14" s="141">
        <f t="shared" ref="V14:AB14" si="34">$B$14/8</f>
        <v>868605.96487499995</v>
      </c>
      <c r="W14" s="141">
        <f t="shared" si="34"/>
        <v>868605.96487499995</v>
      </c>
      <c r="X14" s="141">
        <f t="shared" si="34"/>
        <v>868605.96487499995</v>
      </c>
      <c r="Y14" s="141">
        <f t="shared" si="34"/>
        <v>868605.96487499995</v>
      </c>
      <c r="Z14" s="141">
        <f t="shared" si="34"/>
        <v>868605.96487499995</v>
      </c>
      <c r="AA14" s="141">
        <f t="shared" si="34"/>
        <v>868605.96487499995</v>
      </c>
      <c r="AB14" s="141">
        <f t="shared" si="34"/>
        <v>868605.96487499995</v>
      </c>
      <c r="AC14" s="142"/>
      <c r="AD14" s="142"/>
      <c r="AE14" s="142"/>
      <c r="AF14" s="142"/>
      <c r="AG14" s="142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31"/>
        <v>6948847.7189999986</v>
      </c>
      <c r="AW14" s="142">
        <f t="shared" si="28"/>
        <v>6948847.7189999996</v>
      </c>
      <c r="AX14" s="142">
        <f t="shared" si="30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'G Financial'!$A17</f>
        <v>Construction Management Fee</v>
      </c>
      <c r="B15" s="140">
        <f>'G Financial'!$B17</f>
        <v>11581412.865</v>
      </c>
      <c r="C15" s="141"/>
      <c r="D15" s="141"/>
      <c r="E15" s="141"/>
      <c r="F15" s="141"/>
      <c r="G15" s="141"/>
      <c r="H15" s="141"/>
      <c r="I15" s="141"/>
      <c r="J15" s="141"/>
      <c r="K15" s="141"/>
      <c r="L15" s="141"/>
      <c r="M15" s="141"/>
      <c r="N15" s="141"/>
      <c r="O15" s="141"/>
      <c r="P15" s="141"/>
      <c r="Q15" s="141"/>
      <c r="R15" s="141"/>
      <c r="S15" s="141"/>
      <c r="T15" s="141"/>
      <c r="U15" s="141">
        <f>$B$15/8</f>
        <v>1447676.608125</v>
      </c>
      <c r="V15" s="141">
        <f t="shared" ref="V15:AB15" si="35">$B$15/8</f>
        <v>1447676.608125</v>
      </c>
      <c r="W15" s="141">
        <f t="shared" si="35"/>
        <v>1447676.608125</v>
      </c>
      <c r="X15" s="141">
        <f t="shared" si="35"/>
        <v>1447676.608125</v>
      </c>
      <c r="Y15" s="141">
        <f t="shared" si="35"/>
        <v>1447676.608125</v>
      </c>
      <c r="Z15" s="141">
        <f t="shared" si="35"/>
        <v>1447676.608125</v>
      </c>
      <c r="AA15" s="141">
        <f t="shared" si="35"/>
        <v>1447676.608125</v>
      </c>
      <c r="AB15" s="141">
        <f t="shared" si="35"/>
        <v>1447676.608125</v>
      </c>
      <c r="AC15" s="142"/>
      <c r="AD15" s="142"/>
      <c r="AE15" s="142"/>
      <c r="AF15" s="142"/>
      <c r="AG15" s="142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31"/>
        <v>11581412.864999998</v>
      </c>
      <c r="AW15" s="142">
        <f t="shared" si="28"/>
        <v>11581412.865</v>
      </c>
      <c r="AX15" s="142">
        <f t="shared" si="30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'G Financial'!$A18</f>
        <v>Taxes</v>
      </c>
      <c r="B16" s="140">
        <f>'G Financial'!$B18</f>
        <v>1489306.1699587763</v>
      </c>
      <c r="C16" s="145"/>
      <c r="D16" s="141"/>
      <c r="E16" s="141"/>
      <c r="F16" s="141"/>
      <c r="G16" s="144"/>
      <c r="H16" s="141"/>
      <c r="I16" s="141"/>
      <c r="J16" s="141"/>
      <c r="K16" s="141"/>
      <c r="L16" s="141"/>
      <c r="M16" s="141"/>
      <c r="N16" s="141"/>
      <c r="O16" s="141"/>
      <c r="P16" s="141"/>
      <c r="Q16" s="141"/>
      <c r="R16" s="141"/>
      <c r="S16" s="141"/>
      <c r="T16" s="141"/>
      <c r="U16" s="141">
        <f>$B$16/8</f>
        <v>186163.27124484704</v>
      </c>
      <c r="V16" s="141">
        <f t="shared" ref="V16:AB16" si="36">$B$16/8</f>
        <v>186163.27124484704</v>
      </c>
      <c r="W16" s="141">
        <f t="shared" si="36"/>
        <v>186163.27124484704</v>
      </c>
      <c r="X16" s="141">
        <f t="shared" si="36"/>
        <v>186163.27124484704</v>
      </c>
      <c r="Y16" s="141">
        <f t="shared" si="36"/>
        <v>186163.27124484704</v>
      </c>
      <c r="Z16" s="141">
        <f t="shared" si="36"/>
        <v>186163.27124484704</v>
      </c>
      <c r="AA16" s="141">
        <f t="shared" si="36"/>
        <v>186163.27124484704</v>
      </c>
      <c r="AB16" s="141">
        <f t="shared" si="36"/>
        <v>186163.27124484704</v>
      </c>
      <c r="AC16" s="142"/>
      <c r="AD16" s="142"/>
      <c r="AE16" s="142"/>
      <c r="AF16" s="142"/>
      <c r="AG16" s="142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31"/>
        <v>1489306.1699587761</v>
      </c>
      <c r="AW16" s="142">
        <f t="shared" si="28"/>
        <v>1489306.1699587763</v>
      </c>
      <c r="AX16" s="142">
        <f t="shared" si="30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'G Financial'!$A19</f>
        <v>Insurance</v>
      </c>
      <c r="B17" s="140">
        <f>'G Financial'!$B19</f>
        <v>3474423.8594999998</v>
      </c>
      <c r="C17" s="145"/>
      <c r="D17" s="144"/>
      <c r="E17" s="144"/>
      <c r="F17" s="141"/>
      <c r="G17" s="141"/>
      <c r="H17" s="141"/>
      <c r="I17" s="141"/>
      <c r="J17" s="141"/>
      <c r="K17" s="141"/>
      <c r="L17" s="145"/>
      <c r="M17" s="141"/>
      <c r="N17" s="141"/>
      <c r="O17" s="141"/>
      <c r="P17" s="141"/>
      <c r="S17" s="141"/>
      <c r="T17" s="141">
        <f>B17</f>
        <v>3474423.8594999998</v>
      </c>
      <c r="U17" s="141"/>
      <c r="V17" s="141"/>
      <c r="W17" s="141"/>
      <c r="X17" s="141"/>
      <c r="Y17" s="141"/>
      <c r="Z17" s="141"/>
      <c r="AA17" s="142"/>
      <c r="AB17" s="142"/>
      <c r="AC17" s="142"/>
      <c r="AD17" s="142"/>
      <c r="AE17" s="142"/>
      <c r="AF17" s="142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31"/>
        <v>3474423.8594999998</v>
      </c>
      <c r="AW17" s="142">
        <f t="shared" si="28"/>
        <v>3474423.8594999998</v>
      </c>
      <c r="AX17" s="142">
        <f t="shared" si="30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'G Financial'!$A20</f>
        <v>Marketing, FFE and Preleasing</v>
      </c>
      <c r="B18" s="140">
        <f>'G Financial'!$B20</f>
        <v>1600000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/>
      <c r="O18" s="141"/>
      <c r="P18" s="141"/>
      <c r="Q18" s="141"/>
      <c r="R18" s="141"/>
      <c r="S18" s="141"/>
      <c r="T18" s="141"/>
      <c r="U18" s="141"/>
      <c r="V18" s="141"/>
      <c r="W18" s="141"/>
      <c r="X18" s="141"/>
      <c r="AA18" s="142"/>
      <c r="AB18" s="142"/>
      <c r="AC18" s="142"/>
      <c r="AD18" s="141">
        <f>$B$18/2</f>
        <v>800000</v>
      </c>
      <c r="AE18" s="141">
        <f>$B$18/2</f>
        <v>800000</v>
      </c>
      <c r="AF18" s="142"/>
      <c r="AG18" s="142"/>
      <c r="AH18" s="142"/>
      <c r="AI18" s="142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31"/>
        <v>1600000</v>
      </c>
      <c r="AW18" s="142">
        <f t="shared" si="28"/>
        <v>1600000</v>
      </c>
      <c r="AX18" s="142">
        <f t="shared" si="30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'G Financial'!$A21</f>
        <v>Operating Deficit</v>
      </c>
      <c r="B19" s="140">
        <f>'G Financial'!$B21</f>
        <v>1627443.6642977779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141"/>
      <c r="O19" s="141"/>
      <c r="P19" s="141"/>
      <c r="Q19" s="141"/>
      <c r="R19" s="141"/>
      <c r="S19" s="141"/>
      <c r="T19" s="141"/>
      <c r="U19" s="141"/>
      <c r="V19" s="141"/>
      <c r="W19" s="141"/>
      <c r="X19" s="141"/>
      <c r="AA19" s="104"/>
      <c r="AB19" s="104"/>
      <c r="AC19" s="104"/>
      <c r="AD19" s="141">
        <f>$B$19/2</f>
        <v>813721.83214888896</v>
      </c>
      <c r="AE19" s="141">
        <f>$B$19/2</f>
        <v>813721.83214888896</v>
      </c>
      <c r="AF19" s="104"/>
      <c r="AG19" s="104"/>
      <c r="AH19" s="104"/>
      <c r="AI19" s="104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31"/>
        <v>1627443.6642977779</v>
      </c>
      <c r="AW19" s="142">
        <f t="shared" si="28"/>
        <v>1627443.6642977779</v>
      </c>
      <c r="AX19" s="142">
        <f t="shared" si="30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'G Financial'!$A22</f>
        <v>Commercial Tenant Improvements</v>
      </c>
      <c r="B20" s="140">
        <f>'G Financial'!$B22</f>
        <v>0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/>
      <c r="S20" s="141"/>
      <c r="T20" s="141"/>
      <c r="U20" s="141"/>
      <c r="V20" s="141"/>
      <c r="W20" s="141"/>
      <c r="X20" s="141"/>
      <c r="Y20" s="141"/>
      <c r="Z20" s="141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31"/>
        <v>0</v>
      </c>
      <c r="AW20" s="142">
        <f t="shared" si="28"/>
        <v>0</v>
      </c>
      <c r="AX20" s="142">
        <f t="shared" si="30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'G Financial'!$A23</f>
        <v>Commercial brokerage</v>
      </c>
      <c r="B21" s="140">
        <f>'G Financial'!$B23</f>
        <v>0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1"/>
      <c r="X21" s="141"/>
      <c r="Y21" s="141"/>
      <c r="Z21" s="141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31"/>
        <v>0</v>
      </c>
      <c r="AW21" s="142">
        <f t="shared" si="28"/>
        <v>0</v>
      </c>
      <c r="AX21" s="142">
        <f t="shared" si="30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'G Financial'!$A24</f>
        <v>Construction Loan Origination</v>
      </c>
      <c r="B22" s="140">
        <f ca="1">'G Financial'!$B24</f>
        <v>2736686.5243885694</v>
      </c>
      <c r="C22" s="141"/>
      <c r="D22" s="141"/>
      <c r="E22" s="141"/>
      <c r="F22" s="141"/>
      <c r="G22" s="141"/>
      <c r="H22" s="141"/>
      <c r="I22" s="141"/>
      <c r="J22" s="141"/>
      <c r="K22" s="141"/>
      <c r="L22" s="141"/>
      <c r="M22" s="141"/>
      <c r="N22" s="141"/>
      <c r="O22" s="141"/>
      <c r="P22" s="141"/>
      <c r="R22" s="141"/>
      <c r="S22" s="141"/>
      <c r="T22" s="141">
        <f ca="1">B22</f>
        <v>2736686.5243885694</v>
      </c>
      <c r="U22" s="141"/>
      <c r="V22" s="141"/>
      <c r="W22" s="141"/>
      <c r="X22" s="141"/>
      <c r="Y22" s="141"/>
      <c r="Z22" s="141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31"/>
        <v>2736686.5243885694</v>
      </c>
      <c r="AW22" s="142">
        <f t="shared" ca="1" si="28"/>
        <v>2736686.5243885694</v>
      </c>
      <c r="AX22" s="142">
        <f t="shared" ca="1" si="30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'G Financial'!$A25</f>
        <v>Construction Interest</v>
      </c>
      <c r="B23" s="140">
        <f ca="1">'G Financial'!$B25</f>
        <v>12771203.780479994</v>
      </c>
      <c r="C23" s="153"/>
      <c r="D23" s="141"/>
      <c r="E23" s="141"/>
      <c r="F23" s="141"/>
      <c r="G23" s="141"/>
      <c r="H23" s="141"/>
      <c r="I23" s="141"/>
      <c r="J23" s="141"/>
      <c r="K23" s="141"/>
      <c r="L23" s="141"/>
      <c r="M23" s="141"/>
      <c r="N23" s="141"/>
      <c r="O23" s="141"/>
      <c r="P23" s="141"/>
      <c r="Q23" s="141"/>
      <c r="R23" s="141"/>
      <c r="S23" s="141"/>
      <c r="T23" s="141"/>
      <c r="U23" s="141"/>
      <c r="V23" s="141"/>
      <c r="W23" s="141">
        <f t="shared" ref="W23:AC23" ca="1" si="37">$B$23/7</f>
        <v>1824457.6829257135</v>
      </c>
      <c r="X23" s="141">
        <f t="shared" ca="1" si="37"/>
        <v>1824457.6829257135</v>
      </c>
      <c r="Y23" s="141">
        <f t="shared" ca="1" si="37"/>
        <v>1824457.6829257135</v>
      </c>
      <c r="Z23" s="141">
        <f t="shared" ca="1" si="37"/>
        <v>1824457.6829257135</v>
      </c>
      <c r="AA23" s="141">
        <f t="shared" ca="1" si="37"/>
        <v>1824457.6829257135</v>
      </c>
      <c r="AB23" s="141">
        <f t="shared" ca="1" si="37"/>
        <v>1824457.6829257135</v>
      </c>
      <c r="AC23" s="141">
        <f t="shared" ca="1" si="37"/>
        <v>1824457.6829257135</v>
      </c>
      <c r="AD23" s="142"/>
      <c r="AE23" s="142"/>
      <c r="AF23" s="142"/>
      <c r="AG23" s="142"/>
      <c r="AH23" s="142"/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ca="1" si="31"/>
        <v>12771203.780479996</v>
      </c>
      <c r="AW23" s="142">
        <f t="shared" ca="1" si="28"/>
        <v>12771203.780479994</v>
      </c>
      <c r="AX23" s="142">
        <f t="shared" ca="1" si="30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'G Financial'!$A26</f>
        <v>Additional Contingency</v>
      </c>
      <c r="B24" s="154">
        <f ca="1">'G Financial'!$B26</f>
        <v>4739590.3019937593</v>
      </c>
      <c r="C24" s="155"/>
      <c r="D24" s="155"/>
      <c r="E24" s="155"/>
      <c r="F24" s="155"/>
      <c r="G24" s="155"/>
      <c r="H24" s="155"/>
      <c r="I24" s="155"/>
      <c r="J24" s="155"/>
      <c r="K24" s="155"/>
      <c r="L24" s="155"/>
      <c r="M24" s="155"/>
      <c r="N24" s="155"/>
      <c r="O24" s="155"/>
      <c r="P24" s="155"/>
      <c r="Q24" s="155"/>
      <c r="R24" s="610"/>
      <c r="S24" s="610"/>
      <c r="T24" s="610"/>
      <c r="U24" s="155">
        <f ca="1">$B$24*U4</f>
        <v>236979.51509968797</v>
      </c>
      <c r="V24" s="155">
        <f t="shared" ref="V24:AC24" ca="1" si="38">$B$24*V4</f>
        <v>473959.03019937593</v>
      </c>
      <c r="W24" s="155">
        <f t="shared" ca="1" si="38"/>
        <v>710938.5452990639</v>
      </c>
      <c r="X24" s="155">
        <f t="shared" ca="1" si="38"/>
        <v>947918.06039875187</v>
      </c>
      <c r="Y24" s="155">
        <f t="shared" ca="1" si="38"/>
        <v>1090105.7694585647</v>
      </c>
      <c r="Z24" s="155">
        <f t="shared" ca="1" si="38"/>
        <v>568750.83623925108</v>
      </c>
      <c r="AA24" s="155">
        <f t="shared" ca="1" si="38"/>
        <v>331771.32113956317</v>
      </c>
      <c r="AB24" s="155">
        <f t="shared" ca="1" si="38"/>
        <v>236979.51509968797</v>
      </c>
      <c r="AC24" s="155">
        <f t="shared" ca="1" si="38"/>
        <v>142187.70905981277</v>
      </c>
      <c r="AD24" s="610"/>
      <c r="AE24" s="610"/>
      <c r="AF24" s="610"/>
      <c r="AG24" s="610"/>
      <c r="AH24" s="610"/>
      <c r="AI24" s="610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ca="1" si="31"/>
        <v>4739590.3019937603</v>
      </c>
      <c r="AW24" s="156">
        <f t="shared" ca="1" si="28"/>
        <v>4739590.3019937593</v>
      </c>
      <c r="AX24" s="156">
        <f t="shared" ca="1" si="30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'G Financial'!$A27</f>
        <v>Total Project Cost</v>
      </c>
      <c r="B25" s="608">
        <f ca="1">'G Financial'!$B27</f>
        <v>271170023.51895851</v>
      </c>
      <c r="C25" s="62">
        <f>SUM(C5:C24)</f>
        <v>0</v>
      </c>
      <c r="D25" s="62">
        <f t="shared" ref="D25:AE25" si="39">SUM(D5:D24)</f>
        <v>0</v>
      </c>
      <c r="E25" s="62">
        <f t="shared" si="39"/>
        <v>0</v>
      </c>
      <c r="F25" s="62">
        <f t="shared" si="39"/>
        <v>0</v>
      </c>
      <c r="G25" s="62">
        <f t="shared" si="39"/>
        <v>0</v>
      </c>
      <c r="H25" s="62">
        <f t="shared" si="39"/>
        <v>0</v>
      </c>
      <c r="I25" s="62">
        <f t="shared" si="39"/>
        <v>0</v>
      </c>
      <c r="J25" s="62">
        <f t="shared" si="39"/>
        <v>0</v>
      </c>
      <c r="K25" s="62">
        <f t="shared" si="39"/>
        <v>0</v>
      </c>
      <c r="L25" s="62">
        <f t="shared" si="39"/>
        <v>0</v>
      </c>
      <c r="M25" s="62">
        <f t="shared" si="39"/>
        <v>0</v>
      </c>
      <c r="N25" s="62">
        <f t="shared" si="39"/>
        <v>0</v>
      </c>
      <c r="O25" s="62">
        <f t="shared" si="39"/>
        <v>0</v>
      </c>
      <c r="P25" s="62">
        <f t="shared" si="39"/>
        <v>926513.02919999999</v>
      </c>
      <c r="Q25" s="62">
        <f t="shared" si="39"/>
        <v>926513.02919999999</v>
      </c>
      <c r="R25" s="62">
        <f t="shared" si="39"/>
        <v>926513.02919999999</v>
      </c>
      <c r="S25" s="62">
        <f t="shared" si="39"/>
        <v>926513.02919999999</v>
      </c>
      <c r="T25" s="62">
        <f t="shared" ca="1" si="39"/>
        <v>18719036.27808857</v>
      </c>
      <c r="U25" s="62">
        <f t="shared" ca="1" si="39"/>
        <v>15478979.510844532</v>
      </c>
      <c r="V25" s="62">
        <f t="shared" ca="1" si="39"/>
        <v>27297371.890944224</v>
      </c>
      <c r="W25" s="62">
        <f t="shared" ca="1" si="39"/>
        <v>26856888.620636288</v>
      </c>
      <c r="X25" s="62">
        <f t="shared" ca="1" si="39"/>
        <v>38675281.000735976</v>
      </c>
      <c r="Y25" s="62">
        <f t="shared" ca="1" si="39"/>
        <v>59849649.762129128</v>
      </c>
      <c r="Z25" s="62">
        <f t="shared" ca="1" si="39"/>
        <v>33849186.525909811</v>
      </c>
      <c r="AA25" s="62">
        <f t="shared" ca="1" si="39"/>
        <v>22030794.145810127</v>
      </c>
      <c r="AB25" s="62">
        <f t="shared" ca="1" si="39"/>
        <v>17303437.193770248</v>
      </c>
      <c r="AC25" s="62">
        <f t="shared" ca="1" si="39"/>
        <v>8915493.1109855268</v>
      </c>
      <c r="AD25" s="62">
        <f t="shared" si="39"/>
        <v>1613721.8321488891</v>
      </c>
      <c r="AE25" s="62">
        <f t="shared" si="39"/>
        <v>1613721.8321488891</v>
      </c>
      <c r="AF25" s="62">
        <f t="shared" ref="Z25:AX25" si="40">SUM(AF4:AF24)</f>
        <v>0</v>
      </c>
      <c r="AG25" s="62">
        <f t="shared" si="40"/>
        <v>0</v>
      </c>
      <c r="AH25" s="62">
        <f t="shared" si="40"/>
        <v>0</v>
      </c>
      <c r="AI25" s="62">
        <f t="shared" si="40"/>
        <v>0</v>
      </c>
      <c r="AJ25" s="62">
        <f t="shared" si="40"/>
        <v>0</v>
      </c>
      <c r="AK25" s="62">
        <f t="shared" si="40"/>
        <v>0</v>
      </c>
      <c r="AL25" s="62">
        <f t="shared" si="40"/>
        <v>0</v>
      </c>
      <c r="AM25" s="62">
        <f t="shared" si="40"/>
        <v>0</v>
      </c>
      <c r="AN25" s="62">
        <f t="shared" si="40"/>
        <v>0</v>
      </c>
      <c r="AO25" s="62">
        <f t="shared" si="40"/>
        <v>0</v>
      </c>
      <c r="AP25" s="62">
        <f t="shared" si="40"/>
        <v>0</v>
      </c>
      <c r="AQ25" s="62">
        <f t="shared" si="40"/>
        <v>0</v>
      </c>
      <c r="AR25" s="62">
        <f t="shared" si="40"/>
        <v>0</v>
      </c>
      <c r="AS25" s="62">
        <f t="shared" si="40"/>
        <v>0</v>
      </c>
      <c r="AT25" s="62">
        <f t="shared" si="40"/>
        <v>0</v>
      </c>
      <c r="AU25" s="62">
        <f t="shared" si="40"/>
        <v>0</v>
      </c>
      <c r="AV25" s="62">
        <f t="shared" ca="1" si="40"/>
        <v>275909614.82095224</v>
      </c>
      <c r="AW25" s="62">
        <f t="shared" ca="1" si="40"/>
        <v>275909613.8209523</v>
      </c>
      <c r="AX25" s="62">
        <f t="shared" ca="1" si="40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'G Financial'!D11</f>
        <v>-186309273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84860750.518958509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135585011.75947925</v>
      </c>
      <c r="C28" s="142">
        <f>C25</f>
        <v>0</v>
      </c>
      <c r="D28" s="142">
        <f t="shared" ref="D28:U28" ca="1" si="41">IF(((C29+D25)&lt;=$B$29),D25,($B$29-C29))</f>
        <v>0</v>
      </c>
      <c r="E28" s="142">
        <f t="shared" ca="1" si="41"/>
        <v>0</v>
      </c>
      <c r="F28" s="142">
        <f t="shared" ca="1" si="41"/>
        <v>0</v>
      </c>
      <c r="G28" s="142">
        <f t="shared" ca="1" si="41"/>
        <v>0</v>
      </c>
      <c r="H28" s="142">
        <f t="shared" ca="1" si="41"/>
        <v>0</v>
      </c>
      <c r="I28" s="142">
        <f t="shared" ca="1" si="41"/>
        <v>0</v>
      </c>
      <c r="J28" s="142">
        <f t="shared" ca="1" si="41"/>
        <v>0</v>
      </c>
      <c r="K28" s="142">
        <f t="shared" ca="1" si="41"/>
        <v>0</v>
      </c>
      <c r="L28" s="142">
        <f t="shared" ca="1" si="41"/>
        <v>0</v>
      </c>
      <c r="M28" s="142">
        <f t="shared" ca="1" si="41"/>
        <v>0</v>
      </c>
      <c r="N28" s="142">
        <f t="shared" ca="1" si="41"/>
        <v>0</v>
      </c>
      <c r="O28" s="142">
        <f t="shared" ca="1" si="41"/>
        <v>0</v>
      </c>
      <c r="P28" s="142">
        <f t="shared" ca="1" si="41"/>
        <v>926513.02919999999</v>
      </c>
      <c r="Q28" s="142">
        <f t="shared" ca="1" si="41"/>
        <v>926513.02919999999</v>
      </c>
      <c r="R28" s="142">
        <f t="shared" ca="1" si="41"/>
        <v>926513.02919999999</v>
      </c>
      <c r="S28" s="142">
        <f t="shared" ca="1" si="41"/>
        <v>926513.02919999999</v>
      </c>
      <c r="T28" s="142">
        <f t="shared" ca="1" si="41"/>
        <v>18719036.27808857</v>
      </c>
      <c r="U28" s="142">
        <f t="shared" ca="1" si="41"/>
        <v>15478979.510844532</v>
      </c>
      <c r="V28" s="142">
        <f t="shared" ref="V28" ca="1" si="42">IF(((U29+V25)&lt;=$B$29),V25,($B$29-U29))</f>
        <v>27297371.890944224</v>
      </c>
      <c r="W28" s="142">
        <f t="shared" ref="W28" ca="1" si="43">IF(((V29+W25)&lt;=$B$29),W25,($B$29-V29))</f>
        <v>26856888.620636288</v>
      </c>
      <c r="X28" s="142">
        <f t="shared" ref="X28" ca="1" si="44">IF(((W29+X25)&lt;=$B$29),X25,($B$29-W29))</f>
        <v>38675281.000735976</v>
      </c>
      <c r="Y28" s="142">
        <f t="shared" ref="Y28" ca="1" si="45">IF(((X29+Y25)&lt;=$B$29),Y25,($B$29-X29))</f>
        <v>4851402.3414296806</v>
      </c>
      <c r="Z28" s="142">
        <f t="shared" ref="Z28:AD28" ca="1" si="46">IF(((Y29+Z25)&lt;=$B$29),Z25,($B$29-Y29))</f>
        <v>0</v>
      </c>
      <c r="AA28" s="142">
        <f t="shared" ca="1" si="46"/>
        <v>0</v>
      </c>
      <c r="AB28" s="142">
        <f t="shared" ca="1" si="46"/>
        <v>0</v>
      </c>
      <c r="AC28" s="142">
        <f t="shared" ca="1" si="46"/>
        <v>0</v>
      </c>
      <c r="AD28" s="142">
        <f t="shared" ca="1" si="46"/>
        <v>0</v>
      </c>
      <c r="AE28" s="142"/>
      <c r="AF28" s="142"/>
      <c r="AG28" s="142"/>
      <c r="AH28" s="142"/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'G Financial'!D15</f>
        <v>135585011.75947925</v>
      </c>
      <c r="C29" s="142">
        <f>C28</f>
        <v>0</v>
      </c>
      <c r="D29" s="142">
        <f ca="1">IF(SUM($C$28:D$28)&lt;=$B29,SUM($C$28:D$28),0)</f>
        <v>0</v>
      </c>
      <c r="E29" s="142">
        <f ca="1">IF(SUM($C$28:E28)&lt;=$B29,SUM($C$28:E28),0)</f>
        <v>0</v>
      </c>
      <c r="F29" s="142">
        <f ca="1">IF(SUM($C$28:F28)&lt;=$B29,SUM($C$28:F28),0)</f>
        <v>0</v>
      </c>
      <c r="G29" s="142">
        <f ca="1">IF(SUM($C$28:G28)&lt;=$B29,SUM($C$28:G28),0)</f>
        <v>0</v>
      </c>
      <c r="H29" s="142">
        <f ca="1">IF(SUM($C$28:H28)&lt;=$B29,SUM($C$28:H28),0)</f>
        <v>0</v>
      </c>
      <c r="I29" s="142">
        <f ca="1">IF(SUM($C$28:I28)&lt;=$B29,SUM($C$28:I28),0)</f>
        <v>0</v>
      </c>
      <c r="J29" s="142">
        <f ca="1">IF(SUM($C$28:J28)&lt;=$B29,SUM($C$28:J28),0)</f>
        <v>0</v>
      </c>
      <c r="K29" s="142">
        <f ca="1">IF(SUM($C$28:K28)&lt;=$B29,SUM($C$28:K28),0)</f>
        <v>0</v>
      </c>
      <c r="L29" s="142">
        <f ca="1">IF(SUM($C$28:L28)&lt;=$B29,SUM($C$28:L28),0)</f>
        <v>0</v>
      </c>
      <c r="M29" s="142">
        <f ca="1">IF(SUM($C$28:M28)&lt;=$B29,SUM($C$28:M28),0)</f>
        <v>0</v>
      </c>
      <c r="N29" s="142">
        <f ca="1">IF(SUM($C$28:N28)&lt;=$B29,SUM($C$28:N28),0)</f>
        <v>0</v>
      </c>
      <c r="O29" s="142">
        <f ca="1">IF(SUM($C$28:O28)&lt;=$B29,SUM($C$28:O28),0)</f>
        <v>0</v>
      </c>
      <c r="P29" s="142">
        <f ca="1">IF(SUM($C$28:P28)&lt;=$B29,SUM($C$28:P28),0)</f>
        <v>926513.02919999999</v>
      </c>
      <c r="Q29" s="142">
        <f ca="1">IF(SUM($C$28:Q28)&lt;=$B29,SUM($C$28:Q28),0)</f>
        <v>1853026.0584</v>
      </c>
      <c r="R29" s="142">
        <f ca="1">IF(SUM($C$28:R28)&lt;=$B29,SUM($C$28:R28),0)</f>
        <v>2779539.0876000002</v>
      </c>
      <c r="S29" s="142">
        <f ca="1">IF(SUM($C$28:S28)&lt;=$B29,SUM($C$28:S28),0)</f>
        <v>3706052.1168</v>
      </c>
      <c r="T29" s="142">
        <f ca="1">IF(SUM($C$28:T28)&lt;=$B29,SUM($C$28:T28),0)</f>
        <v>22425088.394888569</v>
      </c>
      <c r="U29" s="142">
        <f ca="1">IF(SUM($C$28:U28)&lt;=$B29,SUM($C$28:U28),0)</f>
        <v>37904067.905733101</v>
      </c>
      <c r="V29" s="142">
        <f ca="1">IF(SUM($C$28:V28)&lt;=$B29,SUM($C$28:V28),0)</f>
        <v>65201439.796677321</v>
      </c>
      <c r="W29" s="142">
        <f ca="1">IF(SUM($C$28:W28)&lt;=$B29,SUM($C$28:W28),0)</f>
        <v>92058328.417313606</v>
      </c>
      <c r="X29" s="142">
        <f ca="1">IF(SUM($C$28:X28)&lt;=$B29,SUM($C$28:X28),0)</f>
        <v>130733609.41804957</v>
      </c>
      <c r="Y29" s="142">
        <f ca="1">IF(SUM($C$28:Y28)&lt;=$B29,SUM($C$28:Y28),0)</f>
        <v>135585011.75947925</v>
      </c>
      <c r="Z29" s="142">
        <f ca="1">IF(SUM($C$28:Z28)&lt;=$B29,SUM($C$28:Z28),0)</f>
        <v>135585011.75947925</v>
      </c>
      <c r="AA29" s="142">
        <f ca="1">IF(SUM($C$28:AA28)&lt;=$B29,SUM($C$28:AA28),0)</f>
        <v>135585011.75947925</v>
      </c>
      <c r="AB29" s="142">
        <f ca="1">IF(SUM($C$28:AB28)&lt;=$B29,SUM($C$28:AB28),0)</f>
        <v>135585011.75947925</v>
      </c>
      <c r="AC29" s="142">
        <f ca="1">IF(SUM($C$28:AC28)&lt;=$B29,SUM($C$28:AC28),0)</f>
        <v>135585011.75947925</v>
      </c>
      <c r="AD29" s="142">
        <f ca="1">IF(SUM($C$28:AD28)&lt;=$B29,SUM($C$28:AD28),0)</f>
        <v>135585011.75947925</v>
      </c>
      <c r="AE29" s="142"/>
      <c r="AF29" s="142"/>
      <c r="AG29" s="142"/>
      <c r="AH29" s="142"/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'G Financial'!D14</f>
        <v>135585011.75947925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PMT(0.065,30,(B30))</f>
        <v>-10382753.407422632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'G Financial'!D21+'G Financial'!D22</f>
        <v>-27472415.718027353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SUM(C35:AU35)</f>
        <v>-163057427.47750661</v>
      </c>
      <c r="C35" s="170">
        <f t="shared" ref="C35:U35" si="47">-C28</f>
        <v>0</v>
      </c>
      <c r="D35" s="170">
        <f t="shared" ca="1" si="47"/>
        <v>0</v>
      </c>
      <c r="E35" s="170">
        <f t="shared" ca="1" si="47"/>
        <v>0</v>
      </c>
      <c r="F35" s="170">
        <f t="shared" ca="1" si="47"/>
        <v>0</v>
      </c>
      <c r="G35" s="170">
        <f t="shared" ca="1" si="47"/>
        <v>0</v>
      </c>
      <c r="H35" s="170">
        <f t="shared" ca="1" si="47"/>
        <v>0</v>
      </c>
      <c r="I35" s="170">
        <f t="shared" ca="1" si="47"/>
        <v>0</v>
      </c>
      <c r="J35" s="170">
        <f t="shared" ca="1" si="47"/>
        <v>0</v>
      </c>
      <c r="K35" s="170">
        <f t="shared" ca="1" si="47"/>
        <v>0</v>
      </c>
      <c r="L35" s="170">
        <f t="shared" ca="1" si="47"/>
        <v>0</v>
      </c>
      <c r="M35" s="170">
        <f t="shared" ca="1" si="47"/>
        <v>0</v>
      </c>
      <c r="N35" s="170">
        <f t="shared" ca="1" si="47"/>
        <v>0</v>
      </c>
      <c r="O35" s="170">
        <f t="shared" ca="1" si="47"/>
        <v>0</v>
      </c>
      <c r="P35" s="170">
        <f t="shared" ca="1" si="47"/>
        <v>-926513.02919999999</v>
      </c>
      <c r="Q35" s="170">
        <f t="shared" ca="1" si="47"/>
        <v>-926513.02919999999</v>
      </c>
      <c r="R35" s="170">
        <f t="shared" ca="1" si="47"/>
        <v>-926513.02919999999</v>
      </c>
      <c r="S35" s="170">
        <f t="shared" ca="1" si="47"/>
        <v>-926513.02919999999</v>
      </c>
      <c r="T35" s="170">
        <f t="shared" ca="1" si="47"/>
        <v>-18719036.27808857</v>
      </c>
      <c r="U35" s="170">
        <f t="shared" ca="1" si="47"/>
        <v>-15478979.510844532</v>
      </c>
      <c r="V35" s="170">
        <f t="shared" ref="V35:AD35" ca="1" si="48">-V28</f>
        <v>-27297371.890944224</v>
      </c>
      <c r="W35" s="170">
        <f t="shared" ca="1" si="48"/>
        <v>-26856888.620636288</v>
      </c>
      <c r="X35" s="170">
        <f t="shared" ca="1" si="48"/>
        <v>-38675281.000735976</v>
      </c>
      <c r="Y35" s="170">
        <f t="shared" ca="1" si="48"/>
        <v>-4851402.3414296806</v>
      </c>
      <c r="Z35" s="170">
        <f t="shared" ca="1" si="48"/>
        <v>0</v>
      </c>
      <c r="AA35" s="170">
        <f t="shared" ca="1" si="48"/>
        <v>0</v>
      </c>
      <c r="AB35" s="170">
        <f t="shared" ca="1" si="48"/>
        <v>0</v>
      </c>
      <c r="AC35" s="170">
        <f t="shared" ca="1" si="48"/>
        <v>0</v>
      </c>
      <c r="AD35" s="170">
        <f t="shared" ca="1" si="48"/>
        <v>0</v>
      </c>
      <c r="AE35" s="171">
        <f ca="1">B34</f>
        <v>-27472415.718027353</v>
      </c>
      <c r="AF35" s="170"/>
      <c r="AG35" s="170"/>
      <c r="AH35" s="170"/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0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7"/>
      <c r="R37" s="177"/>
      <c r="S37" s="177"/>
      <c r="T37" s="177"/>
      <c r="U37" s="177"/>
      <c r="V37" s="177"/>
      <c r="W37" s="177"/>
      <c r="X37" s="177"/>
      <c r="Y37" s="177"/>
      <c r="Z37" s="177"/>
      <c r="AA37" s="176"/>
      <c r="AB37" s="176"/>
      <c r="AC37" s="176"/>
      <c r="AD37" s="176"/>
      <c r="AE37" s="176"/>
      <c r="AF37" s="176"/>
      <c r="AG37" s="176"/>
      <c r="AH37" s="176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7"/>
      <c r="R38" s="177"/>
      <c r="S38" s="177"/>
      <c r="T38" s="177"/>
      <c r="U38" s="177"/>
      <c r="V38" s="177"/>
      <c r="W38" s="177"/>
      <c r="X38" s="177"/>
      <c r="Y38" s="177"/>
      <c r="Z38" s="177"/>
      <c r="AA38" s="176"/>
      <c r="AB38" s="176"/>
      <c r="AC38" s="176"/>
      <c r="AD38" s="176"/>
      <c r="AE38" s="176"/>
      <c r="AF38" s="176"/>
      <c r="AG38" s="176"/>
      <c r="AH38" s="176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'G Financial'!D21-B26</f>
        <v>294421869.04145193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7"/>
      <c r="R39" s="177"/>
      <c r="S39" s="177"/>
      <c r="T39" s="177"/>
      <c r="U39" s="177"/>
      <c r="V39" s="177"/>
      <c r="W39" s="177"/>
      <c r="X39" s="177"/>
      <c r="Y39" s="177"/>
      <c r="Z39" s="177"/>
      <c r="AA39" s="176"/>
      <c r="AB39" s="176"/>
      <c r="AC39" s="176"/>
      <c r="AD39" s="176"/>
      <c r="AE39" s="176"/>
      <c r="AF39" s="176"/>
      <c r="AG39" s="176"/>
      <c r="AH39" s="176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18512255.220499694</v>
      </c>
      <c r="C40" s="142">
        <f t="shared" ref="C40:U40" si="49">-C25</f>
        <v>0</v>
      </c>
      <c r="D40" s="142">
        <f t="shared" si="49"/>
        <v>0</v>
      </c>
      <c r="E40" s="142">
        <f t="shared" si="49"/>
        <v>0</v>
      </c>
      <c r="F40" s="142">
        <f t="shared" si="49"/>
        <v>0</v>
      </c>
      <c r="G40" s="142">
        <f t="shared" si="49"/>
        <v>0</v>
      </c>
      <c r="H40" s="142">
        <f t="shared" si="49"/>
        <v>0</v>
      </c>
      <c r="I40" s="142">
        <f t="shared" si="49"/>
        <v>0</v>
      </c>
      <c r="J40" s="142">
        <f t="shared" si="49"/>
        <v>0</v>
      </c>
      <c r="K40" s="142">
        <f t="shared" si="49"/>
        <v>0</v>
      </c>
      <c r="L40" s="142">
        <f t="shared" si="49"/>
        <v>0</v>
      </c>
      <c r="M40" s="142">
        <f t="shared" si="49"/>
        <v>0</v>
      </c>
      <c r="N40" s="142">
        <f t="shared" si="49"/>
        <v>0</v>
      </c>
      <c r="O40" s="142">
        <f t="shared" si="49"/>
        <v>0</v>
      </c>
      <c r="P40" s="142">
        <f t="shared" si="49"/>
        <v>-926513.02919999999</v>
      </c>
      <c r="Q40" s="142">
        <f t="shared" si="49"/>
        <v>-926513.02919999999</v>
      </c>
      <c r="R40" s="142">
        <f t="shared" si="49"/>
        <v>-926513.02919999999</v>
      </c>
      <c r="S40" s="142">
        <f t="shared" si="49"/>
        <v>-926513.02919999999</v>
      </c>
      <c r="T40" s="142">
        <f t="shared" ca="1" si="49"/>
        <v>-18719036.27808857</v>
      </c>
      <c r="U40" s="142">
        <f t="shared" ca="1" si="49"/>
        <v>-15478979.510844532</v>
      </c>
      <c r="V40" s="142">
        <f t="shared" ref="V40:AD40" ca="1" si="50">-V25</f>
        <v>-27297371.890944224</v>
      </c>
      <c r="W40" s="142">
        <f t="shared" ca="1" si="50"/>
        <v>-26856888.620636288</v>
      </c>
      <c r="X40" s="142">
        <f t="shared" ca="1" si="50"/>
        <v>-38675281.000735976</v>
      </c>
      <c r="Y40" s="142">
        <f t="shared" ca="1" si="50"/>
        <v>-59849649.762129128</v>
      </c>
      <c r="Z40" s="142">
        <f t="shared" ca="1" si="50"/>
        <v>-33849186.525909811</v>
      </c>
      <c r="AA40" s="142">
        <f t="shared" ca="1" si="50"/>
        <v>-22030794.145810127</v>
      </c>
      <c r="AB40" s="142">
        <f t="shared" ca="1" si="50"/>
        <v>-17303437.193770248</v>
      </c>
      <c r="AC40" s="142">
        <f t="shared" ca="1" si="50"/>
        <v>-8915493.1109855268</v>
      </c>
      <c r="AD40" s="142">
        <f t="shared" si="50"/>
        <v>-1613721.8321488891</v>
      </c>
      <c r="AE40" s="174">
        <f ca="1">B39-AE25</f>
        <v>292808147.20930302</v>
      </c>
      <c r="AF40" s="142"/>
      <c r="AG40" s="142"/>
      <c r="AH40" s="142"/>
      <c r="AI40" s="142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9.794780444174922E-3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3.9758516080213635E-2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132" priority="1" operator="equal">
      <formula>#REF!</formula>
    </cfRule>
    <cfRule type="cellIs" dxfId="131" priority="2" operator="equal">
      <formula>#REF!</formula>
    </cfRule>
    <cfRule type="cellIs" dxfId="130" priority="3" operator="equal">
      <formula>#REF!</formula>
    </cfRule>
    <cfRule type="cellIs" dxfId="129" priority="4" operator="equal">
      <formula>#REF!</formula>
    </cfRule>
  </conditionalFormatting>
  <conditionalFormatting sqref="AT4:AU4">
    <cfRule type="cellIs" dxfId="128" priority="5" operator="equal">
      <formula>#REF!</formula>
    </cfRule>
    <cfRule type="cellIs" dxfId="127" priority="6" operator="equal">
      <formula>#REF!</formula>
    </cfRule>
    <cfRule type="cellIs" dxfId="126" priority="7" operator="equal">
      <formula>#REF!</formula>
    </cfRule>
    <cfRule type="cellIs" dxfId="125" priority="8" operator="equal">
      <formula>#REF!</formula>
    </cfRule>
    <cfRule type="cellIs" dxfId="124" priority="9" operator="equal">
      <formula>#REF!</formula>
    </cfRule>
    <cfRule type="cellIs" dxfId="123" priority="10" operator="equal">
      <formula>#REF!</formula>
    </cfRule>
    <cfRule type="cellIs" dxfId="122" priority="11" operator="equal">
      <formula>#REF!</formula>
    </cfRule>
    <cfRule type="cellIs" dxfId="121" priority="12" operator="equal">
      <formula>#REF!</formula>
    </cfRule>
  </conditionalFormatting>
  <conditionalFormatting sqref="AV3:AX3">
    <cfRule type="cellIs" dxfId="120" priority="13" operator="equal">
      <formula>#REF!</formula>
    </cfRule>
    <cfRule type="cellIs" dxfId="119" priority="14" operator="equal">
      <formula>#REF!</formula>
    </cfRule>
    <cfRule type="cellIs" dxfId="118" priority="15" operator="equal">
      <formula>#REF!</formula>
    </cfRule>
    <cfRule type="cellIs" dxfId="117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435A26-9BFC-4544-91EE-15A624398E4A}">
  <sheetPr>
    <tabColor theme="6" tint="-0.249977111117893"/>
    <pageSetUpPr fitToPage="1"/>
  </sheetPr>
  <dimension ref="A1:AC164"/>
  <sheetViews>
    <sheetView showGridLines="0" zoomScale="85" zoomScaleNormal="85" zoomScaleSheetLayoutView="90" workbookViewId="0">
      <selection activeCell="C25" sqref="C25:D31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1.26953125" style="5" bestFit="1" customWidth="1"/>
    <col min="25" max="26" width="24.54296875" style="5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198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98009351.27229628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890994102.47542071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242362266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24236226.600000001</v>
      </c>
      <c r="C8" s="637" t="s">
        <v>321</v>
      </c>
      <c r="D8" s="545">
        <f>SUM(E130:E131,K130:K131,Q130:Q131,W130:W131)</f>
        <v>890994102.47542071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Program'!$J$39-'Development Program'!J41</f>
        <v>-28166666.666666668</v>
      </c>
      <c r="C11" s="25" t="s">
        <v>103</v>
      </c>
      <c r="D11" s="354">
        <f ca="1">IF(B31&lt;0,B31,0)</f>
        <v>0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13329924.630000003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5331969.852</v>
      </c>
      <c r="C13" s="25" t="s">
        <v>104</v>
      </c>
      <c r="D13" s="354">
        <f ca="1">B27+D11</f>
        <v>384370574.52516836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Assumptions!$H$14</f>
        <v>0.5</v>
      </c>
      <c r="D14" s="355">
        <f ca="1">C14*B$27</f>
        <v>192185287.26258418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10663939.704</v>
      </c>
      <c r="C15" s="382">
        <f>1-C14</f>
        <v>0.5</v>
      </c>
      <c r="D15" s="356">
        <f ca="1">C15*B$27</f>
        <v>192185287.26258418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7997954.777999999</v>
      </c>
      <c r="C16" s="383" t="s">
        <v>105</v>
      </c>
      <c r="D16" s="93">
        <f ca="1">D14+D15</f>
        <v>384370574.52516836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13329924.630000003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>SUM(C144,I144,O144,U144)</f>
        <v>12028420.38341818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3998977.3889999995</v>
      </c>
      <c r="C19" s="385" t="s">
        <v>108</v>
      </c>
      <c r="D19" s="130">
        <f>D6</f>
        <v>890994102.47542071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1600000</v>
      </c>
      <c r="C20" s="386">
        <v>0.02</v>
      </c>
      <c r="D20" s="131">
        <f>-C20*D19</f>
        <v>-17819882.049508415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19892103.119999997</v>
      </c>
      <c r="C21" s="387" t="s">
        <v>109</v>
      </c>
      <c r="D21" s="94">
        <f>D19+D20</f>
        <v>873174220.42591226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28933716</v>
      </c>
      <c r="C22" s="385" t="s">
        <v>110</v>
      </c>
      <c r="D22" s="130">
        <f ca="1">-D14</f>
        <v>-192185287.26258418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6630701.04</v>
      </c>
      <c r="C23" s="388" t="s">
        <v>111</v>
      </c>
      <c r="D23" s="132">
        <f ca="1">-D15</f>
        <v>-192185287.26258418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 ca="1">SUM(C150,I150,O150,U150)</f>
        <v>3917844.1880147289</v>
      </c>
      <c r="C24" s="389" t="s">
        <v>112</v>
      </c>
      <c r="D24" s="95">
        <f ca="1">ROUND(D21+D22+D23,-2)</f>
        <v>488803600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>
      <c r="A25" s="642" t="s">
        <v>58</v>
      </c>
      <c r="B25" s="396">
        <f ca="1">SUM(C151,I151,O151,U151)</f>
        <v>18283272.877402071</v>
      </c>
      <c r="C25" s="329"/>
      <c r="D25" s="329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 ca="1">SUM(C152,I152,O152,U152)</f>
        <v>10215712.40142845</v>
      </c>
      <c r="C26" s="329"/>
      <c r="D26" s="349"/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 ca="1">SUM(B7:B25)</f>
        <v>384370574.52516836</v>
      </c>
      <c r="C27" s="216"/>
      <c r="D27" s="851"/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 ca="1">D5/B27</f>
        <v>0.25498661387743321</v>
      </c>
      <c r="C28" s="852"/>
      <c r="D28" s="853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 ca="1">(D8/B27)-1</f>
        <v>1.3180601261584841</v>
      </c>
      <c r="C29" s="852"/>
      <c r="D29" s="853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0.4</v>
      </c>
      <c r="B30" s="120">
        <f>D8/(1+A30)</f>
        <v>636424358.9110148</v>
      </c>
      <c r="C30" s="216"/>
      <c r="D30" s="353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0.4</v>
      </c>
      <c r="B31" s="120">
        <f ca="1">ROUND((D8/(1+A31))-B27,0)</f>
        <v>252053784</v>
      </c>
      <c r="C31" s="216"/>
      <c r="D31" s="854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308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226826.2</v>
      </c>
      <c r="E34" s="230"/>
      <c r="G34" s="515" t="s">
        <v>259</v>
      </c>
      <c r="H34" s="516" t="s">
        <v>309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216281.40000000002</v>
      </c>
      <c r="K34" s="230"/>
      <c r="L34" s="328"/>
      <c r="M34" s="515" t="s">
        <v>259</v>
      </c>
      <c r="N34" s="516" t="s">
        <v>310</v>
      </c>
      <c r="O34" s="319" t="s">
        <v>203</v>
      </c>
      <c r="P34" s="320">
        <f>IFERROR(INDEX('Building Configuration'!$B$2:$Z$45,MATCH(N$34,'Building Configuration'!$C$2:$C$45,0),MATCH("Total",'Building Configuration'!$B$2:$Z$2,0)),0)</f>
        <v>143384.29999999999</v>
      </c>
      <c r="Q34" s="230"/>
      <c r="R34" s="328"/>
      <c r="S34" s="515" t="s">
        <v>259</v>
      </c>
      <c r="T34" s="516" t="s">
        <v>311</v>
      </c>
      <c r="U34" s="319" t="s">
        <v>203</v>
      </c>
      <c r="V34" s="320">
        <f>IFERROR(INDEX('Building Configuration'!$B$2:$Z$45,MATCH(T$34,'Building Configuration'!$C$2:$C$45,0),MATCH("Total",'Building Configuration'!$B$2:$Z$2,0)),0)</f>
        <v>198699.69999999998</v>
      </c>
      <c r="W34" s="230"/>
      <c r="X34" s="329"/>
      <c r="Y34" s="317"/>
      <c r="Z34" s="317"/>
      <c r="AB34" s="317"/>
      <c r="AC34" s="317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-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0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-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0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-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0</v>
      </c>
      <c r="W35" s="300"/>
      <c r="X35" s="329"/>
      <c r="Y35" s="317"/>
      <c r="Z35" s="317"/>
      <c r="AB35" s="317"/>
      <c r="AC35" s="317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317"/>
      <c r="Z36" s="317"/>
      <c r="AB36" s="317"/>
      <c r="AC36" s="317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-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0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317"/>
      <c r="Z37" s="541"/>
      <c r="AB37" s="317"/>
      <c r="AC37" s="317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317"/>
      <c r="Z38" s="541"/>
      <c r="AB38" s="317"/>
      <c r="AC38" s="317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-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0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-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0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-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0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317"/>
      <c r="Z39" s="541"/>
      <c r="AB39" s="317"/>
      <c r="AC39" s="317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Laboratory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160109.9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Laboratory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152078.6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Laboratory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126895.5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Laboratory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174869.8</v>
      </c>
      <c r="W40" s="300"/>
      <c r="X40" s="329"/>
      <c r="Y40" s="317"/>
      <c r="Z40" s="541"/>
      <c r="AB40" s="317"/>
      <c r="AC40" s="317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317"/>
      <c r="Z41" s="541"/>
      <c r="AB41" s="317"/>
      <c r="AC41" s="317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317"/>
      <c r="Z42" s="541"/>
      <c r="AB42" s="317"/>
      <c r="AC42" s="317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YES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66716.3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YES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64202.8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YES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16488.8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YES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23829.9</v>
      </c>
      <c r="W43" s="231"/>
      <c r="X43" s="296"/>
      <c r="Y43" s="317"/>
      <c r="Z43" s="542"/>
      <c r="AA43" s="223"/>
      <c r="AB43" s="317"/>
      <c r="AC43" s="317"/>
    </row>
    <row r="44" spans="1:29" ht="15" customHeight="1">
      <c r="A44" s="6" t="s">
        <v>315</v>
      </c>
      <c r="B44" s="459">
        <v>0</v>
      </c>
      <c r="C44" s="460">
        <v>1</v>
      </c>
      <c r="D44" s="322"/>
      <c r="E44" s="231"/>
      <c r="F44" s="223"/>
      <c r="G44" s="6" t="s">
        <v>315</v>
      </c>
      <c r="H44" s="459">
        <v>0</v>
      </c>
      <c r="I44" s="460">
        <v>1</v>
      </c>
      <c r="J44" s="322"/>
      <c r="K44" s="231"/>
      <c r="L44" s="212"/>
      <c r="M44" s="6" t="s">
        <v>315</v>
      </c>
      <c r="N44" s="459">
        <v>0</v>
      </c>
      <c r="O44" s="460">
        <v>1</v>
      </c>
      <c r="P44" s="322"/>
      <c r="Q44" s="231"/>
      <c r="R44" s="212"/>
      <c r="S44" s="6" t="s">
        <v>315</v>
      </c>
      <c r="T44" s="459">
        <v>0</v>
      </c>
      <c r="U44" s="460">
        <v>1</v>
      </c>
      <c r="V44" s="322"/>
      <c r="W44" s="231"/>
      <c r="X44" s="296"/>
      <c r="Y44" s="317"/>
      <c r="Z44" s="317"/>
      <c r="AA44" s="223"/>
      <c r="AB44" s="317"/>
      <c r="AC44" s="317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317"/>
      <c r="Z45" s="317"/>
      <c r="AA45" s="223"/>
      <c r="AB45" s="317"/>
      <c r="AC45" s="317"/>
    </row>
    <row r="46" spans="1:29" ht="15" customHeight="1">
      <c r="A46" s="301" t="s">
        <v>293</v>
      </c>
      <c r="B46" s="302" t="str">
        <f>B$35</f>
        <v>-</v>
      </c>
      <c r="C46" s="510" t="s">
        <v>298</v>
      </c>
      <c r="D46" s="308">
        <f>D$35*E$46</f>
        <v>0</v>
      </c>
      <c r="E46" s="303">
        <f>Assumptions!$C$44</f>
        <v>0.75</v>
      </c>
      <c r="F46" s="296"/>
      <c r="G46" s="301" t="s">
        <v>293</v>
      </c>
      <c r="H46" s="302" t="str">
        <f>H$35</f>
        <v>-</v>
      </c>
      <c r="I46" s="510" t="s">
        <v>298</v>
      </c>
      <c r="J46" s="308">
        <f>J$35*K$46</f>
        <v>0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-</v>
      </c>
      <c r="U46" s="510" t="s">
        <v>298</v>
      </c>
      <c r="V46" s="308">
        <f>V$35*W$46</f>
        <v>0</v>
      </c>
      <c r="W46" s="303">
        <f>Assumptions!$C$44</f>
        <v>0.75</v>
      </c>
      <c r="X46" s="296"/>
      <c r="Y46" s="223"/>
      <c r="Z46" s="223"/>
      <c r="AA46" s="223"/>
      <c r="AB46" s="317"/>
      <c r="AC46" s="317"/>
    </row>
    <row r="47" spans="1:29" ht="15" customHeight="1">
      <c r="A47" s="301" t="s">
        <v>241</v>
      </c>
      <c r="B47" s="458">
        <v>0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>
        <v>0</v>
      </c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>
        <v>0</v>
      </c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0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223"/>
      <c r="Z47" s="223"/>
      <c r="AA47" s="223"/>
      <c r="AB47" s="317"/>
      <c r="AC47" s="317"/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223"/>
      <c r="Z48" s="223"/>
      <c r="AA48" s="223"/>
      <c r="AB48" s="317"/>
      <c r="AC48" s="317"/>
    </row>
    <row r="49" spans="1:29" ht="15" customHeight="1">
      <c r="A49" s="109" t="s">
        <v>72</v>
      </c>
      <c r="B49" s="255">
        <f>B$47*INDEX(Assumptions!$C$52:$C$55,MATCH(A49,Assumptions!$A$52:$A$55,0))</f>
        <v>0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0</v>
      </c>
      <c r="F49" s="296"/>
      <c r="G49" s="109" t="s">
        <v>72</v>
      </c>
      <c r="H49" s="255">
        <f>H$47*INDEX(Assumptions!$C$52:$C$55,MATCH(G49,Assumptions!$A$52:$A$55,0))</f>
        <v>0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0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0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0</v>
      </c>
      <c r="X49" s="296"/>
      <c r="Y49" s="223"/>
      <c r="Z49" s="223"/>
      <c r="AA49" s="223"/>
      <c r="AB49" s="317"/>
      <c r="AC49" s="317"/>
    </row>
    <row r="50" spans="1:29" ht="15" customHeight="1">
      <c r="A50" s="106" t="s">
        <v>73</v>
      </c>
      <c r="B50" s="255">
        <f>B$47*INDEX(Assumptions!$C$52:$C$55,MATCH(A50,Assumptions!$A$52:$A$55,0))</f>
        <v>0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0</v>
      </c>
      <c r="F50" s="296"/>
      <c r="G50" s="106" t="s">
        <v>73</v>
      </c>
      <c r="H50" s="255">
        <f>H$47*INDEX(Assumptions!$C$52:$C$55,MATCH(G50,Assumptions!$A$52:$A$55,0))</f>
        <v>0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0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0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0</v>
      </c>
      <c r="X50" s="296"/>
      <c r="Y50" s="223"/>
      <c r="Z50" s="223"/>
      <c r="AA50" s="223"/>
      <c r="AB50" s="317"/>
      <c r="AC50" s="317"/>
    </row>
    <row r="51" spans="1:29" ht="15" customHeight="1">
      <c r="A51" s="109" t="s">
        <v>74</v>
      </c>
      <c r="B51" s="255">
        <f>B$47*INDEX(Assumptions!$C$52:$C$55,MATCH(A51,Assumptions!$A$52:$A$55,0))</f>
        <v>0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0</v>
      </c>
      <c r="F51" s="297"/>
      <c r="G51" s="109" t="s">
        <v>74</v>
      </c>
      <c r="H51" s="255">
        <f>H$47*INDEX(Assumptions!$C$52:$C$55,MATCH(G51,Assumptions!$A$52:$A$55,0))</f>
        <v>0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0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0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0</v>
      </c>
      <c r="X51" s="317"/>
      <c r="Y51" s="223"/>
      <c r="Z51" s="223"/>
      <c r="AA51" s="223"/>
      <c r="AB51" s="317"/>
      <c r="AC51" s="317"/>
    </row>
    <row r="52" spans="1:29" ht="15" customHeight="1" thickBot="1">
      <c r="A52" s="109" t="s">
        <v>75</v>
      </c>
      <c r="B52" s="255">
        <f>B$47*INDEX(Assumptions!$C$52:$C$55,MATCH(A52,Assumptions!$A$52:$A$55,0))</f>
        <v>0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0</v>
      </c>
      <c r="F52" s="223"/>
      <c r="G52" s="109" t="s">
        <v>75</v>
      </c>
      <c r="H52" s="255">
        <f>H$47*INDEX(Assumptions!$C$52:$C$55,MATCH(G52,Assumptions!$A$52:$A$55,0))</f>
        <v>0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0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0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0</v>
      </c>
      <c r="X52" s="317"/>
      <c r="Y52" s="223"/>
      <c r="Z52" s="223"/>
      <c r="AA52" s="223"/>
    </row>
    <row r="53" spans="1:29" ht="15" customHeight="1" thickTop="1" thickBot="1">
      <c r="A53" s="7" t="s">
        <v>76</v>
      </c>
      <c r="B53" s="8">
        <f>SUM(B49:B52)</f>
        <v>0</v>
      </c>
      <c r="C53" s="9">
        <f>SUMPRODUCT(B49:B52,C49:C52)</f>
        <v>0</v>
      </c>
      <c r="D53" s="225"/>
      <c r="E53" s="226">
        <f>SUM(E49:E52)</f>
        <v>0</v>
      </c>
      <c r="F53" s="297"/>
      <c r="G53" s="7" t="s">
        <v>76</v>
      </c>
      <c r="H53" s="8">
        <f>SUM(H49:H52)</f>
        <v>0</v>
      </c>
      <c r="I53" s="9">
        <f>SUMPRODUCT(H49:H52,I49:I52)</f>
        <v>0</v>
      </c>
      <c r="J53" s="225"/>
      <c r="K53" s="226">
        <f>SUM(K49:K52)</f>
        <v>0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0</v>
      </c>
      <c r="U53" s="9">
        <f>SUMPRODUCT(T49:T52,U49:U52)</f>
        <v>0</v>
      </c>
      <c r="V53" s="225"/>
      <c r="W53" s="226">
        <f>SUM(W49:W52)</f>
        <v>0</v>
      </c>
      <c r="X53" s="317"/>
      <c r="Y53" s="223"/>
      <c r="Z53" s="223"/>
      <c r="AA53" s="223"/>
    </row>
    <row r="54" spans="1:29" ht="15" customHeight="1" thickTop="1" thickBot="1">
      <c r="A54" s="10" t="s">
        <v>77</v>
      </c>
      <c r="B54" s="224"/>
      <c r="C54" s="11">
        <f>IFERROR(C53/B53,0)</f>
        <v>0</v>
      </c>
      <c r="D54" s="227">
        <f>IFERROR((E53/12)/C53,0)</f>
        <v>0</v>
      </c>
      <c r="E54" s="228"/>
      <c r="F54" s="317"/>
      <c r="G54" s="10" t="s">
        <v>77</v>
      </c>
      <c r="H54" s="224"/>
      <c r="I54" s="11">
        <f>IFERROR(I53/H53,0)</f>
        <v>0</v>
      </c>
      <c r="J54" s="227">
        <f>IFERROR((K53/12)/I53,0)</f>
        <v>0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0</v>
      </c>
      <c r="V54" s="227">
        <f>IFERROR((W53/12)/U53,0)</f>
        <v>0</v>
      </c>
      <c r="W54" s="228"/>
      <c r="X54" s="297"/>
      <c r="Y54" s="223"/>
      <c r="Z54" s="223"/>
      <c r="AA54" s="223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223"/>
      <c r="Z55" s="223"/>
      <c r="AA55" s="223"/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223"/>
      <c r="Z56" s="223"/>
      <c r="AA56" s="223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223"/>
      <c r="Z57" s="223"/>
      <c r="AA57" s="223"/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223"/>
      <c r="Z58" s="223"/>
      <c r="AA58" s="223"/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223"/>
      <c r="Z59" s="223"/>
      <c r="AA59" s="223"/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223"/>
      <c r="Z60" s="223"/>
      <c r="AA60" s="223"/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223"/>
      <c r="Z61" s="223"/>
      <c r="AA61" s="223"/>
    </row>
    <row r="62" spans="1:29" ht="15" customHeight="1">
      <c r="A62" s="301" t="s">
        <v>312</v>
      </c>
      <c r="B62" s="302" t="str">
        <f>B$37</f>
        <v>-</v>
      </c>
      <c r="C62" s="510" t="s">
        <v>298</v>
      </c>
      <c r="D62" s="308">
        <f>D$37*E$62</f>
        <v>0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223"/>
      <c r="Z62" s="223"/>
      <c r="AA62" s="223"/>
    </row>
    <row r="63" spans="1:29" ht="15" customHeight="1">
      <c r="A63" s="301" t="s">
        <v>241</v>
      </c>
      <c r="B63" s="458">
        <v>0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223"/>
      <c r="Z63" s="223"/>
      <c r="AA63" s="223"/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223"/>
      <c r="Z64" s="223"/>
      <c r="AA64" s="223"/>
    </row>
    <row r="65" spans="1:27" ht="15" customHeight="1">
      <c r="A65" s="109" t="s">
        <v>72</v>
      </c>
      <c r="B65" s="255">
        <f>B$63*INDEX(Assumptions!$C$52:$C$55,MATCH(A65,Assumptions!$A$52:$A$55,0))</f>
        <v>0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0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223"/>
      <c r="Z65" s="223"/>
      <c r="AA65" s="223"/>
    </row>
    <row r="66" spans="1:27" ht="15" customHeight="1">
      <c r="A66" s="106" t="s">
        <v>73</v>
      </c>
      <c r="B66" s="255">
        <f>B$63*INDEX(Assumptions!$C$52:$C$55,MATCH(A66,Assumptions!$A$52:$A$55,0))</f>
        <v>0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0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223"/>
      <c r="Z66" s="223"/>
      <c r="AA66" s="223"/>
    </row>
    <row r="67" spans="1:27" ht="15" customHeight="1">
      <c r="A67" s="109" t="s">
        <v>74</v>
      </c>
      <c r="B67" s="255">
        <f>B$63*INDEX(Assumptions!$C$52:$C$55,MATCH(A67,Assumptions!$A$52:$A$55,0))</f>
        <v>0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5">12*B67*C67*D67</f>
        <v>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6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7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8">12*T67*U67*V67</f>
        <v>0</v>
      </c>
      <c r="X67" s="297"/>
      <c r="Y67" s="223"/>
      <c r="Z67" s="223"/>
      <c r="AA67" s="223"/>
    </row>
    <row r="68" spans="1:27" ht="15" customHeight="1" thickBot="1">
      <c r="A68" s="109" t="s">
        <v>75</v>
      </c>
      <c r="B68" s="255">
        <f>B$63*INDEX(Assumptions!$C$52:$C$55,MATCH(A68,Assumptions!$A$52:$A$55,0))</f>
        <v>0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223"/>
      <c r="Z68" s="223"/>
      <c r="AA68" s="223"/>
    </row>
    <row r="69" spans="1:27" ht="15" customHeight="1" thickTop="1" thickBot="1">
      <c r="A69" s="7" t="s">
        <v>76</v>
      </c>
      <c r="B69" s="8">
        <f>SUM(B65:B68)</f>
        <v>0</v>
      </c>
      <c r="C69" s="9">
        <f>SUMPRODUCT(B65:B68,C65:C68)</f>
        <v>0</v>
      </c>
      <c r="D69" s="225"/>
      <c r="E69" s="226">
        <f>SUM(E65:E68)</f>
        <v>0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223"/>
      <c r="Z69" s="223"/>
      <c r="AA69" s="223"/>
    </row>
    <row r="70" spans="1:27" ht="15" customHeight="1" thickTop="1" thickBot="1">
      <c r="A70" s="10" t="s">
        <v>77</v>
      </c>
      <c r="B70" s="224"/>
      <c r="C70" s="11">
        <f>IFERROR(C69/B69,0)</f>
        <v>0</v>
      </c>
      <c r="D70" s="227">
        <f>IFERROR((E69/12)/C69,0)</f>
        <v>0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223"/>
      <c r="Z70" s="223"/>
      <c r="AA70" s="223"/>
    </row>
    <row r="71" spans="1:27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223"/>
      <c r="Z71" s="223"/>
      <c r="AA71" s="223"/>
    </row>
    <row r="72" spans="1:27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223"/>
      <c r="Z72" s="223"/>
      <c r="AA72" s="223"/>
    </row>
    <row r="73" spans="1:27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223"/>
      <c r="Z73" s="223"/>
      <c r="AA73" s="223"/>
    </row>
    <row r="74" spans="1:27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</row>
    <row r="75" spans="1:27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</row>
    <row r="76" spans="1:27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</row>
    <row r="77" spans="1:27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</row>
    <row r="78" spans="1:27" ht="15" customHeight="1">
      <c r="A78" s="301" t="s">
        <v>364</v>
      </c>
      <c r="B78" s="302" t="str">
        <f>B$37</f>
        <v>-</v>
      </c>
      <c r="C78" s="302" t="s">
        <v>298</v>
      </c>
      <c r="D78" s="308">
        <f>D$39*E$78</f>
        <v>0</v>
      </c>
      <c r="E78" s="303">
        <f>Assumptions!$C$45</f>
        <v>0.7</v>
      </c>
      <c r="G78" s="301" t="s">
        <v>364</v>
      </c>
      <c r="H78" s="302" t="str">
        <f>H$37</f>
        <v>-</v>
      </c>
      <c r="I78" s="302" t="s">
        <v>298</v>
      </c>
      <c r="J78" s="308">
        <f>J$39*K$78</f>
        <v>0</v>
      </c>
      <c r="K78" s="303">
        <f>Assumptions!$C$45</f>
        <v>0.7</v>
      </c>
      <c r="M78" s="301" t="s">
        <v>364</v>
      </c>
      <c r="N78" s="302" t="str">
        <f>N$37</f>
        <v>-</v>
      </c>
      <c r="O78" s="302" t="s">
        <v>298</v>
      </c>
      <c r="P78" s="308">
        <f>P$39*Q$78</f>
        <v>0</v>
      </c>
      <c r="Q78" s="303">
        <f>Assumptions!$C$45</f>
        <v>0.7</v>
      </c>
      <c r="S78" s="301" t="s">
        <v>364</v>
      </c>
      <c r="T78" s="302" t="str">
        <f>T$37</f>
        <v>-</v>
      </c>
      <c r="U78" s="302" t="s">
        <v>298</v>
      </c>
      <c r="V78" s="308">
        <f>V$39*W$78</f>
        <v>0</v>
      </c>
      <c r="W78" s="303">
        <f>Assumptions!$C$45</f>
        <v>0.7</v>
      </c>
    </row>
    <row r="79" spans="1:27" ht="15" customHeight="1">
      <c r="A79" s="301" t="s">
        <v>257</v>
      </c>
      <c r="B79" s="458">
        <v>0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0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0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</row>
    <row r="80" spans="1:27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</row>
    <row r="81" spans="1:24" ht="15" customHeight="1">
      <c r="A81" s="109" t="s">
        <v>72</v>
      </c>
      <c r="B81" s="255">
        <f>B$79*INDEX(Assumptions!$C$64:$C$67,MATCH(A81,Assumptions!$A$64:$A$67,0))</f>
        <v>0</v>
      </c>
      <c r="C81" s="110">
        <f>Assumptions!$C$32</f>
        <v>454</v>
      </c>
      <c r="D81" s="196">
        <f>Assumptions!$C$33*(1+$E$79)</f>
        <v>2.58</v>
      </c>
      <c r="E81" s="197">
        <f>12*B81*C81*D81</f>
        <v>0</v>
      </c>
      <c r="G81" s="109" t="s">
        <v>72</v>
      </c>
      <c r="H81" s="255">
        <f>H$79*INDEX(Assumptions!$C$64:$C$67,MATCH(G81,Assumptions!$A$64:$A$67,0))</f>
        <v>0</v>
      </c>
      <c r="I81" s="110">
        <f>Assumptions!$C$32</f>
        <v>454</v>
      </c>
      <c r="J81" s="196">
        <f>Assumptions!$C$33*(1+$E$79)</f>
        <v>2.58</v>
      </c>
      <c r="K81" s="197">
        <f>12*H81*I81*J81</f>
        <v>0</v>
      </c>
      <c r="M81" s="109" t="s">
        <v>72</v>
      </c>
      <c r="N81" s="255">
        <f>N$79*INDEX(Assumptions!$C$64:$C$67,MATCH(M81,Assumptions!$A$64:$A$67,0))</f>
        <v>0</v>
      </c>
      <c r="O81" s="110">
        <f>Assumptions!$C$32</f>
        <v>454</v>
      </c>
      <c r="P81" s="196">
        <f>Assumptions!$C$33*(1+$E$79)</f>
        <v>2.58</v>
      </c>
      <c r="Q81" s="197">
        <f>12*N81*O81*P81</f>
        <v>0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</row>
    <row r="82" spans="1:24" ht="15" customHeight="1">
      <c r="A82" s="106" t="s">
        <v>254</v>
      </c>
      <c r="B82" s="255">
        <f>B$79*INDEX(Assumptions!$C$64:$C$67,MATCH(A82,Assumptions!$A$64:$A$67,0))</f>
        <v>0</v>
      </c>
      <c r="C82" s="107">
        <f>Assumptions!$C$35</f>
        <v>707</v>
      </c>
      <c r="D82" s="196">
        <f>Assumptions!$C$36*(1+$E$79)</f>
        <v>1.89</v>
      </c>
      <c r="E82" s="190">
        <f>12*B82*C82*D82</f>
        <v>0</v>
      </c>
      <c r="G82" s="106" t="s">
        <v>254</v>
      </c>
      <c r="H82" s="255">
        <f>H$79*INDEX(Assumptions!$C$64:$C$67,MATCH(G82,Assumptions!$A$64:$A$67,0))</f>
        <v>0</v>
      </c>
      <c r="I82" s="107">
        <f>Assumptions!$C$35</f>
        <v>707</v>
      </c>
      <c r="J82" s="196">
        <f>Assumptions!$C$36*(1+$E$79)</f>
        <v>1.89</v>
      </c>
      <c r="K82" s="190">
        <f>12*H82*I82*J82</f>
        <v>0</v>
      </c>
      <c r="M82" s="106" t="s">
        <v>254</v>
      </c>
      <c r="N82" s="255">
        <f>N$79*INDEX(Assumptions!$C$64:$C$67,MATCH(M82,Assumptions!$A$64:$A$67,0))</f>
        <v>0</v>
      </c>
      <c r="O82" s="107">
        <f>Assumptions!$C$35</f>
        <v>707</v>
      </c>
      <c r="P82" s="196">
        <f>Assumptions!$C$36*(1+$E$79)</f>
        <v>1.89</v>
      </c>
      <c r="Q82" s="190">
        <f>12*N82*O82*P82</f>
        <v>0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</row>
    <row r="83" spans="1:24" ht="15" customHeight="1">
      <c r="A83" s="106" t="s">
        <v>255</v>
      </c>
      <c r="B83" s="255">
        <f>B$79*INDEX(Assumptions!$C$64:$C$67,MATCH(A83,Assumptions!$A$64:$A$67,0))</f>
        <v>0</v>
      </c>
      <c r="C83" s="110">
        <f>Assumptions!$C$38</f>
        <v>999</v>
      </c>
      <c r="D83" s="196">
        <f>Assumptions!$C$39*(1+$E$79)</f>
        <v>2.35</v>
      </c>
      <c r="E83" s="190">
        <f t="shared" ref="E83" si="9">12*B83*C83*D83</f>
        <v>0</v>
      </c>
      <c r="G83" s="106" t="s">
        <v>255</v>
      </c>
      <c r="H83" s="255">
        <f>H$79*INDEX(Assumptions!$C$64:$C$67,MATCH(G83,Assumptions!$A$64:$A$67,0))</f>
        <v>0</v>
      </c>
      <c r="I83" s="110">
        <f>Assumptions!$C$38</f>
        <v>999</v>
      </c>
      <c r="J83" s="196">
        <f>Assumptions!$C$39*(1+$E$79)</f>
        <v>2.35</v>
      </c>
      <c r="K83" s="190">
        <f t="shared" ref="K83" si="10">12*H83*I83*J83</f>
        <v>0</v>
      </c>
      <c r="M83" s="106" t="s">
        <v>255</v>
      </c>
      <c r="N83" s="255">
        <f>N$79*INDEX(Assumptions!$C$64:$C$67,MATCH(M83,Assumptions!$A$64:$A$67,0))</f>
        <v>0</v>
      </c>
      <c r="O83" s="110">
        <f>Assumptions!$C$38</f>
        <v>999</v>
      </c>
      <c r="P83" s="196">
        <f>Assumptions!$C$39*(1+$E$79)</f>
        <v>2.35</v>
      </c>
      <c r="Q83" s="190">
        <f t="shared" ref="Q83" si="11">12*N83*O83*P83</f>
        <v>0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2">12*T83*U83*V83</f>
        <v>0</v>
      </c>
    </row>
    <row r="84" spans="1:24" ht="15" customHeight="1" thickBot="1">
      <c r="A84" s="106" t="s">
        <v>256</v>
      </c>
      <c r="B84" s="255">
        <f>B$79*INDEX(Assumptions!$C$64:$C$67,MATCH(A84,Assumptions!$A$64:$A$67,0))</f>
        <v>0</v>
      </c>
      <c r="C84" s="107">
        <f>Assumptions!$C$41</f>
        <v>1200</v>
      </c>
      <c r="D84" s="196">
        <f>Assumptions!$C$42*(1+$E$79)</f>
        <v>2.17</v>
      </c>
      <c r="E84" s="190">
        <f>12*B84*C84*D84</f>
        <v>0</v>
      </c>
      <c r="G84" s="106" t="s">
        <v>256</v>
      </c>
      <c r="H84" s="255">
        <f>H$79*INDEX(Assumptions!$C$64:$C$67,MATCH(G84,Assumptions!$A$64:$A$67,0))</f>
        <v>0</v>
      </c>
      <c r="I84" s="107">
        <f>Assumptions!$C$41</f>
        <v>1200</v>
      </c>
      <c r="J84" s="196">
        <f>Assumptions!$C$42*(1+$E$79)</f>
        <v>2.17</v>
      </c>
      <c r="K84" s="190">
        <f>12*H84*I84*J84</f>
        <v>0</v>
      </c>
      <c r="M84" s="106" t="s">
        <v>256</v>
      </c>
      <c r="N84" s="255">
        <f>N$79*INDEX(Assumptions!$C$64:$C$67,MATCH(M84,Assumptions!$A$64:$A$67,0))</f>
        <v>0</v>
      </c>
      <c r="O84" s="107">
        <f>Assumptions!$C$41</f>
        <v>1200</v>
      </c>
      <c r="P84" s="196">
        <f>Assumptions!$C$42*(1+$E$79)</f>
        <v>2.17</v>
      </c>
      <c r="Q84" s="190">
        <f>12*N84*O84*P84</f>
        <v>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</row>
    <row r="85" spans="1:24" ht="15" customHeight="1" thickTop="1" thickBot="1">
      <c r="A85" s="7" t="s">
        <v>76</v>
      </c>
      <c r="B85" s="8">
        <f>SUM(B81:B84)</f>
        <v>0</v>
      </c>
      <c r="C85" s="9">
        <f>SUMPRODUCT(B81:B84,C81:C84)</f>
        <v>0</v>
      </c>
      <c r="D85" s="225"/>
      <c r="E85" s="226">
        <f>SUM(E81:E84)</f>
        <v>0</v>
      </c>
      <c r="G85" s="7" t="s">
        <v>76</v>
      </c>
      <c r="H85" s="8">
        <f>SUM(H81:H84)</f>
        <v>0</v>
      </c>
      <c r="I85" s="9">
        <f>SUMPRODUCT(H81:H84,I81:I84)</f>
        <v>0</v>
      </c>
      <c r="J85" s="225"/>
      <c r="K85" s="226">
        <f>SUM(K81:K84)</f>
        <v>0</v>
      </c>
      <c r="M85" s="7" t="s">
        <v>76</v>
      </c>
      <c r="N85" s="8">
        <f>SUM(N81:N84)</f>
        <v>0</v>
      </c>
      <c r="O85" s="9">
        <f>SUMPRODUCT(N81:N84,O81:O84)</f>
        <v>0</v>
      </c>
      <c r="P85" s="225"/>
      <c r="Q85" s="226">
        <f>SUM(Q81:Q84)</f>
        <v>0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</row>
    <row r="86" spans="1:24" ht="15" customHeight="1" thickTop="1" thickBot="1">
      <c r="A86" s="10" t="s">
        <v>77</v>
      </c>
      <c r="B86" s="224"/>
      <c r="C86" s="11">
        <f>IFERROR(C85/B85,0)</f>
        <v>0</v>
      </c>
      <c r="D86" s="227">
        <f>IFERROR((E85/12)/C85,0)</f>
        <v>0</v>
      </c>
      <c r="E86" s="228"/>
      <c r="G86" s="10" t="s">
        <v>77</v>
      </c>
      <c r="H86" s="224"/>
      <c r="I86" s="11">
        <f>IFERROR(I85/H85,0)</f>
        <v>0</v>
      </c>
      <c r="J86" s="227">
        <f>IFERROR((K85/12)/I85,0)</f>
        <v>0</v>
      </c>
      <c r="K86" s="228"/>
      <c r="M86" s="10" t="s">
        <v>77</v>
      </c>
      <c r="N86" s="224"/>
      <c r="O86" s="11">
        <f>IFERROR(O85/N85,0)</f>
        <v>0</v>
      </c>
      <c r="P86" s="227">
        <f>IFERROR((Q85/12)/O85,0)</f>
        <v>0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</row>
    <row r="87" spans="1:24" ht="15" customHeight="1">
      <c r="A87" s="301" t="s">
        <v>299</v>
      </c>
      <c r="B87" s="313" t="str">
        <f>B$40</f>
        <v>Laboratory</v>
      </c>
      <c r="C87" s="311"/>
      <c r="D87" s="312"/>
      <c r="E87" s="326"/>
      <c r="F87" s="211"/>
      <c r="G87" s="301" t="s">
        <v>299</v>
      </c>
      <c r="H87" s="313" t="str">
        <f>H$40</f>
        <v>Laboratory</v>
      </c>
      <c r="I87" s="311"/>
      <c r="J87" s="312"/>
      <c r="K87" s="326"/>
      <c r="L87" s="331"/>
      <c r="M87" s="301" t="s">
        <v>299</v>
      </c>
      <c r="N87" s="313" t="str">
        <f>N$40</f>
        <v>Laboratory</v>
      </c>
      <c r="O87" s="311"/>
      <c r="P87" s="312"/>
      <c r="Q87" s="326"/>
      <c r="R87" s="331"/>
      <c r="S87" s="301" t="s">
        <v>299</v>
      </c>
      <c r="T87" s="313" t="str">
        <f>T$40</f>
        <v>Laboratory</v>
      </c>
      <c r="U87" s="311"/>
      <c r="V87" s="312"/>
      <c r="W87" s="326"/>
      <c r="X87" s="211"/>
    </row>
    <row r="88" spans="1:24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</row>
    <row r="89" spans="1:24" ht="15" customHeight="1">
      <c r="A89" s="217" t="s">
        <v>0</v>
      </c>
      <c r="B89" s="194">
        <f>IFERROR(IF(B$87=A89,D$40,0),0)</f>
        <v>0</v>
      </c>
      <c r="C89" s="218">
        <f>IFERROR(B89*INDEX(Assumptions!$C$46:$C$47,MATCH(A89,Assumptions!$A$46:$A$47,0)),0)</f>
        <v>0</v>
      </c>
      <c r="D89" s="219">
        <f>IF(C89&gt;0,INDEX(Assumptions!$F$5:$F$6,MATCH(A89,Assumptions!$E$5:$E$6,0)),0)</f>
        <v>0</v>
      </c>
      <c r="E89" s="220">
        <f>C89*D89*12</f>
        <v>0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</row>
    <row r="90" spans="1:24" ht="15" customHeight="1" thickBot="1">
      <c r="A90" s="111" t="s">
        <v>204</v>
      </c>
      <c r="B90" s="314">
        <f>IFERROR(IF(B$87=A90,D$40,0),0)</f>
        <v>160109.9</v>
      </c>
      <c r="C90" s="215">
        <f>IFERROR(B90*INDEX(Assumptions!$C$46:$C$47,MATCH(A90,Assumptions!$A$46:$A$47,0)),0)</f>
        <v>96065.939999999988</v>
      </c>
      <c r="D90" s="315">
        <f>IF(C90&gt;0,INDEX(Assumptions!$F$5:$F$6,MATCH(A90,Assumptions!$E$5:$E$6,0)),0)</f>
        <v>30</v>
      </c>
      <c r="E90" s="187">
        <f>C90*D90*12</f>
        <v>34583738.399999999</v>
      </c>
      <c r="G90" s="111" t="s">
        <v>204</v>
      </c>
      <c r="H90" s="314">
        <f>IFERROR(IF(H$87=G90,J$40,0),0)</f>
        <v>152078.6</v>
      </c>
      <c r="I90" s="215">
        <f>IFERROR(H90*INDEX(Assumptions!$C$46:$C$47,MATCH(G90,Assumptions!$A$46:$A$47,0)),0)</f>
        <v>91247.16</v>
      </c>
      <c r="J90" s="315">
        <f>IF(I90&gt;0,INDEX(Assumptions!$F$5:$F$6,MATCH(G90,Assumptions!$E$5:$E$6,0)),0)</f>
        <v>30</v>
      </c>
      <c r="K90" s="187">
        <f>I90*J90*12</f>
        <v>32848977.600000001</v>
      </c>
      <c r="L90" s="332"/>
      <c r="M90" s="111" t="s">
        <v>204</v>
      </c>
      <c r="N90" s="314">
        <f>IFERROR(IF(N$87=M90,P$40,0),0)</f>
        <v>126895.5</v>
      </c>
      <c r="O90" s="215">
        <f>IFERROR(N90*INDEX(Assumptions!$C$46:$C$47,MATCH(M90,Assumptions!$A$46:$A$47,0)),0)</f>
        <v>76137.3</v>
      </c>
      <c r="P90" s="315">
        <f>IF(O90&gt;0,INDEX(Assumptions!$F$5:$F$6,MATCH(M90,Assumptions!$E$5:$E$6,0)),0)</f>
        <v>30</v>
      </c>
      <c r="Q90" s="187">
        <f>O90*P90*12</f>
        <v>27409428</v>
      </c>
      <c r="R90" s="332"/>
      <c r="S90" s="111" t="s">
        <v>204</v>
      </c>
      <c r="T90" s="314">
        <f>IFERROR(IF(T$87=S90,V$40,0),0)</f>
        <v>174869.8</v>
      </c>
      <c r="U90" s="215">
        <f>IFERROR(T90*INDEX(Assumptions!$C$46:$C$47,MATCH(S90,Assumptions!$A$46:$A$47,0)),0)</f>
        <v>104921.87999999999</v>
      </c>
      <c r="V90" s="315">
        <f>IF(U90&gt;0,INDEX(Assumptions!$F$5:$F$6,MATCH(S90,Assumptions!$E$5:$E$6,0)),0)</f>
        <v>30</v>
      </c>
      <c r="W90" s="187">
        <f>U90*V90*12</f>
        <v>37771876.799999997</v>
      </c>
    </row>
    <row r="91" spans="1:24" ht="15" customHeight="1" thickTop="1" thickBot="1">
      <c r="A91" s="12" t="s">
        <v>76</v>
      </c>
      <c r="B91" s="191">
        <f>SUM(B89:B90)</f>
        <v>160109.9</v>
      </c>
      <c r="C91" s="191">
        <f>SUM(C89:C90)</f>
        <v>96065.939999999988</v>
      </c>
      <c r="D91" s="188">
        <f>IF(B91=0,0,E91/B91)</f>
        <v>216</v>
      </c>
      <c r="E91" s="189">
        <f>SUM(E89:E90)</f>
        <v>34583738.399999999</v>
      </c>
      <c r="G91" s="12" t="s">
        <v>76</v>
      </c>
      <c r="H91" s="191">
        <f>SUM(H89:H90)</f>
        <v>152078.6</v>
      </c>
      <c r="I91" s="191">
        <f>SUM(I89:I90)</f>
        <v>91247.16</v>
      </c>
      <c r="J91" s="188">
        <f>IF(H91=0,0,K91/H91)</f>
        <v>216</v>
      </c>
      <c r="K91" s="189">
        <f>SUM(K89:K90)</f>
        <v>32848977.600000001</v>
      </c>
      <c r="L91" s="332"/>
      <c r="M91" s="12" t="s">
        <v>76</v>
      </c>
      <c r="N91" s="191">
        <f>SUM(N89:N90)</f>
        <v>126895.5</v>
      </c>
      <c r="O91" s="191">
        <f>SUM(O89:O90)</f>
        <v>76137.3</v>
      </c>
      <c r="P91" s="188">
        <f>IF(N91=0,0,Q91/N91)</f>
        <v>216</v>
      </c>
      <c r="Q91" s="189">
        <f>SUM(Q89:Q90)</f>
        <v>27409428</v>
      </c>
      <c r="R91" s="332"/>
      <c r="S91" s="12" t="s">
        <v>76</v>
      </c>
      <c r="T91" s="191">
        <f>SUM(T89:T90)</f>
        <v>174869.8</v>
      </c>
      <c r="U91" s="191">
        <f>SUM(U89:U90)</f>
        <v>104921.87999999999</v>
      </c>
      <c r="V91" s="188">
        <f>IF(T91=0,0,W91/T91)</f>
        <v>216</v>
      </c>
      <c r="W91" s="189">
        <f>SUM(W89:W90)</f>
        <v>37771876.799999997</v>
      </c>
    </row>
    <row r="92" spans="1:24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</row>
    <row r="93" spans="1:24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</row>
    <row r="94" spans="1:24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</row>
    <row r="95" spans="1:24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</row>
    <row r="96" spans="1:24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</row>
    <row r="97" spans="1:23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</row>
    <row r="98" spans="1:23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</row>
    <row r="99" spans="1:23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</row>
    <row r="100" spans="1:23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</row>
    <row r="101" spans="1:23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</row>
    <row r="102" spans="1:23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</row>
    <row r="103" spans="1:23" ht="15" customHeight="1" thickBot="1">
      <c r="A103" s="341"/>
      <c r="B103" s="335">
        <f>D43</f>
        <v>66716.3</v>
      </c>
      <c r="C103" s="295">
        <f>IF(B103=0,0,IFERROR((B103/Assumptions!$C$82)-1,0))</f>
        <v>410.82901234567902</v>
      </c>
      <c r="D103" s="334"/>
      <c r="E103" s="187"/>
      <c r="G103" s="341"/>
      <c r="H103" s="335">
        <f>J43</f>
        <v>64202.8</v>
      </c>
      <c r="I103" s="295">
        <f>IF(H103=0,0,IFERROR((H103/Assumptions!$C$82)-1,0))</f>
        <v>395.3135802469136</v>
      </c>
      <c r="J103" s="334"/>
      <c r="K103" s="187"/>
      <c r="M103" s="341"/>
      <c r="N103" s="335">
        <f>P43</f>
        <v>16488.8</v>
      </c>
      <c r="O103" s="295">
        <f>IF(N103=0,0,IFERROR((N103/Assumptions!$C$82)-1,0))</f>
        <v>100.78271604938271</v>
      </c>
      <c r="P103" s="334"/>
      <c r="Q103" s="187"/>
      <c r="S103" s="341"/>
      <c r="T103" s="335">
        <f>V43</f>
        <v>23829.9</v>
      </c>
      <c r="U103" s="295">
        <f>IF(T103=0,0,IFERROR((T103/Assumptions!$C$82)-1,0))</f>
        <v>146.09814814814817</v>
      </c>
      <c r="V103" s="334"/>
      <c r="W103" s="187"/>
    </row>
    <row r="104" spans="1:23" ht="15" customHeight="1" thickTop="1">
      <c r="A104" s="461" t="s">
        <v>79</v>
      </c>
      <c r="B104" s="336">
        <f>B$103*B44</f>
        <v>0</v>
      </c>
      <c r="C104" s="333">
        <f>IF(B104=0,0,IFERROR((B104/Assumptions!$C$82)-1,0))</f>
        <v>0</v>
      </c>
      <c r="D104" s="118">
        <f>Assumptions!$C85</f>
        <v>250</v>
      </c>
      <c r="E104" s="220">
        <f>IF(B$56&gt;0,0,IF(C104&lt;0,0,C104*D104*12))</f>
        <v>0</v>
      </c>
      <c r="G104" s="461" t="s">
        <v>79</v>
      </c>
      <c r="H104" s="336">
        <f>H$103*H44</f>
        <v>0</v>
      </c>
      <c r="I104" s="333">
        <f>IF(H104=0,0,IFERROR((H104/Assumptions!$C$82)-1,0))</f>
        <v>0</v>
      </c>
      <c r="J104" s="118">
        <f>Assumptions!$C85</f>
        <v>250</v>
      </c>
      <c r="K104" s="220">
        <f>IF(H$56&gt;0,0,IF(I104&lt;0,0,I104*J104*12))</f>
        <v>0</v>
      </c>
      <c r="M104" s="461" t="s">
        <v>79</v>
      </c>
      <c r="N104" s="336">
        <f>N$103*N44</f>
        <v>0</v>
      </c>
      <c r="O104" s="333">
        <f>IF(N104=0,0,IFERROR((N104/Assumptions!$C$82)-1,0))</f>
        <v>0</v>
      </c>
      <c r="P104" s="118">
        <f>Assumptions!$C85</f>
        <v>250</v>
      </c>
      <c r="Q104" s="220">
        <f>IF(N$56&gt;0,0,IF(O104&lt;0,0,O104*P104*12))</f>
        <v>0</v>
      </c>
      <c r="S104" s="461" t="s">
        <v>79</v>
      </c>
      <c r="T104" s="336">
        <f>T$103*T44</f>
        <v>0</v>
      </c>
      <c r="U104" s="333">
        <f>IF(T104=0,0,IFERROR((T104/Assumptions!$C$82)-1,0))</f>
        <v>0</v>
      </c>
      <c r="V104" s="118">
        <f>Assumptions!$C85</f>
        <v>250</v>
      </c>
      <c r="W104" s="220">
        <f>IF(T$56&gt;0,0,IF(U104&lt;0,0,U104*V104*12))</f>
        <v>0</v>
      </c>
    </row>
    <row r="105" spans="1:23" ht="15" customHeight="1" thickBot="1">
      <c r="A105" s="462" t="s">
        <v>269</v>
      </c>
      <c r="B105" s="342">
        <f>B$103*C44</f>
        <v>66716.3</v>
      </c>
      <c r="C105" s="343">
        <f>IF(B105=0,0,IFERROR((B105/Assumptions!$C$82)-1,0))</f>
        <v>410.82901234567902</v>
      </c>
      <c r="D105" s="344">
        <f>Assumptions!$C86</f>
        <v>200</v>
      </c>
      <c r="E105" s="345">
        <f>IF(B$56&gt;0,0,IF(C105&lt;0,0,C105*D105*12))</f>
        <v>985989.62962962966</v>
      </c>
      <c r="G105" s="462" t="s">
        <v>269</v>
      </c>
      <c r="H105" s="342">
        <f>H$103*I44</f>
        <v>64202.8</v>
      </c>
      <c r="I105" s="343">
        <f>IF(H105=0,0,IFERROR((H105/Assumptions!$C$82)-1,0))</f>
        <v>395.3135802469136</v>
      </c>
      <c r="J105" s="344">
        <f>Assumptions!$C86</f>
        <v>200</v>
      </c>
      <c r="K105" s="345">
        <f>IF(H$56&gt;0,0,IF(I105&lt;0,0,I105*J105*12))</f>
        <v>948752.5925925927</v>
      </c>
      <c r="M105" s="462" t="s">
        <v>269</v>
      </c>
      <c r="N105" s="342">
        <f>N$103*O44</f>
        <v>16488.8</v>
      </c>
      <c r="O105" s="343">
        <f>IF(N105=0,0,IFERROR((N105/Assumptions!$C$82)-1,0))</f>
        <v>100.78271604938271</v>
      </c>
      <c r="P105" s="344">
        <f>Assumptions!$C86</f>
        <v>200</v>
      </c>
      <c r="Q105" s="345">
        <f>IF(N$56&gt;0,0,IF(O105&lt;0,0,O105*P105*12))</f>
        <v>241878.51851851848</v>
      </c>
      <c r="S105" s="462" t="s">
        <v>269</v>
      </c>
      <c r="T105" s="342">
        <f>T$103*U44</f>
        <v>23829.9</v>
      </c>
      <c r="U105" s="343">
        <f>IF(T105=0,0,IFERROR((T105/Assumptions!$C$82)-1,0))</f>
        <v>146.09814814814817</v>
      </c>
      <c r="V105" s="344">
        <f>Assumptions!$C86</f>
        <v>200</v>
      </c>
      <c r="W105" s="345">
        <f>IF(T$56&gt;0,0,IF(U105&lt;0,0,U105*V105*12))</f>
        <v>350635.55555555562</v>
      </c>
    </row>
    <row r="106" spans="1:23" ht="10" customHeight="1" thickBot="1"/>
    <row r="107" spans="1:23" ht="15" customHeight="1" thickBot="1">
      <c r="A107" s="259" t="s">
        <v>81</v>
      </c>
      <c r="B107" s="260"/>
      <c r="C107" s="256" t="str">
        <f>B34</f>
        <v>Laboratory 1</v>
      </c>
      <c r="D107" s="256"/>
      <c r="E107" s="281"/>
      <c r="F107" s="13"/>
      <c r="G107" s="259" t="s">
        <v>81</v>
      </c>
      <c r="H107" s="260"/>
      <c r="I107" s="256" t="str">
        <f>H34</f>
        <v>Laboratory 2</v>
      </c>
      <c r="J107" s="256"/>
      <c r="K107" s="281"/>
      <c r="L107" s="13"/>
      <c r="M107" s="259" t="s">
        <v>81</v>
      </c>
      <c r="N107" s="260"/>
      <c r="O107" s="256" t="str">
        <f>N34</f>
        <v>Laboratory 3</v>
      </c>
      <c r="P107" s="256"/>
      <c r="Q107" s="281"/>
      <c r="R107" s="13"/>
      <c r="S107" s="259" t="s">
        <v>81</v>
      </c>
      <c r="T107" s="260"/>
      <c r="U107" s="256" t="str">
        <f>T34</f>
        <v>Laboratory 4</v>
      </c>
      <c r="V107" s="256"/>
      <c r="W107" s="281"/>
    </row>
    <row r="108" spans="1:23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</row>
    <row r="109" spans="1:23" ht="12.5">
      <c r="A109" s="112" t="s">
        <v>268</v>
      </c>
      <c r="B109" s="113"/>
      <c r="C109" s="114"/>
      <c r="D109" s="262"/>
      <c r="E109" s="14">
        <f>SUM(E53,E69,E85)</f>
        <v>0</v>
      </c>
      <c r="F109" s="13"/>
      <c r="G109" s="112" t="s">
        <v>268</v>
      </c>
      <c r="H109" s="113"/>
      <c r="I109" s="114"/>
      <c r="J109" s="262"/>
      <c r="K109" s="14">
        <f>SUM(K53,K69,K85)</f>
        <v>0</v>
      </c>
      <c r="L109" s="13"/>
      <c r="M109" s="112" t="s">
        <v>268</v>
      </c>
      <c r="N109" s="113"/>
      <c r="O109" s="114"/>
      <c r="P109" s="262"/>
      <c r="Q109" s="14">
        <f>SUM(Q53,Q69,Q85)</f>
        <v>0</v>
      </c>
      <c r="R109" s="13"/>
      <c r="S109" s="112" t="s">
        <v>268</v>
      </c>
      <c r="T109" s="113"/>
      <c r="U109" s="114"/>
      <c r="V109" s="262"/>
      <c r="W109" s="14">
        <f>SUM(W53,W69,W85)</f>
        <v>0</v>
      </c>
    </row>
    <row r="110" spans="1:23" ht="12.5">
      <c r="A110" s="275" t="s">
        <v>313</v>
      </c>
      <c r="B110" s="113"/>
      <c r="C110" s="114"/>
      <c r="D110" s="277"/>
      <c r="E110" s="276">
        <f>SUM(E91,E96)</f>
        <v>34583738.399999999</v>
      </c>
      <c r="F110" s="13"/>
      <c r="G110" s="275" t="s">
        <v>313</v>
      </c>
      <c r="H110" s="113"/>
      <c r="I110" s="114"/>
      <c r="J110" s="277"/>
      <c r="K110" s="276">
        <f>SUM(K91,K96)</f>
        <v>32848977.600000001</v>
      </c>
      <c r="L110" s="13"/>
      <c r="M110" s="275" t="s">
        <v>313</v>
      </c>
      <c r="N110" s="113"/>
      <c r="O110" s="114"/>
      <c r="P110" s="277"/>
      <c r="Q110" s="276">
        <f>SUM(Q91,Q96)</f>
        <v>27409428</v>
      </c>
      <c r="R110" s="13"/>
      <c r="S110" s="275" t="s">
        <v>313</v>
      </c>
      <c r="T110" s="113"/>
      <c r="U110" s="114"/>
      <c r="V110" s="277"/>
      <c r="W110" s="276">
        <f>SUM(W91,W96)</f>
        <v>37771876.799999997</v>
      </c>
    </row>
    <row r="111" spans="1:23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</row>
    <row r="112" spans="1:23" ht="13">
      <c r="A112" s="284" t="s">
        <v>275</v>
      </c>
      <c r="B112" s="273"/>
      <c r="C112" s="273"/>
      <c r="D112" s="267"/>
      <c r="E112" s="285">
        <f>SUM(E109:E111)</f>
        <v>34583738.399999999</v>
      </c>
      <c r="F112" s="13"/>
      <c r="G112" s="284" t="s">
        <v>275</v>
      </c>
      <c r="H112" s="273"/>
      <c r="I112" s="273"/>
      <c r="J112" s="267"/>
      <c r="K112" s="285">
        <f>SUM(K109:K111)</f>
        <v>32848977.600000001</v>
      </c>
      <c r="L112" s="13"/>
      <c r="M112" s="284" t="s">
        <v>275</v>
      </c>
      <c r="N112" s="273"/>
      <c r="O112" s="273"/>
      <c r="P112" s="267"/>
      <c r="Q112" s="285">
        <f>SUM(Q109:Q111)</f>
        <v>27409428</v>
      </c>
      <c r="R112" s="13"/>
      <c r="S112" s="284" t="s">
        <v>275</v>
      </c>
      <c r="T112" s="273"/>
      <c r="U112" s="273"/>
      <c r="V112" s="267"/>
      <c r="W112" s="285">
        <f>SUM(W109:W111)</f>
        <v>37771876.799999997</v>
      </c>
    </row>
    <row r="113" spans="1:25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</row>
    <row r="114" spans="1:25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</row>
    <row r="115" spans="1:25" ht="12.5">
      <c r="A115" s="288" t="s">
        <v>270</v>
      </c>
      <c r="B115" s="659"/>
      <c r="C115" s="116"/>
      <c r="D115" s="116"/>
      <c r="E115" s="289">
        <f>E104</f>
        <v>0</v>
      </c>
      <c r="F115" s="13"/>
      <c r="G115" s="288" t="s">
        <v>270</v>
      </c>
      <c r="H115" s="659"/>
      <c r="I115" s="116"/>
      <c r="J115" s="116"/>
      <c r="K115" s="289">
        <f>K104</f>
        <v>0</v>
      </c>
      <c r="L115" s="13"/>
      <c r="M115" s="288" t="s">
        <v>270</v>
      </c>
      <c r="N115" s="659"/>
      <c r="O115" s="116"/>
      <c r="P115" s="116"/>
      <c r="Q115" s="289">
        <f>Q104</f>
        <v>0</v>
      </c>
      <c r="R115" s="13"/>
      <c r="S115" s="288" t="s">
        <v>270</v>
      </c>
      <c r="T115" s="659"/>
      <c r="U115" s="116"/>
      <c r="V115" s="116"/>
      <c r="W115" s="289">
        <f>W104</f>
        <v>0</v>
      </c>
    </row>
    <row r="116" spans="1:25" ht="12.5">
      <c r="A116" s="288" t="s">
        <v>271</v>
      </c>
      <c r="B116" s="659"/>
      <c r="C116" s="116"/>
      <c r="D116" s="116"/>
      <c r="E116" s="289">
        <f>E105</f>
        <v>985989.62962962966</v>
      </c>
      <c r="F116" s="13"/>
      <c r="G116" s="288" t="s">
        <v>271</v>
      </c>
      <c r="H116" s="659"/>
      <c r="I116" s="116"/>
      <c r="J116" s="116"/>
      <c r="K116" s="289">
        <f>K105</f>
        <v>948752.5925925927</v>
      </c>
      <c r="L116" s="13"/>
      <c r="M116" s="288" t="s">
        <v>271</v>
      </c>
      <c r="N116" s="659"/>
      <c r="O116" s="116"/>
      <c r="P116" s="116"/>
      <c r="Q116" s="289">
        <f>Q105</f>
        <v>241878.51851851848</v>
      </c>
      <c r="R116" s="13"/>
      <c r="S116" s="288" t="s">
        <v>271</v>
      </c>
      <c r="T116" s="659"/>
      <c r="U116" s="116"/>
      <c r="V116" s="116"/>
      <c r="W116" s="289">
        <f>W105</f>
        <v>350635.55555555562</v>
      </c>
    </row>
    <row r="117" spans="1:25" ht="12.5">
      <c r="A117" s="288" t="s">
        <v>85</v>
      </c>
      <c r="B117" s="116"/>
      <c r="C117" s="116"/>
      <c r="D117" s="116"/>
      <c r="E117" s="289">
        <f>Assumptions!$H$17*E112</f>
        <v>2420861.6880000001</v>
      </c>
      <c r="F117" s="13"/>
      <c r="G117" s="288" t="s">
        <v>85</v>
      </c>
      <c r="H117" s="116"/>
      <c r="I117" s="116"/>
      <c r="J117" s="116"/>
      <c r="K117" s="289">
        <f>Assumptions!$H$17*K112</f>
        <v>2299428.4320000005</v>
      </c>
      <c r="L117" s="13"/>
      <c r="M117" s="288" t="s">
        <v>85</v>
      </c>
      <c r="N117" s="116"/>
      <c r="O117" s="116"/>
      <c r="P117" s="116"/>
      <c r="Q117" s="289">
        <f>Assumptions!$H$17*Q112</f>
        <v>1918659.9600000002</v>
      </c>
      <c r="R117" s="13"/>
      <c r="S117" s="288" t="s">
        <v>85</v>
      </c>
      <c r="T117" s="116"/>
      <c r="U117" s="116"/>
      <c r="V117" s="116"/>
      <c r="W117" s="289">
        <f>Assumptions!$H$17*W112</f>
        <v>2644031.3760000002</v>
      </c>
    </row>
    <row r="118" spans="1:25" ht="13.5" thickBot="1">
      <c r="A118" s="264" t="s">
        <v>86</v>
      </c>
      <c r="B118" s="249"/>
      <c r="C118" s="268"/>
      <c r="D118" s="280"/>
      <c r="E118" s="250">
        <f>SUM(E115:E117)</f>
        <v>3406851.3176296297</v>
      </c>
      <c r="F118" s="13"/>
      <c r="G118" s="264" t="s">
        <v>86</v>
      </c>
      <c r="H118" s="249"/>
      <c r="I118" s="268"/>
      <c r="J118" s="280"/>
      <c r="K118" s="250">
        <f>SUM(K115:K117)</f>
        <v>3248181.0245925933</v>
      </c>
      <c r="L118" s="13"/>
      <c r="M118" s="264" t="s">
        <v>86</v>
      </c>
      <c r="N118" s="249"/>
      <c r="O118" s="268"/>
      <c r="P118" s="280"/>
      <c r="Q118" s="250">
        <f>SUM(Q115:Q117)</f>
        <v>2160538.4785185186</v>
      </c>
      <c r="R118" s="13"/>
      <c r="S118" s="264" t="s">
        <v>86</v>
      </c>
      <c r="T118" s="249"/>
      <c r="U118" s="268"/>
      <c r="V118" s="280"/>
      <c r="W118" s="250">
        <f>SUM(W115:W117)</f>
        <v>2994666.9315555557</v>
      </c>
    </row>
    <row r="119" spans="1:25" ht="14" thickTop="1" thickBot="1">
      <c r="A119" s="70">
        <v>0.05</v>
      </c>
      <c r="B119" s="251"/>
      <c r="C119" s="269"/>
      <c r="D119" s="279"/>
      <c r="E119" s="258">
        <f>-A119*E112</f>
        <v>-1729186.92</v>
      </c>
      <c r="F119" s="13"/>
      <c r="G119" s="70">
        <v>0.05</v>
      </c>
      <c r="H119" s="251"/>
      <c r="I119" s="269"/>
      <c r="J119" s="279"/>
      <c r="K119" s="258">
        <f>-G119*K112</f>
        <v>-1642448.8800000001</v>
      </c>
      <c r="L119" s="13"/>
      <c r="M119" s="70">
        <v>0.05</v>
      </c>
      <c r="N119" s="251"/>
      <c r="O119" s="269"/>
      <c r="P119" s="279"/>
      <c r="Q119" s="258">
        <f>-M119*Q112</f>
        <v>-1370471.4000000001</v>
      </c>
      <c r="R119" s="13"/>
      <c r="S119" s="70">
        <v>0.05</v>
      </c>
      <c r="T119" s="251"/>
      <c r="U119" s="269"/>
      <c r="V119" s="279"/>
      <c r="W119" s="258">
        <f>-S119*W112</f>
        <v>-1888593.8399999999</v>
      </c>
    </row>
    <row r="120" spans="1:25" ht="14" thickTop="1" thickBot="1">
      <c r="A120" s="117" t="s">
        <v>87</v>
      </c>
      <c r="B120" s="15"/>
      <c r="C120" s="270"/>
      <c r="D120" s="278"/>
      <c r="E120" s="271">
        <f>E112+E118+E119</f>
        <v>36261402.797629625</v>
      </c>
      <c r="F120" s="13"/>
      <c r="G120" s="117" t="s">
        <v>87</v>
      </c>
      <c r="H120" s="15"/>
      <c r="I120" s="270"/>
      <c r="J120" s="278"/>
      <c r="K120" s="271">
        <f>K112+K118+K119</f>
        <v>34454709.744592592</v>
      </c>
      <c r="L120" s="13"/>
      <c r="M120" s="117" t="s">
        <v>87</v>
      </c>
      <c r="N120" s="15"/>
      <c r="O120" s="270"/>
      <c r="P120" s="278"/>
      <c r="Q120" s="271">
        <f>Q112+Q118+Q119</f>
        <v>28199495.078518521</v>
      </c>
      <c r="R120" s="13"/>
      <c r="S120" s="117" t="s">
        <v>87</v>
      </c>
      <c r="T120" s="15"/>
      <c r="U120" s="270"/>
      <c r="V120" s="278"/>
      <c r="W120" s="271">
        <f>W112+W118+W119</f>
        <v>38877949.891555548</v>
      </c>
    </row>
    <row r="121" spans="1:25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</row>
    <row r="122" spans="1:25" ht="13.5" thickBot="1">
      <c r="A122" s="290" t="s">
        <v>89</v>
      </c>
      <c r="B122" s="274"/>
      <c r="C122" s="17"/>
      <c r="D122" s="17"/>
      <c r="E122" s="291">
        <f>-0.3*E112</f>
        <v>-10375121.52</v>
      </c>
      <c r="F122" s="13"/>
      <c r="G122" s="290" t="s">
        <v>89</v>
      </c>
      <c r="H122" s="274"/>
      <c r="I122" s="17"/>
      <c r="J122" s="17"/>
      <c r="K122" s="291">
        <f>-0.3*K112</f>
        <v>-9854693.2799999993</v>
      </c>
      <c r="L122" s="13"/>
      <c r="M122" s="290" t="s">
        <v>89</v>
      </c>
      <c r="N122" s="274"/>
      <c r="O122" s="17"/>
      <c r="P122" s="17"/>
      <c r="Q122" s="291">
        <f>-0.3*Q112</f>
        <v>-8222828.3999999994</v>
      </c>
      <c r="R122" s="13"/>
      <c r="S122" s="290" t="s">
        <v>89</v>
      </c>
      <c r="T122" s="274"/>
      <c r="U122" s="17"/>
      <c r="V122" s="17"/>
      <c r="W122" s="291">
        <f>-0.3*W112</f>
        <v>-11331563.039999999</v>
      </c>
    </row>
    <row r="123" spans="1:25" ht="13.5" thickBot="1">
      <c r="A123" s="292" t="s">
        <v>90</v>
      </c>
      <c r="B123" s="261"/>
      <c r="C123" s="261"/>
      <c r="D123" s="261"/>
      <c r="E123" s="293">
        <f>E120+E122</f>
        <v>25886281.277629625</v>
      </c>
      <c r="F123" s="13"/>
      <c r="G123" s="292" t="s">
        <v>90</v>
      </c>
      <c r="H123" s="261"/>
      <c r="I123" s="261"/>
      <c r="J123" s="261"/>
      <c r="K123" s="293">
        <f>K120+K122</f>
        <v>24600016.464592591</v>
      </c>
      <c r="L123" s="13"/>
      <c r="M123" s="292" t="s">
        <v>90</v>
      </c>
      <c r="N123" s="261"/>
      <c r="O123" s="261"/>
      <c r="P123" s="261"/>
      <c r="Q123" s="293">
        <f>Q120+Q122</f>
        <v>19976666.678518523</v>
      </c>
      <c r="R123" s="13"/>
      <c r="S123" s="292" t="s">
        <v>90</v>
      </c>
      <c r="T123" s="261"/>
      <c r="U123" s="261"/>
      <c r="V123" s="261"/>
      <c r="W123" s="293">
        <f>W120+W122</f>
        <v>27546386.851555549</v>
      </c>
    </row>
    <row r="124" spans="1:25" ht="13" thickBot="1">
      <c r="F124" s="13"/>
      <c r="L124" s="13"/>
      <c r="R124" s="13"/>
    </row>
    <row r="125" spans="1:25" ht="13.5" thickBot="1">
      <c r="A125" s="259" t="s">
        <v>355</v>
      </c>
      <c r="B125" s="260"/>
      <c r="C125" s="256" t="str">
        <f>B34</f>
        <v>Laboratory 1</v>
      </c>
      <c r="D125" s="256"/>
      <c r="E125" s="281"/>
      <c r="F125" s="13"/>
      <c r="G125" s="259" t="s">
        <v>355</v>
      </c>
      <c r="H125" s="260"/>
      <c r="I125" s="256" t="str">
        <f>H34</f>
        <v>Laboratory 2</v>
      </c>
      <c r="J125" s="256"/>
      <c r="K125" s="281"/>
      <c r="L125" s="13"/>
      <c r="M125" s="259" t="s">
        <v>355</v>
      </c>
      <c r="N125" s="260"/>
      <c r="O125" s="256" t="str">
        <f>N34</f>
        <v>Laboratory 3</v>
      </c>
      <c r="P125" s="256"/>
      <c r="Q125" s="281"/>
      <c r="R125" s="13"/>
      <c r="S125" s="259" t="s">
        <v>355</v>
      </c>
      <c r="T125" s="260"/>
      <c r="U125" s="256" t="str">
        <f>T34</f>
        <v>Laboratory 4</v>
      </c>
      <c r="V125" s="256"/>
      <c r="W125" s="281"/>
    </row>
    <row r="126" spans="1:25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</row>
    <row r="127" spans="1:25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</row>
    <row r="128" spans="1:25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13"/>
    </row>
    <row r="129" spans="1:25" ht="13" thickBot="1">
      <c r="F129" s="13"/>
      <c r="L129" s="13"/>
      <c r="R129" s="13"/>
      <c r="Y129" s="13"/>
    </row>
    <row r="130" spans="1:25" ht="13.5" thickBot="1">
      <c r="A130" s="522" t="s">
        <v>317</v>
      </c>
      <c r="B130" s="523" t="s">
        <v>91</v>
      </c>
      <c r="C130" s="524">
        <f>Assumptions!H7</f>
        <v>0.11</v>
      </c>
      <c r="D130" s="521" t="s">
        <v>356</v>
      </c>
      <c r="E130" s="346">
        <f>E123/C130</f>
        <v>235329829.79663295</v>
      </c>
      <c r="F130" s="13"/>
      <c r="G130" s="522" t="s">
        <v>317</v>
      </c>
      <c r="H130" s="523" t="s">
        <v>91</v>
      </c>
      <c r="I130" s="524">
        <f>Assumptions!H7</f>
        <v>0.11</v>
      </c>
      <c r="J130" s="521" t="s">
        <v>356</v>
      </c>
      <c r="K130" s="346">
        <f>K123/I130</f>
        <v>223636513.3144781</v>
      </c>
      <c r="L130" s="13"/>
      <c r="M130" s="522" t="s">
        <v>317</v>
      </c>
      <c r="N130" s="523" t="s">
        <v>91</v>
      </c>
      <c r="O130" s="524">
        <f>Assumptions!H7</f>
        <v>0.11</v>
      </c>
      <c r="P130" s="521" t="s">
        <v>356</v>
      </c>
      <c r="Q130" s="346">
        <f>Q123/O130</f>
        <v>181606060.71380475</v>
      </c>
      <c r="R130" s="13"/>
      <c r="S130" s="522" t="s">
        <v>317</v>
      </c>
      <c r="T130" s="523" t="s">
        <v>91</v>
      </c>
      <c r="U130" s="524">
        <f>Assumptions!H7</f>
        <v>0.11</v>
      </c>
      <c r="V130" s="521" t="s">
        <v>356</v>
      </c>
      <c r="W130" s="346">
        <f>W123/U130</f>
        <v>250421698.65050498</v>
      </c>
    </row>
    <row r="131" spans="1:25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</row>
    <row r="132" spans="1:25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</row>
    <row r="133" spans="1:25" ht="12.5">
      <c r="A133" s="88" t="s">
        <v>94</v>
      </c>
      <c r="B133" s="531">
        <f>Assumptions!$F$12</f>
        <v>330</v>
      </c>
      <c r="C133" s="395">
        <f>B133*D34</f>
        <v>74852646</v>
      </c>
      <c r="F133" s="13"/>
      <c r="G133" s="88" t="s">
        <v>94</v>
      </c>
      <c r="H133" s="531">
        <f>Assumptions!$F$13</f>
        <v>300</v>
      </c>
      <c r="I133" s="395">
        <f>H133*J34</f>
        <v>64884420.000000007</v>
      </c>
      <c r="L133" s="13"/>
      <c r="M133" s="88" t="s">
        <v>94</v>
      </c>
      <c r="N133" s="531">
        <f>Assumptions!$F$13</f>
        <v>300</v>
      </c>
      <c r="O133" s="395">
        <f>N133*P34</f>
        <v>43015290</v>
      </c>
      <c r="R133" s="13"/>
      <c r="S133" s="88" t="s">
        <v>94</v>
      </c>
      <c r="T133" s="531">
        <f>Assumptions!$F$13</f>
        <v>300</v>
      </c>
      <c r="U133" s="395">
        <f>T133*V34</f>
        <v>59609909.999999993</v>
      </c>
    </row>
    <row r="134" spans="1:25" ht="26" customHeight="1">
      <c r="A134" s="19" t="s">
        <v>34</v>
      </c>
      <c r="B134" s="624">
        <f>Assumptions!$F$22</f>
        <v>0.1</v>
      </c>
      <c r="C134" s="532">
        <f>B134*C133</f>
        <v>7485264.6000000006</v>
      </c>
      <c r="E134" s="211"/>
      <c r="G134" s="19" t="s">
        <v>34</v>
      </c>
      <c r="H134" s="624">
        <f>Assumptions!$F$22</f>
        <v>0.1</v>
      </c>
      <c r="I134" s="532">
        <f>H134*I133</f>
        <v>6488442.0000000009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4301529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5960991</v>
      </c>
      <c r="W134" s="211"/>
    </row>
    <row r="135" spans="1:25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</row>
    <row r="136" spans="1:25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</row>
    <row r="137" spans="1:25" ht="12.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</row>
    <row r="138" spans="1:25" ht="13">
      <c r="A138" s="19" t="s">
        <v>36</v>
      </c>
      <c r="B138" s="626">
        <f>Assumptions!$F$23</f>
        <v>0.05</v>
      </c>
      <c r="C138" s="398">
        <f>B138*(C$133+C$134)</f>
        <v>4116895.53</v>
      </c>
      <c r="D138" s="603"/>
      <c r="G138" s="19" t="s">
        <v>36</v>
      </c>
      <c r="H138" s="626">
        <f>Assumptions!$F$23</f>
        <v>0.05</v>
      </c>
      <c r="I138" s="398">
        <f>H138*(I$133+I$134)</f>
        <v>3568643.100000001</v>
      </c>
      <c r="M138" s="19" t="s">
        <v>36</v>
      </c>
      <c r="N138" s="626">
        <f>Assumptions!$F$23</f>
        <v>0.05</v>
      </c>
      <c r="O138" s="398">
        <f>N138*(O$133+O$134)</f>
        <v>2365840.9500000002</v>
      </c>
      <c r="S138" s="19" t="s">
        <v>95</v>
      </c>
      <c r="T138" s="626">
        <f>Assumptions!$F$23</f>
        <v>0.05</v>
      </c>
      <c r="U138" s="398">
        <f>T138*(U$133+U$134)</f>
        <v>3278545.05</v>
      </c>
    </row>
    <row r="139" spans="1:25" ht="13">
      <c r="A139" s="397" t="s">
        <v>41</v>
      </c>
      <c r="B139" s="626">
        <f>Assumptions!$F$25</f>
        <v>0.02</v>
      </c>
      <c r="C139" s="398">
        <f>B139*(C$133+C$134)</f>
        <v>1646758.2119999998</v>
      </c>
      <c r="G139" s="397" t="s">
        <v>41</v>
      </c>
      <c r="H139" s="626">
        <f>Assumptions!$F$25</f>
        <v>0.02</v>
      </c>
      <c r="I139" s="398">
        <f>H139*(I$133+I$134)</f>
        <v>1427457.2400000002</v>
      </c>
      <c r="M139" s="397" t="s">
        <v>41</v>
      </c>
      <c r="N139" s="626">
        <f>Assumptions!$F$25</f>
        <v>0.02</v>
      </c>
      <c r="O139" s="398">
        <f>N139*(O$133+O$134)</f>
        <v>946336.38</v>
      </c>
      <c r="S139" s="397" t="s">
        <v>41</v>
      </c>
      <c r="T139" s="626">
        <f>Assumptions!$F$25</f>
        <v>0.02</v>
      </c>
      <c r="U139" s="398">
        <f>T139*(U$133+U$134)</f>
        <v>1311418.0199999998</v>
      </c>
    </row>
    <row r="140" spans="1:25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</row>
    <row r="141" spans="1:25" ht="13">
      <c r="A141" s="397" t="s">
        <v>45</v>
      </c>
      <c r="B141" s="626">
        <f>Assumptions!$F$27</f>
        <v>0.04</v>
      </c>
      <c r="C141" s="398">
        <f>B141*(C$133+C$134)</f>
        <v>3293516.4239999996</v>
      </c>
      <c r="G141" s="397" t="s">
        <v>45</v>
      </c>
      <c r="H141" s="626">
        <f>Assumptions!$F$27</f>
        <v>0.04</v>
      </c>
      <c r="I141" s="398">
        <f>H141*(I$133+I$134)</f>
        <v>2854914.4800000004</v>
      </c>
      <c r="M141" s="397" t="s">
        <v>45</v>
      </c>
      <c r="N141" s="626">
        <f>Assumptions!$F$27</f>
        <v>0.04</v>
      </c>
      <c r="O141" s="398">
        <f>N141*(O$133+O$134)</f>
        <v>1892672.76</v>
      </c>
      <c r="S141" s="397" t="s">
        <v>45</v>
      </c>
      <c r="T141" s="626">
        <f>Assumptions!$F$27</f>
        <v>0.04</v>
      </c>
      <c r="U141" s="398">
        <f>T141*(U$133+U$134)</f>
        <v>2622836.0399999996</v>
      </c>
    </row>
    <row r="142" spans="1:25" ht="13">
      <c r="A142" s="397" t="s">
        <v>47</v>
      </c>
      <c r="B142" s="626">
        <f>Assumptions!$F$28</f>
        <v>0.03</v>
      </c>
      <c r="C142" s="398">
        <f>B142*(C$133+C$134)</f>
        <v>2470137.3179999995</v>
      </c>
      <c r="G142" s="397" t="s">
        <v>47</v>
      </c>
      <c r="H142" s="626">
        <f>Assumptions!$F$28</f>
        <v>0.03</v>
      </c>
      <c r="I142" s="398">
        <f>H142*(I$133+I$134)</f>
        <v>2141185.8600000003</v>
      </c>
      <c r="M142" s="397" t="s">
        <v>47</v>
      </c>
      <c r="N142" s="626">
        <f>Assumptions!$F$28</f>
        <v>0.03</v>
      </c>
      <c r="O142" s="398">
        <f>N142*(O$133+O$134)</f>
        <v>1419504.5699999998</v>
      </c>
      <c r="S142" s="397" t="s">
        <v>47</v>
      </c>
      <c r="T142" s="626">
        <f>Assumptions!$F$28</f>
        <v>0.03</v>
      </c>
      <c r="U142" s="398">
        <f>T142*(U$133+U$134)</f>
        <v>1967127.0299999998</v>
      </c>
    </row>
    <row r="143" spans="1:25" ht="13">
      <c r="A143" s="397" t="s">
        <v>48</v>
      </c>
      <c r="B143" s="626">
        <f>Assumptions!$F$29</f>
        <v>0.05</v>
      </c>
      <c r="C143" s="398">
        <f>B143*(C$133+C$134)</f>
        <v>4116895.53</v>
      </c>
      <c r="G143" s="397" t="s">
        <v>48</v>
      </c>
      <c r="H143" s="626">
        <f>Assumptions!$F$29</f>
        <v>0.05</v>
      </c>
      <c r="I143" s="398">
        <f>H143*(I$133+I$134)</f>
        <v>3568643.100000001</v>
      </c>
      <c r="M143" s="397" t="s">
        <v>48</v>
      </c>
      <c r="N143" s="626">
        <f>Assumptions!$F$29</f>
        <v>0.05</v>
      </c>
      <c r="O143" s="398">
        <f>N143*(O$133+O$134)</f>
        <v>2365840.9500000002</v>
      </c>
      <c r="S143" s="397" t="s">
        <v>48</v>
      </c>
      <c r="T143" s="626">
        <f>Assumptions!$F$29</f>
        <v>0.05</v>
      </c>
      <c r="U143" s="398">
        <f>T143*(U$133+U$134)</f>
        <v>3278545.05</v>
      </c>
    </row>
    <row r="144" spans="1:25" ht="13">
      <c r="A144" s="397" t="s">
        <v>96</v>
      </c>
      <c r="B144" s="627">
        <f>Assumptions!$F$30*Assumptions!$F$31</f>
        <v>1.35E-2</v>
      </c>
      <c r="C144" s="398">
        <f>B144*E130</f>
        <v>3176952.7022545449</v>
      </c>
      <c r="G144" s="397" t="s">
        <v>96</v>
      </c>
      <c r="H144" s="627">
        <f>Assumptions!$F$30*Assumptions!$F$31</f>
        <v>1.35E-2</v>
      </c>
      <c r="I144" s="398">
        <f>H144*K130</f>
        <v>3019092.9297454543</v>
      </c>
      <c r="M144" s="397" t="s">
        <v>96</v>
      </c>
      <c r="N144" s="627">
        <f>Assumptions!$F$30*Assumptions!$F$31</f>
        <v>1.35E-2</v>
      </c>
      <c r="O144" s="398">
        <f>N144*Q130</f>
        <v>2451681.819636364</v>
      </c>
      <c r="S144" s="397" t="s">
        <v>96</v>
      </c>
      <c r="T144" s="627">
        <f>Assumptions!$F$30*Assumptions!$F$31</f>
        <v>1.35E-2</v>
      </c>
      <c r="U144" s="398">
        <f>T144*W130</f>
        <v>3380692.9317818172</v>
      </c>
    </row>
    <row r="145" spans="1:23" ht="13">
      <c r="A145" s="397" t="s">
        <v>51</v>
      </c>
      <c r="B145" s="626">
        <f>Assumptions!$F$32</f>
        <v>1.4999999999999999E-2</v>
      </c>
      <c r="C145" s="398">
        <f>B145*SUM(C133:C134)</f>
        <v>1235068.6589999998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1070592.9300000002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709752.28499999992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983563.5149999999</v>
      </c>
      <c r="W145" s="20"/>
    </row>
    <row r="146" spans="1:23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</row>
    <row r="147" spans="1:23" ht="13">
      <c r="A147" s="397" t="s">
        <v>54</v>
      </c>
      <c r="B147" s="628">
        <v>6</v>
      </c>
      <c r="C147" s="398">
        <f>-B147*(E122/12)</f>
        <v>5187560.76</v>
      </c>
      <c r="G147" s="397" t="s">
        <v>54</v>
      </c>
      <c r="H147" s="628">
        <v>6</v>
      </c>
      <c r="I147" s="398">
        <f>-H147*(K122/12)</f>
        <v>4927346.6399999997</v>
      </c>
      <c r="M147" s="397" t="s">
        <v>54</v>
      </c>
      <c r="N147" s="628">
        <v>6</v>
      </c>
      <c r="O147" s="398">
        <f>-N147*(Q122/12)</f>
        <v>4111414.1999999997</v>
      </c>
      <c r="S147" s="397" t="s">
        <v>54</v>
      </c>
      <c r="T147" s="628">
        <v>6</v>
      </c>
      <c r="U147" s="398">
        <f>-T147*(W122/12)</f>
        <v>5665781.5199999996</v>
      </c>
    </row>
    <row r="148" spans="1:23" ht="13">
      <c r="A148" s="397" t="s">
        <v>55</v>
      </c>
      <c r="B148" s="629">
        <v>70</v>
      </c>
      <c r="C148" s="398">
        <f>B148*SUM(C91,C96)</f>
        <v>6724615.7999999989</v>
      </c>
      <c r="G148" s="397" t="s">
        <v>55</v>
      </c>
      <c r="H148" s="629">
        <v>70</v>
      </c>
      <c r="I148" s="398">
        <f>H148*SUM(I91,I96)</f>
        <v>6387301.2000000002</v>
      </c>
      <c r="M148" s="397" t="s">
        <v>55</v>
      </c>
      <c r="N148" s="629">
        <v>70</v>
      </c>
      <c r="O148" s="398">
        <f>N148*SUM(O91,O96)</f>
        <v>5329611</v>
      </c>
      <c r="S148" s="397" t="s">
        <v>55</v>
      </c>
      <c r="T148" s="629">
        <v>100</v>
      </c>
      <c r="U148" s="398">
        <f>T148*SUM(U91,U96)</f>
        <v>10492187.999999998</v>
      </c>
    </row>
    <row r="149" spans="1:23" ht="13">
      <c r="A149" s="397" t="s">
        <v>316</v>
      </c>
      <c r="B149" s="630">
        <v>0.05</v>
      </c>
      <c r="C149" s="399">
        <f>B149*SUM(E91,E96)</f>
        <v>1729186.92</v>
      </c>
      <c r="G149" s="397" t="s">
        <v>316</v>
      </c>
      <c r="H149" s="630">
        <v>0.05</v>
      </c>
      <c r="I149" s="399">
        <f>H149*SUM(K91,K96)</f>
        <v>1642448.8800000001</v>
      </c>
      <c r="J149" s="223"/>
      <c r="M149" s="397" t="s">
        <v>316</v>
      </c>
      <c r="N149" s="630">
        <v>0.05</v>
      </c>
      <c r="O149" s="399">
        <f>N149*SUM(Q91,Q96)</f>
        <v>1370471.4000000001</v>
      </c>
      <c r="S149" s="397" t="s">
        <v>316</v>
      </c>
      <c r="T149" s="630">
        <v>0.05</v>
      </c>
      <c r="U149" s="399">
        <f>T149*SUM(W91,W96)</f>
        <v>1888593.8399999999</v>
      </c>
    </row>
    <row r="150" spans="1:23" ht="13">
      <c r="A150" s="397" t="s">
        <v>57</v>
      </c>
      <c r="B150" s="631">
        <v>1.4999999999999999E-2</v>
      </c>
      <c r="C150" s="399">
        <v>1420257.4033180978</v>
      </c>
      <c r="D150" s="635"/>
      <c r="G150" s="397" t="s">
        <v>57</v>
      </c>
      <c r="H150" s="631">
        <v>1.4999999999999999E-2</v>
      </c>
      <c r="I150" s="399">
        <v>1124377.0218050033</v>
      </c>
      <c r="J150" s="635"/>
      <c r="M150" s="397" t="s">
        <v>57</v>
      </c>
      <c r="N150" s="631">
        <v>1.4999999999999999E-2</v>
      </c>
      <c r="O150" s="399">
        <f ca="1">N150*N162</f>
        <v>564841.39354648325</v>
      </c>
      <c r="P150" s="635"/>
      <c r="S150" s="397" t="s">
        <v>57</v>
      </c>
      <c r="T150" s="631">
        <v>1.4999999999999999E-2</v>
      </c>
      <c r="U150" s="399">
        <f ca="1">T150*T162</f>
        <v>808368.36934514437</v>
      </c>
      <c r="V150" s="635"/>
    </row>
    <row r="151" spans="1:23" ht="13">
      <c r="A151" s="536" t="s">
        <v>58</v>
      </c>
      <c r="B151" s="632">
        <v>7.0000000000000007E-2</v>
      </c>
      <c r="C151" s="399">
        <v>6627867.8821511241</v>
      </c>
      <c r="D151" s="635"/>
      <c r="G151" s="536" t="s">
        <v>58</v>
      </c>
      <c r="H151" s="632">
        <v>7.0000000000000007E-2</v>
      </c>
      <c r="I151" s="622">
        <v>5247092.7684233496</v>
      </c>
      <c r="J151" s="635"/>
      <c r="M151" s="536" t="s">
        <v>58</v>
      </c>
      <c r="N151" s="632">
        <v>7.0000000000000007E-2</v>
      </c>
      <c r="O151" s="622">
        <f ca="1">N151*N162</f>
        <v>2635926.5032169218</v>
      </c>
      <c r="P151" s="635"/>
      <c r="S151" s="536" t="s">
        <v>58</v>
      </c>
      <c r="T151" s="632">
        <v>7.0000000000000007E-2</v>
      </c>
      <c r="U151" s="622">
        <f ca="1">T151*T162</f>
        <v>3772385.7236106745</v>
      </c>
      <c r="V151" s="635"/>
    </row>
    <row r="152" spans="1:23" ht="13.5" thickBot="1">
      <c r="A152" s="105" t="s">
        <v>97</v>
      </c>
      <c r="B152" s="633">
        <f>7%</f>
        <v>7.0000000000000007E-2</v>
      </c>
      <c r="C152" s="399">
        <f>B152*SUM(C138:C151)</f>
        <v>2978199.9198506637</v>
      </c>
      <c r="D152" s="634"/>
      <c r="G152" s="105" t="s">
        <v>97</v>
      </c>
      <c r="H152" s="633">
        <f>7%</f>
        <v>7.0000000000000007E-2</v>
      </c>
      <c r="I152" s="399">
        <f>H152*SUM(I138:I151)</f>
        <v>2644536.7304981668</v>
      </c>
      <c r="J152" s="223"/>
      <c r="M152" s="105" t="s">
        <v>97</v>
      </c>
      <c r="N152" s="633">
        <f>7%</f>
        <v>7.0000000000000007E-2</v>
      </c>
      <c r="O152" s="399">
        <f ca="1">N152*SUM(O138:O151)</f>
        <v>1831472.594797984</v>
      </c>
      <c r="S152" s="105" t="s">
        <v>97</v>
      </c>
      <c r="T152" s="633">
        <f>7%</f>
        <v>7.0000000000000007E-2</v>
      </c>
      <c r="U152" s="399">
        <f ca="1">T152*SUM(U138:U151)</f>
        <v>2761503.1562816342</v>
      </c>
    </row>
    <row r="153" spans="1:23" ht="14" thickTop="1" thickBot="1">
      <c r="A153" s="538" t="s">
        <v>98</v>
      </c>
      <c r="B153" s="539"/>
      <c r="C153" s="540">
        <f>SUM(C133:C152)</f>
        <v>127861823.66057442</v>
      </c>
      <c r="G153" s="538" t="s">
        <v>98</v>
      </c>
      <c r="H153" s="539"/>
      <c r="I153" s="540">
        <f>SUM(I133:I152)</f>
        <v>111796494.88047197</v>
      </c>
      <c r="M153" s="538" t="s">
        <v>98</v>
      </c>
      <c r="N153" s="539"/>
      <c r="O153" s="540">
        <f ca="1">SUM(O133:O152)</f>
        <v>75312185.806197762</v>
      </c>
      <c r="S153" s="538" t="s">
        <v>98</v>
      </c>
      <c r="T153" s="539"/>
      <c r="U153" s="540">
        <f ca="1">SUM(U133:U152)</f>
        <v>107782449.24601926</v>
      </c>
    </row>
    <row r="154" spans="1:23" ht="13">
      <c r="A154" s="537" t="s">
        <v>99</v>
      </c>
      <c r="B154" s="401">
        <f>E123/C153</f>
        <v>0.20245512332397256</v>
      </c>
      <c r="C154" s="535"/>
      <c r="G154" s="537" t="s">
        <v>99</v>
      </c>
      <c r="H154" s="401">
        <f>K123/I153</f>
        <v>0.22004282415914628</v>
      </c>
      <c r="I154" s="535"/>
      <c r="M154" s="537" t="s">
        <v>99</v>
      </c>
      <c r="N154" s="401">
        <f ca="1">Q123/O153</f>
        <v>0.26525145253285898</v>
      </c>
      <c r="O154" s="535"/>
      <c r="S154" s="537" t="s">
        <v>99</v>
      </c>
      <c r="T154" s="401"/>
      <c r="U154" s="535"/>
    </row>
    <row r="155" spans="1:23" ht="13">
      <c r="A155" s="400" t="s">
        <v>100</v>
      </c>
      <c r="B155" s="401">
        <f>((E130+E131)/C153)-1</f>
        <v>0.84050112112702302</v>
      </c>
      <c r="C155" s="535"/>
      <c r="G155" s="400" t="s">
        <v>100</v>
      </c>
      <c r="H155" s="401">
        <f>((K130+K131)/I153)-1</f>
        <v>1.0003893105376935</v>
      </c>
      <c r="I155" s="535"/>
      <c r="M155" s="400" t="s">
        <v>100</v>
      </c>
      <c r="N155" s="401">
        <f ca="1">((Q130+Q131)/O153)-1</f>
        <v>1.4113768412078089</v>
      </c>
      <c r="O155" s="535"/>
      <c r="S155" s="400" t="s">
        <v>100</v>
      </c>
      <c r="T155" s="401">
        <f ca="1">((W130+W131)/U153)-1</f>
        <v>1.3233995924411026</v>
      </c>
      <c r="U155" s="535"/>
    </row>
    <row r="156" spans="1:23" ht="13.5" thickBot="1">
      <c r="A156" s="119">
        <v>0.4</v>
      </c>
      <c r="B156" s="120">
        <f>((E130+E131)/(1+A156))</f>
        <v>168092735.56902355</v>
      </c>
      <c r="C156" s="535"/>
      <c r="G156" s="119">
        <v>0.4</v>
      </c>
      <c r="H156" s="120">
        <f>((K130+K131)/(1+G156))</f>
        <v>159740366.65319866</v>
      </c>
      <c r="I156" s="535"/>
      <c r="M156" s="119">
        <v>0.4</v>
      </c>
      <c r="N156" s="120">
        <f>((Q130+Q131)/(1+M156))</f>
        <v>129718614.79557483</v>
      </c>
      <c r="O156" s="535"/>
      <c r="S156" s="119">
        <v>0.4</v>
      </c>
      <c r="T156" s="120">
        <f>((W130+W131)/(1+S156))</f>
        <v>178872641.89321786</v>
      </c>
      <c r="U156" s="535"/>
    </row>
    <row r="157" spans="1:23" ht="13.5" thickBot="1">
      <c r="A157" s="402">
        <v>0.4</v>
      </c>
      <c r="B157" s="120">
        <f>ROUND(((E130+E131)/(1+A157))-C153,0)</f>
        <v>40230912</v>
      </c>
      <c r="C157" s="535"/>
      <c r="G157" s="402">
        <v>0.4</v>
      </c>
      <c r="H157" s="120">
        <f>ROUND(((K130+K131)/(1+G157))-I153,0)</f>
        <v>47943872</v>
      </c>
      <c r="I157" s="535"/>
      <c r="M157" s="402">
        <v>0.4</v>
      </c>
      <c r="N157" s="120">
        <f ca="1">ROUND(((Q130+Q131)/(1+M157))-O153,0)</f>
        <v>54406429</v>
      </c>
      <c r="O157" s="535"/>
      <c r="S157" s="402">
        <v>0.4</v>
      </c>
      <c r="T157" s="120">
        <f ca="1">ROUND(((W130+W131)/(1+S157))-U153,0)</f>
        <v>71090193</v>
      </c>
      <c r="U157" s="535"/>
    </row>
    <row r="158" spans="1:23" ht="13.5" thickBot="1">
      <c r="A158" s="644" t="s">
        <v>265</v>
      </c>
      <c r="B158" s="645"/>
      <c r="C158" s="646" t="str">
        <f>B34</f>
        <v>Laboratory 1</v>
      </c>
      <c r="G158" s="644" t="s">
        <v>101</v>
      </c>
      <c r="H158" s="645"/>
      <c r="I158" s="646" t="str">
        <f>H34</f>
        <v>Laboratory 2</v>
      </c>
      <c r="M158" s="660" t="s">
        <v>101</v>
      </c>
      <c r="N158" s="661"/>
      <c r="O158" s="121" t="str">
        <f>N34</f>
        <v>Laboratory 3</v>
      </c>
      <c r="S158" s="644" t="s">
        <v>101</v>
      </c>
      <c r="T158" s="645"/>
      <c r="U158" s="646" t="str">
        <f>T34</f>
        <v>Laboratory 4</v>
      </c>
    </row>
    <row r="159" spans="1:23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</row>
    <row r="160" spans="1:23" ht="13">
      <c r="A160" s="647" t="s">
        <v>103</v>
      </c>
      <c r="B160" s="91">
        <f>IF(B157&lt;0,B157,0)</f>
        <v>0</v>
      </c>
      <c r="C160" s="648">
        <f>IFERROR(B160/#REF!,0)</f>
        <v>0</v>
      </c>
      <c r="G160" s="647" t="s">
        <v>103</v>
      </c>
      <c r="H160" s="91">
        <f>IF(H157&lt;0,H157,0)</f>
        <v>0</v>
      </c>
      <c r="I160" s="648">
        <f>IFERROR(H160/#REF!,0)</f>
        <v>0</v>
      </c>
      <c r="M160" s="24" t="s">
        <v>103</v>
      </c>
      <c r="N160" s="91">
        <f ca="1">IF(N157&lt;0,N157,0)</f>
        <v>0</v>
      </c>
      <c r="O160" s="125">
        <f ca="1">IFERROR(N160/#REF!,0)</f>
        <v>0</v>
      </c>
      <c r="S160" s="647" t="s">
        <v>103</v>
      </c>
      <c r="T160" s="91">
        <f ca="1">IF(T157&lt;0,T157,0)</f>
        <v>0</v>
      </c>
      <c r="U160" s="648">
        <f ca="1">IFERROR(T160/#REF!,0)</f>
        <v>0</v>
      </c>
    </row>
    <row r="161" spans="1:23" ht="13">
      <c r="A161" s="647" t="s">
        <v>104</v>
      </c>
      <c r="B161" s="91">
        <f>C153+B160</f>
        <v>127861823.66057442</v>
      </c>
      <c r="C161" s="648">
        <f>IFERROR(B161/#REF!,0)</f>
        <v>0</v>
      </c>
      <c r="G161" s="647" t="s">
        <v>104</v>
      </c>
      <c r="H161" s="91">
        <f>I153+H160</f>
        <v>111796494.88047197</v>
      </c>
      <c r="I161" s="648">
        <f>IFERROR(H161/#REF!,0)</f>
        <v>0</v>
      </c>
      <c r="M161" s="25" t="s">
        <v>104</v>
      </c>
      <c r="N161" s="91">
        <f ca="1">O153+N160</f>
        <v>75312185.806197762</v>
      </c>
      <c r="O161" s="125">
        <f ca="1">IFERROR(N161/#REF!,0)</f>
        <v>0</v>
      </c>
      <c r="S161" s="647" t="s">
        <v>104</v>
      </c>
      <c r="T161" s="91">
        <f ca="1">U153+T160</f>
        <v>107782449.24601926</v>
      </c>
      <c r="U161" s="648">
        <f ca="1">IFERROR(T161/#REF!,0)</f>
        <v>0</v>
      </c>
    </row>
    <row r="162" spans="1:23" s="223" customFormat="1" ht="13.5" customHeight="1">
      <c r="A162" s="126">
        <f>Assumptions!$H$14</f>
        <v>0.5</v>
      </c>
      <c r="B162" s="92">
        <f>A162*C$153</f>
        <v>63930911.830287211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55898247.440235987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 ca="1">M162*O$153</f>
        <v>37656092.903098881</v>
      </c>
      <c r="O162" s="125">
        <f ca="1">IFERROR(N162/#REF!,0)</f>
        <v>0</v>
      </c>
      <c r="P162" s="21"/>
      <c r="Q162" s="347"/>
      <c r="R162" s="347"/>
      <c r="S162" s="126">
        <f>Assumptions!$H$14</f>
        <v>0.5</v>
      </c>
      <c r="T162" s="92">
        <f ca="1">S162*U$153</f>
        <v>53891224.62300963</v>
      </c>
      <c r="U162" s="648">
        <f ca="1">IFERROR(T162/#REF!,0)</f>
        <v>0</v>
      </c>
      <c r="V162" s="21"/>
      <c r="W162" s="347"/>
    </row>
    <row r="163" spans="1:23" s="223" customFormat="1" ht="13" customHeight="1" thickBot="1">
      <c r="A163" s="127">
        <f>1-A162</f>
        <v>0.5</v>
      </c>
      <c r="B163" s="240">
        <f>A163*C$153</f>
        <v>63930911.830287211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55898247.440235987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 ca="1">M163*O$153</f>
        <v>37656092.903098881</v>
      </c>
      <c r="O163" s="241">
        <f ca="1">IFERROR(N163/#REF!,0)</f>
        <v>0</v>
      </c>
      <c r="P163" s="5"/>
      <c r="Q163" s="347"/>
      <c r="R163" s="347"/>
      <c r="S163" s="127">
        <f>1-S162</f>
        <v>0.5</v>
      </c>
      <c r="T163" s="240">
        <f ca="1">S163*U$153</f>
        <v>53891224.62300963</v>
      </c>
      <c r="U163" s="649">
        <f ca="1">IFERROR(T163/#REF!,0)</f>
        <v>0</v>
      </c>
      <c r="V163" s="5"/>
      <c r="W163" s="347"/>
    </row>
    <row r="164" spans="1:23" ht="14" thickTop="1" thickBot="1">
      <c r="A164" s="650" t="s">
        <v>105</v>
      </c>
      <c r="B164" s="651">
        <f>B162+B163</f>
        <v>127861823.66057442</v>
      </c>
      <c r="C164" s="652">
        <f>ROUND((C163+C162),-3)</f>
        <v>0</v>
      </c>
      <c r="D164" s="23"/>
      <c r="G164" s="650" t="s">
        <v>105</v>
      </c>
      <c r="H164" s="651">
        <f>H162+H163</f>
        <v>111796494.88047197</v>
      </c>
      <c r="I164" s="652">
        <f>ROUND((I163+I162),-3)</f>
        <v>0</v>
      </c>
      <c r="J164" s="23"/>
      <c r="M164" s="54" t="s">
        <v>105</v>
      </c>
      <c r="N164" s="128">
        <f ca="1">N162+N163</f>
        <v>75312185.806197762</v>
      </c>
      <c r="O164" s="93">
        <f ca="1">ROUND((O163+O162),-3)</f>
        <v>0</v>
      </c>
      <c r="P164" s="23"/>
      <c r="S164" s="650" t="s">
        <v>105</v>
      </c>
      <c r="T164" s="651">
        <f ca="1">T162+T163</f>
        <v>107782449.24601926</v>
      </c>
      <c r="U164" s="652">
        <f ca="1">ROUND((U163+U162),-3)</f>
        <v>0</v>
      </c>
      <c r="V164" s="23"/>
    </row>
  </sheetData>
  <mergeCells count="9"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116" priority="19">
      <formula>C53&gt;D46</formula>
    </cfRule>
  </conditionalFormatting>
  <conditionalFormatting sqref="C63">
    <cfRule type="expression" dxfId="115" priority="18">
      <formula>C69&gt;D62</formula>
    </cfRule>
  </conditionalFormatting>
  <conditionalFormatting sqref="C79">
    <cfRule type="expression" dxfId="114" priority="17">
      <formula>C85&gt;D78</formula>
    </cfRule>
  </conditionalFormatting>
  <conditionalFormatting sqref="I79">
    <cfRule type="expression" dxfId="113" priority="12">
      <formula>I85&gt;J78</formula>
    </cfRule>
  </conditionalFormatting>
  <conditionalFormatting sqref="C56">
    <cfRule type="expression" dxfId="112" priority="20">
      <formula>C60&gt;D55</formula>
    </cfRule>
  </conditionalFormatting>
  <conditionalFormatting sqref="I47">
    <cfRule type="expression" dxfId="111" priority="14">
      <formula>I53&gt;J46</formula>
    </cfRule>
  </conditionalFormatting>
  <conditionalFormatting sqref="I63">
    <cfRule type="expression" dxfId="110" priority="13">
      <formula>I69&gt;J62</formula>
    </cfRule>
  </conditionalFormatting>
  <conditionalFormatting sqref="I56">
    <cfRule type="expression" dxfId="109" priority="15">
      <formula>I60&gt;J55</formula>
    </cfRule>
  </conditionalFormatting>
  <conditionalFormatting sqref="C72">
    <cfRule type="expression" dxfId="108" priority="16">
      <formula>C76&gt;D71</formula>
    </cfRule>
  </conditionalFormatting>
  <conditionalFormatting sqref="I72">
    <cfRule type="expression" dxfId="107" priority="11">
      <formula>I76&gt;J71</formula>
    </cfRule>
  </conditionalFormatting>
  <conditionalFormatting sqref="O47">
    <cfRule type="expression" dxfId="106" priority="9">
      <formula>O53&gt;P46</formula>
    </cfRule>
  </conditionalFormatting>
  <conditionalFormatting sqref="O63">
    <cfRule type="expression" dxfId="105" priority="8">
      <formula>O69&gt;P62</formula>
    </cfRule>
  </conditionalFormatting>
  <conditionalFormatting sqref="O79">
    <cfRule type="expression" dxfId="104" priority="7">
      <formula>O85&gt;P78</formula>
    </cfRule>
  </conditionalFormatting>
  <conditionalFormatting sqref="O56">
    <cfRule type="expression" dxfId="103" priority="10">
      <formula>O60&gt;P55</formula>
    </cfRule>
  </conditionalFormatting>
  <conditionalFormatting sqref="O72">
    <cfRule type="expression" dxfId="102" priority="6">
      <formula>O76&gt;P71</formula>
    </cfRule>
  </conditionalFormatting>
  <conditionalFormatting sqref="U47">
    <cfRule type="expression" dxfId="101" priority="4">
      <formula>U53&gt;V46</formula>
    </cfRule>
  </conditionalFormatting>
  <conditionalFormatting sqref="U63">
    <cfRule type="expression" dxfId="100" priority="3">
      <formula>U69&gt;V62</formula>
    </cfRule>
  </conditionalFormatting>
  <conditionalFormatting sqref="U79">
    <cfRule type="expression" dxfId="99" priority="2">
      <formula>U85&gt;V78</formula>
    </cfRule>
  </conditionalFormatting>
  <conditionalFormatting sqref="U56">
    <cfRule type="expression" dxfId="98" priority="5">
      <formula>U60&gt;V55</formula>
    </cfRule>
  </conditionalFormatting>
  <conditionalFormatting sqref="U72">
    <cfRule type="expression" dxfId="97" priority="1">
      <formula>U76&gt;V71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18E1-C1CC-42CA-B7E6-19564D0ABD87}">
  <sheetPr>
    <tabColor rgb="FF0070C0"/>
  </sheetPr>
  <dimension ref="A1:BX608"/>
  <sheetViews>
    <sheetView zoomScale="70" zoomScaleNormal="70" zoomScalePageLayoutView="125" workbookViewId="0">
      <pane xSplit="1" ySplit="3" topLeftCell="X4" activePane="bottomRight" state="frozen"/>
      <selection activeCell="B12" sqref="B12"/>
      <selection pane="topRight" activeCell="B12" sqref="B12"/>
      <selection pane="bottomLeft" activeCell="B12" sqref="B12"/>
      <selection pane="bottomRight" activeCell="AH47" sqref="AH47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hidden="1" customWidth="1"/>
    <col min="4" max="4" width="19.54296875" style="5" hidden="1" customWidth="1"/>
    <col min="5" max="6" width="17.6328125" style="5" hidden="1" customWidth="1"/>
    <col min="7" max="7" width="17.6328125" style="55" hidden="1" customWidth="1"/>
    <col min="8" max="16" width="17.6328125" style="5" hidden="1" customWidth="1"/>
    <col min="17" max="17" width="19.7265625" style="5" bestFit="1" customWidth="1"/>
    <col min="18" max="20" width="17.6328125" style="5" customWidth="1"/>
    <col min="21" max="21" width="19.1796875" style="5" bestFit="1" customWidth="1"/>
    <col min="22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198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1/1/29 to 3/31/30</v>
      </c>
      <c r="D2" s="518" t="str">
        <f>INDEX('Development Program'!$B$62:$H$71,MATCH($A$1,'Development Program'!$B$62:$B$71,0),MATCH(D1,'Development Program'!$B$62:$H$62,0))</f>
        <v>4/1/30 to 3/31/33</v>
      </c>
      <c r="E2" s="518" t="str">
        <f>INDEX('Development Program'!$B$62:$H$71,MATCH($A$1,'Development Program'!$B$62:$B$71,0),MATCH(E1,'Development Program'!$B$62:$H$62,0))</f>
        <v>4/1/33 to 9/30/33</v>
      </c>
      <c r="G2" s="5"/>
      <c r="Q2" s="101" t="s">
        <v>421</v>
      </c>
      <c r="U2" s="101" t="s">
        <v>121</v>
      </c>
      <c r="V2" s="101" t="s">
        <v>122</v>
      </c>
      <c r="W2" s="99"/>
      <c r="AB2" s="99"/>
      <c r="AC2" s="99"/>
      <c r="AD2" s="99"/>
      <c r="AE2" s="99"/>
      <c r="AF2" s="99"/>
      <c r="AG2" s="601" t="s">
        <v>123</v>
      </c>
      <c r="AH2" s="601" t="s">
        <v>124</v>
      </c>
      <c r="AI2" s="601" t="s">
        <v>125</v>
      </c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602">
        <f t="shared" si="0"/>
        <v>46326</v>
      </c>
      <c r="H3" s="602">
        <v>46387</v>
      </c>
      <c r="I3" s="602">
        <v>46388</v>
      </c>
      <c r="J3" s="602">
        <f t="shared" si="0"/>
        <v>46507</v>
      </c>
      <c r="K3" s="602">
        <f t="shared" si="0"/>
        <v>46599</v>
      </c>
      <c r="L3" s="602">
        <f t="shared" si="0"/>
        <v>46691</v>
      </c>
      <c r="M3" s="602">
        <f t="shared" si="0"/>
        <v>46783</v>
      </c>
      <c r="N3" s="602">
        <f t="shared" si="0"/>
        <v>46873</v>
      </c>
      <c r="O3" s="602">
        <f t="shared" si="0"/>
        <v>46965</v>
      </c>
      <c r="P3" s="602">
        <f t="shared" si="0"/>
        <v>47057</v>
      </c>
      <c r="Q3" s="602">
        <f t="shared" si="0"/>
        <v>47149</v>
      </c>
      <c r="R3" s="602">
        <f t="shared" si="0"/>
        <v>47238</v>
      </c>
      <c r="S3" s="602">
        <f t="shared" si="0"/>
        <v>47330</v>
      </c>
      <c r="T3" s="602">
        <f t="shared" si="0"/>
        <v>47422</v>
      </c>
      <c r="U3" s="602">
        <f t="shared" si="0"/>
        <v>47514</v>
      </c>
      <c r="V3" s="602">
        <f t="shared" si="0"/>
        <v>47603</v>
      </c>
      <c r="W3" s="602">
        <f t="shared" si="0"/>
        <v>47695</v>
      </c>
      <c r="X3" s="602">
        <f t="shared" si="0"/>
        <v>47787</v>
      </c>
      <c r="Y3" s="602">
        <f t="shared" si="0"/>
        <v>47879</v>
      </c>
      <c r="Z3" s="602">
        <f t="shared" si="0"/>
        <v>47968</v>
      </c>
      <c r="AA3" s="102">
        <f t="shared" si="0"/>
        <v>48060</v>
      </c>
      <c r="AB3" s="102">
        <f t="shared" si="0"/>
        <v>48152</v>
      </c>
      <c r="AC3" s="102">
        <f t="shared" si="0"/>
        <v>48244</v>
      </c>
      <c r="AD3" s="102">
        <f t="shared" si="0"/>
        <v>48334</v>
      </c>
      <c r="AE3" s="102">
        <f t="shared" si="0"/>
        <v>48426</v>
      </c>
      <c r="AF3" s="102">
        <f t="shared" si="0"/>
        <v>48518</v>
      </c>
      <c r="AG3" s="102">
        <f t="shared" si="0"/>
        <v>48610</v>
      </c>
      <c r="AH3" s="102">
        <f t="shared" si="0"/>
        <v>48699</v>
      </c>
      <c r="AI3" s="102">
        <f t="shared" si="0"/>
        <v>48791</v>
      </c>
      <c r="AJ3" s="102">
        <f t="shared" si="0"/>
        <v>48883</v>
      </c>
      <c r="AK3" s="102">
        <f t="shared" si="0"/>
        <v>48975</v>
      </c>
      <c r="AL3" s="102">
        <f>EOMONTH(AK3,3)</f>
        <v>49064</v>
      </c>
      <c r="AM3" s="102">
        <f t="shared" ref="AM3:AU3" si="1">EOMONTH(AL3,3)</f>
        <v>49156</v>
      </c>
      <c r="AN3" s="102">
        <f t="shared" si="1"/>
        <v>49248</v>
      </c>
      <c r="AO3" s="102">
        <f t="shared" si="1"/>
        <v>49340</v>
      </c>
      <c r="AP3" s="102">
        <f t="shared" si="1"/>
        <v>49429</v>
      </c>
      <c r="AQ3" s="102">
        <f t="shared" si="1"/>
        <v>49521</v>
      </c>
      <c r="AR3" s="102">
        <f t="shared" si="1"/>
        <v>49613</v>
      </c>
      <c r="AS3" s="102">
        <f>EOMONTH(AR3,3)</f>
        <v>49705</v>
      </c>
      <c r="AT3" s="102">
        <f t="shared" si="1"/>
        <v>49795</v>
      </c>
      <c r="AU3" s="102">
        <f t="shared" si="1"/>
        <v>49887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/>
      <c r="D4" s="97"/>
      <c r="E4" s="97"/>
      <c r="F4" s="96"/>
      <c r="G4" s="96"/>
      <c r="H4" s="96"/>
      <c r="I4" s="96"/>
      <c r="J4" s="96"/>
      <c r="K4" s="96"/>
      <c r="L4" s="96"/>
      <c r="M4" s="96"/>
      <c r="N4" s="96"/>
      <c r="O4" s="96"/>
      <c r="P4" s="96"/>
      <c r="Q4" s="96"/>
      <c r="R4" s="96"/>
      <c r="S4" s="96"/>
      <c r="T4" s="96"/>
      <c r="U4" s="96"/>
      <c r="V4" s="96">
        <v>0.05</v>
      </c>
      <c r="W4" s="96">
        <v>0.05</v>
      </c>
      <c r="X4" s="96">
        <v>7.0000000000000007E-2</v>
      </c>
      <c r="Y4" s="96">
        <v>0.08</v>
      </c>
      <c r="Z4" s="96">
        <v>0.1</v>
      </c>
      <c r="AA4" s="96">
        <v>0.2</v>
      </c>
      <c r="AB4" s="96">
        <v>0.1</v>
      </c>
      <c r="AC4" s="97">
        <v>0.1</v>
      </c>
      <c r="AD4" s="97">
        <v>0.08</v>
      </c>
      <c r="AE4" s="97">
        <v>7.0000000000000007E-2</v>
      </c>
      <c r="AF4" s="97">
        <v>0.05</v>
      </c>
      <c r="AG4" s="97">
        <v>0.05</v>
      </c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'H Financial'!$A7</f>
        <v>Hard Costs for Construction</v>
      </c>
      <c r="B5" s="140">
        <f>'H Financial'!$B7</f>
        <v>242362266</v>
      </c>
      <c r="C5" s="141"/>
      <c r="D5" s="141"/>
      <c r="E5" s="141"/>
      <c r="F5" s="141"/>
      <c r="G5" s="141"/>
      <c r="H5" s="141"/>
      <c r="I5" s="141"/>
      <c r="J5" s="141"/>
      <c r="K5" s="141"/>
      <c r="L5" s="141"/>
      <c r="M5" s="141"/>
      <c r="N5" s="141"/>
      <c r="O5" s="141"/>
      <c r="P5" s="141"/>
      <c r="Q5" s="141">
        <f t="shared" ref="Q5:Z5" si="2">$B$5*Q4</f>
        <v>0</v>
      </c>
      <c r="R5" s="141">
        <f t="shared" si="2"/>
        <v>0</v>
      </c>
      <c r="S5" s="141">
        <f t="shared" si="2"/>
        <v>0</v>
      </c>
      <c r="T5" s="141">
        <f t="shared" si="2"/>
        <v>0</v>
      </c>
      <c r="U5" s="141">
        <f t="shared" si="2"/>
        <v>0</v>
      </c>
      <c r="V5" s="141">
        <f t="shared" si="2"/>
        <v>12118113.300000001</v>
      </c>
      <c r="W5" s="141">
        <f t="shared" si="2"/>
        <v>12118113.300000001</v>
      </c>
      <c r="X5" s="141">
        <f t="shared" si="2"/>
        <v>16965358.620000001</v>
      </c>
      <c r="Y5" s="141">
        <f t="shared" si="2"/>
        <v>19388981.280000001</v>
      </c>
      <c r="Z5" s="141">
        <f t="shared" si="2"/>
        <v>24236226.600000001</v>
      </c>
      <c r="AA5" s="141">
        <f t="shared" ref="AA5" si="3">$B$5*AA4</f>
        <v>48472453.200000003</v>
      </c>
      <c r="AB5" s="141">
        <f t="shared" ref="AB5" si="4">$B$5*AB4</f>
        <v>24236226.600000001</v>
      </c>
      <c r="AC5" s="141">
        <f t="shared" ref="AC5" si="5">$B$5*AC4</f>
        <v>24236226.600000001</v>
      </c>
      <c r="AD5" s="141">
        <f t="shared" ref="AD5" si="6">$B$5*AD4</f>
        <v>19388981.280000001</v>
      </c>
      <c r="AE5" s="141">
        <f t="shared" ref="AE5" si="7">$B$5*AE4</f>
        <v>16965358.620000001</v>
      </c>
      <c r="AF5" s="141">
        <f t="shared" ref="AF5" si="8">$B$5*AF4</f>
        <v>12118113.300000001</v>
      </c>
      <c r="AG5" s="141">
        <f t="shared" ref="AG5" si="9">$B$5*AG4</f>
        <v>12118113.300000001</v>
      </c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242362266.00000003</v>
      </c>
      <c r="AW5" s="142">
        <f t="shared" ref="AW5:AW24" si="10">B5</f>
        <v>242362266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'H Financial'!$A8</f>
        <v>Hard Cost Contingency</v>
      </c>
      <c r="B6" s="140">
        <f>'H Financial'!$B8</f>
        <v>24236226.600000001</v>
      </c>
      <c r="C6" s="141"/>
      <c r="D6" s="141"/>
      <c r="E6" s="141"/>
      <c r="F6" s="141"/>
      <c r="G6" s="141"/>
      <c r="H6" s="141"/>
      <c r="I6" s="141"/>
      <c r="J6" s="141"/>
      <c r="K6" s="141"/>
      <c r="L6" s="141"/>
      <c r="M6" s="141"/>
      <c r="N6" s="141"/>
      <c r="O6" s="141"/>
      <c r="P6" s="141"/>
      <c r="Q6" s="141">
        <f t="shared" ref="Q6:AG6" si="11">$B$6*Q4</f>
        <v>0</v>
      </c>
      <c r="R6" s="141">
        <f t="shared" si="11"/>
        <v>0</v>
      </c>
      <c r="S6" s="141">
        <f t="shared" si="11"/>
        <v>0</v>
      </c>
      <c r="T6" s="141">
        <f t="shared" si="11"/>
        <v>0</v>
      </c>
      <c r="U6" s="141">
        <f t="shared" si="11"/>
        <v>0</v>
      </c>
      <c r="V6" s="141">
        <f t="shared" si="11"/>
        <v>1211811.33</v>
      </c>
      <c r="W6" s="141">
        <f t="shared" si="11"/>
        <v>1211811.33</v>
      </c>
      <c r="X6" s="141">
        <f t="shared" si="11"/>
        <v>1696535.8620000002</v>
      </c>
      <c r="Y6" s="141">
        <f t="shared" si="11"/>
        <v>1938898.1280000003</v>
      </c>
      <c r="Z6" s="141">
        <f t="shared" si="11"/>
        <v>2423622.66</v>
      </c>
      <c r="AA6" s="141">
        <f t="shared" si="11"/>
        <v>4847245.32</v>
      </c>
      <c r="AB6" s="141">
        <f t="shared" si="11"/>
        <v>2423622.66</v>
      </c>
      <c r="AC6" s="141">
        <f t="shared" si="11"/>
        <v>2423622.66</v>
      </c>
      <c r="AD6" s="141">
        <f t="shared" si="11"/>
        <v>1938898.1280000003</v>
      </c>
      <c r="AE6" s="141">
        <f t="shared" si="11"/>
        <v>1696535.8620000002</v>
      </c>
      <c r="AF6" s="141">
        <f t="shared" si="11"/>
        <v>1211811.33</v>
      </c>
      <c r="AG6" s="141">
        <f t="shared" si="11"/>
        <v>1211811.33</v>
      </c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24236226.600000001</v>
      </c>
      <c r="AW6" s="142">
        <f t="shared" si="10"/>
        <v>24236226.600000001</v>
      </c>
      <c r="AX6" s="142">
        <f t="shared" ref="AX6:AX24" si="12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'H Financial'!$A9</f>
        <v>Demolition</v>
      </c>
      <c r="B7" s="140">
        <f>'H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1"/>
      <c r="X7" s="141"/>
      <c r="Y7" s="141"/>
      <c r="Z7" s="141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10"/>
        <v>0</v>
      </c>
      <c r="AX7" s="142">
        <f t="shared" si="12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'H Financial'!$A10</f>
        <v>Land Cost</v>
      </c>
      <c r="B8" s="140">
        <f>'H Financial'!$B10</f>
        <v>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1"/>
      <c r="N8" s="141"/>
      <c r="O8" s="141"/>
      <c r="P8" s="141"/>
      <c r="Q8" s="141"/>
      <c r="R8" s="141"/>
      <c r="S8" s="141"/>
      <c r="T8" s="141"/>
      <c r="U8" s="141"/>
      <c r="V8" s="141"/>
      <c r="W8" s="141"/>
      <c r="X8" s="141"/>
      <c r="Y8" s="141"/>
      <c r="Z8" s="141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0</v>
      </c>
      <c r="AW8" s="142">
        <f t="shared" si="10"/>
        <v>0</v>
      </c>
      <c r="AX8" s="142">
        <f t="shared" si="12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'H Financial'!$A11</f>
        <v>Infrastructure Cost less Subsidy</v>
      </c>
      <c r="B9" s="140">
        <f>'H Financial'!$B11</f>
        <v>-28166666.666666668</v>
      </c>
      <c r="C9" s="146"/>
      <c r="D9" s="143"/>
      <c r="E9" s="141"/>
      <c r="F9" s="141"/>
      <c r="G9" s="141"/>
      <c r="H9" s="144"/>
      <c r="I9" s="141"/>
      <c r="J9" s="141"/>
      <c r="K9" s="143"/>
      <c r="L9" s="141"/>
      <c r="M9" s="141"/>
      <c r="N9" s="141"/>
      <c r="O9" s="141"/>
      <c r="P9" s="141"/>
      <c r="Q9" s="141"/>
      <c r="R9" s="141"/>
      <c r="S9" s="141"/>
      <c r="T9" s="141"/>
      <c r="U9" s="141"/>
      <c r="V9" s="141"/>
      <c r="W9" s="141"/>
      <c r="X9" s="141"/>
      <c r="Y9" s="141"/>
      <c r="Z9" s="141"/>
      <c r="AA9" s="147"/>
      <c r="AB9" s="147"/>
      <c r="AC9" s="147"/>
      <c r="AD9" s="147"/>
      <c r="AE9" s="141">
        <f>$B$9/2</f>
        <v>-14083333.333333334</v>
      </c>
      <c r="AF9" s="141">
        <f>$B$9/2</f>
        <v>-14083333.333333334</v>
      </c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13">SUM(C9:AU9)</f>
        <v>-28166666.666666668</v>
      </c>
      <c r="AW9" s="142">
        <f t="shared" si="10"/>
        <v>-28166666.666666668</v>
      </c>
      <c r="AX9" s="142">
        <f t="shared" si="12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'H Financial'!$A12</f>
        <v>Municipal Fees and Allowances</v>
      </c>
      <c r="B10" s="140">
        <f>'H Financial'!$B12</f>
        <v>13329924.630000003</v>
      </c>
      <c r="C10" s="148"/>
      <c r="D10" s="147"/>
      <c r="E10" s="149"/>
      <c r="F10" s="149"/>
      <c r="G10" s="149"/>
      <c r="H10" s="149"/>
      <c r="I10" s="149"/>
      <c r="J10" s="141"/>
      <c r="K10" s="147"/>
      <c r="L10" s="147"/>
      <c r="M10" s="141"/>
      <c r="N10" s="141"/>
      <c r="O10" s="141"/>
      <c r="P10" s="141"/>
      <c r="Q10" s="141"/>
      <c r="S10" s="141"/>
      <c r="T10" s="141"/>
      <c r="U10" s="141">
        <f>$B$10</f>
        <v>13329924.630000003</v>
      </c>
      <c r="V10" s="141"/>
      <c r="W10" s="141"/>
      <c r="X10" s="141"/>
      <c r="Y10" s="141"/>
      <c r="Z10" s="141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13"/>
        <v>13329924.630000003</v>
      </c>
      <c r="AW10" s="142">
        <f t="shared" si="10"/>
        <v>13329924.630000003</v>
      </c>
      <c r="AX10" s="142">
        <f t="shared" si="12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'H Financial'!$A13</f>
        <v>Legal</v>
      </c>
      <c r="B11" s="140">
        <f>'H Financial'!$B13</f>
        <v>5331969.852</v>
      </c>
      <c r="C11" s="148"/>
      <c r="D11" s="148"/>
      <c r="E11" s="141"/>
      <c r="F11" s="141"/>
      <c r="G11" s="141"/>
      <c r="H11" s="141"/>
      <c r="I11" s="141"/>
      <c r="J11" s="141"/>
      <c r="K11" s="147"/>
      <c r="L11" s="147"/>
      <c r="M11" s="141"/>
      <c r="N11" s="141"/>
      <c r="O11" s="141"/>
      <c r="P11" s="141"/>
      <c r="Q11" s="141">
        <f t="shared" ref="Q11:U11" si="14">$B$11/5</f>
        <v>1066393.9704</v>
      </c>
      <c r="R11" s="141">
        <f t="shared" si="14"/>
        <v>1066393.9704</v>
      </c>
      <c r="S11" s="141">
        <f t="shared" si="14"/>
        <v>1066393.9704</v>
      </c>
      <c r="T11" s="141">
        <f t="shared" si="14"/>
        <v>1066393.9704</v>
      </c>
      <c r="U11" s="141">
        <f t="shared" si="14"/>
        <v>1066393.9704</v>
      </c>
      <c r="V11" s="141"/>
      <c r="W11" s="141"/>
      <c r="X11" s="141"/>
      <c r="Y11" s="141"/>
      <c r="Z11" s="141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13"/>
        <v>5331969.852</v>
      </c>
      <c r="AW11" s="142">
        <f t="shared" si="10"/>
        <v>5331969.852</v>
      </c>
      <c r="AX11" s="142">
        <f t="shared" si="12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'H Financial'!$A14</f>
        <v>Land Closing Costs/commissions</v>
      </c>
      <c r="B12" s="140">
        <f>'H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1"/>
      <c r="X12" s="141"/>
      <c r="Y12" s="141"/>
      <c r="Z12" s="141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13"/>
        <v>0</v>
      </c>
      <c r="AW12" s="142">
        <f t="shared" si="10"/>
        <v>0</v>
      </c>
      <c r="AX12" s="142">
        <f t="shared" si="12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'H Financial'!$A15</f>
        <v xml:space="preserve">Design </v>
      </c>
      <c r="B13" s="140">
        <f>'H Financial'!$B15</f>
        <v>10663939.704</v>
      </c>
      <c r="C13" s="141"/>
      <c r="D13" s="141"/>
      <c r="E13" s="141"/>
      <c r="F13" s="141"/>
      <c r="G13" s="141"/>
      <c r="H13" s="141"/>
      <c r="I13" s="141"/>
      <c r="J13" s="141"/>
      <c r="K13" s="141"/>
      <c r="L13" s="141"/>
      <c r="M13" s="141"/>
      <c r="N13" s="141"/>
      <c r="O13" s="141"/>
      <c r="P13" s="141"/>
      <c r="Q13" s="141"/>
      <c r="V13" s="141">
        <f>$B$13/12</f>
        <v>888661.64199999999</v>
      </c>
      <c r="W13" s="141">
        <f t="shared" ref="W13:AG13" si="15">$B$13/12</f>
        <v>888661.64199999999</v>
      </c>
      <c r="X13" s="141">
        <f t="shared" si="15"/>
        <v>888661.64199999999</v>
      </c>
      <c r="Y13" s="141">
        <f t="shared" si="15"/>
        <v>888661.64199999999</v>
      </c>
      <c r="Z13" s="141">
        <f t="shared" si="15"/>
        <v>888661.64199999999</v>
      </c>
      <c r="AA13" s="141">
        <f t="shared" si="15"/>
        <v>888661.64199999999</v>
      </c>
      <c r="AB13" s="141">
        <f t="shared" si="15"/>
        <v>888661.64199999999</v>
      </c>
      <c r="AC13" s="141">
        <f t="shared" si="15"/>
        <v>888661.64199999999</v>
      </c>
      <c r="AD13" s="141">
        <f t="shared" si="15"/>
        <v>888661.64199999999</v>
      </c>
      <c r="AE13" s="141">
        <f t="shared" si="15"/>
        <v>888661.64199999999</v>
      </c>
      <c r="AF13" s="141">
        <f t="shared" si="15"/>
        <v>888661.64199999999</v>
      </c>
      <c r="AG13" s="141">
        <f t="shared" si="15"/>
        <v>888661.64199999999</v>
      </c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13"/>
        <v>10663939.704</v>
      </c>
      <c r="AW13" s="142">
        <f t="shared" si="10"/>
        <v>10663939.704</v>
      </c>
      <c r="AX13" s="142">
        <f t="shared" si="12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'H Financial'!$A16</f>
        <v>Developer Fee</v>
      </c>
      <c r="B14" s="140">
        <f>'H Financial'!$B16</f>
        <v>7997954.777999999</v>
      </c>
      <c r="C14" s="141"/>
      <c r="D14" s="141"/>
      <c r="E14" s="141"/>
      <c r="F14" s="141"/>
      <c r="G14" s="141"/>
      <c r="H14" s="141"/>
      <c r="I14" s="141"/>
      <c r="J14" s="141"/>
      <c r="K14" s="141"/>
      <c r="L14" s="141"/>
      <c r="M14" s="141"/>
      <c r="N14" s="141"/>
      <c r="O14" s="141"/>
      <c r="P14" s="141"/>
      <c r="Q14" s="141"/>
      <c r="R14" s="141"/>
      <c r="S14" s="141"/>
      <c r="T14" s="141"/>
      <c r="U14" s="141"/>
      <c r="V14" s="141">
        <f>$B14/12</f>
        <v>666496.23149999988</v>
      </c>
      <c r="W14" s="141">
        <f t="shared" ref="W14:AG14" si="16">$B$14/12</f>
        <v>666496.23149999988</v>
      </c>
      <c r="X14" s="141">
        <f t="shared" si="16"/>
        <v>666496.23149999988</v>
      </c>
      <c r="Y14" s="141">
        <f t="shared" si="16"/>
        <v>666496.23149999988</v>
      </c>
      <c r="Z14" s="141">
        <f t="shared" si="16"/>
        <v>666496.23149999988</v>
      </c>
      <c r="AA14" s="141">
        <f t="shared" si="16"/>
        <v>666496.23149999988</v>
      </c>
      <c r="AB14" s="141">
        <f t="shared" si="16"/>
        <v>666496.23149999988</v>
      </c>
      <c r="AC14" s="141">
        <f t="shared" si="16"/>
        <v>666496.23149999988</v>
      </c>
      <c r="AD14" s="141">
        <f t="shared" si="16"/>
        <v>666496.23149999988</v>
      </c>
      <c r="AE14" s="141">
        <f t="shared" si="16"/>
        <v>666496.23149999988</v>
      </c>
      <c r="AF14" s="141">
        <f t="shared" si="16"/>
        <v>666496.23149999988</v>
      </c>
      <c r="AG14" s="141">
        <f t="shared" si="16"/>
        <v>666496.23149999988</v>
      </c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13"/>
        <v>7997954.7779999981</v>
      </c>
      <c r="AW14" s="142">
        <f t="shared" si="10"/>
        <v>7997954.777999999</v>
      </c>
      <c r="AX14" s="142">
        <f t="shared" si="12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'H Financial'!$A17</f>
        <v>Construction Management Fee</v>
      </c>
      <c r="B15" s="140">
        <f>'H Financial'!$B17</f>
        <v>13329924.630000003</v>
      </c>
      <c r="C15" s="141"/>
      <c r="D15" s="141"/>
      <c r="E15" s="141"/>
      <c r="F15" s="141"/>
      <c r="G15" s="141"/>
      <c r="H15" s="141"/>
      <c r="I15" s="141"/>
      <c r="J15" s="141"/>
      <c r="K15" s="141"/>
      <c r="L15" s="141"/>
      <c r="M15" s="141"/>
      <c r="N15" s="141"/>
      <c r="O15" s="141"/>
      <c r="P15" s="141"/>
      <c r="Q15" s="141"/>
      <c r="R15" s="141"/>
      <c r="S15" s="141"/>
      <c r="T15" s="141"/>
      <c r="U15" s="141"/>
      <c r="V15" s="141">
        <f>$B15/12</f>
        <v>1110827.0525000002</v>
      </c>
      <c r="W15" s="141">
        <f t="shared" ref="W15:AG16" si="17">$B15/12</f>
        <v>1110827.0525000002</v>
      </c>
      <c r="X15" s="141">
        <f t="shared" si="17"/>
        <v>1110827.0525000002</v>
      </c>
      <c r="Y15" s="141">
        <f t="shared" si="17"/>
        <v>1110827.0525000002</v>
      </c>
      <c r="Z15" s="141">
        <f t="shared" si="17"/>
        <v>1110827.0525000002</v>
      </c>
      <c r="AA15" s="141">
        <f t="shared" si="17"/>
        <v>1110827.0525000002</v>
      </c>
      <c r="AB15" s="141">
        <f t="shared" si="17"/>
        <v>1110827.0525000002</v>
      </c>
      <c r="AC15" s="141">
        <f t="shared" si="17"/>
        <v>1110827.0525000002</v>
      </c>
      <c r="AD15" s="141">
        <f t="shared" si="17"/>
        <v>1110827.0525000002</v>
      </c>
      <c r="AE15" s="141">
        <f t="shared" si="17"/>
        <v>1110827.0525000002</v>
      </c>
      <c r="AF15" s="141">
        <f t="shared" si="17"/>
        <v>1110827.0525000002</v>
      </c>
      <c r="AG15" s="141">
        <f t="shared" si="17"/>
        <v>1110827.0525000002</v>
      </c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13"/>
        <v>13329924.630000003</v>
      </c>
      <c r="AW15" s="142">
        <f t="shared" si="10"/>
        <v>13329924.630000003</v>
      </c>
      <c r="AX15" s="142">
        <f t="shared" si="12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'H Financial'!$A18</f>
        <v>Taxes</v>
      </c>
      <c r="B16" s="140">
        <f>'H Financial'!$B18</f>
        <v>12028420.38341818</v>
      </c>
      <c r="C16" s="145"/>
      <c r="D16" s="141"/>
      <c r="E16" s="141"/>
      <c r="F16" s="141"/>
      <c r="G16" s="144"/>
      <c r="H16" s="141"/>
      <c r="I16" s="141"/>
      <c r="J16" s="141"/>
      <c r="K16" s="141"/>
      <c r="L16" s="141"/>
      <c r="M16" s="141"/>
      <c r="N16" s="141"/>
      <c r="O16" s="141"/>
      <c r="P16" s="141"/>
      <c r="Q16" s="141"/>
      <c r="R16" s="141"/>
      <c r="S16" s="141"/>
      <c r="T16" s="141"/>
      <c r="U16" s="141"/>
      <c r="V16" s="141">
        <f>$B16/12</f>
        <v>1002368.3652848484</v>
      </c>
      <c r="W16" s="141">
        <f t="shared" si="17"/>
        <v>1002368.3652848484</v>
      </c>
      <c r="X16" s="141">
        <f t="shared" si="17"/>
        <v>1002368.3652848484</v>
      </c>
      <c r="Y16" s="141">
        <f t="shared" si="17"/>
        <v>1002368.3652848484</v>
      </c>
      <c r="Z16" s="141">
        <f t="shared" si="17"/>
        <v>1002368.3652848484</v>
      </c>
      <c r="AA16" s="141">
        <f t="shared" si="17"/>
        <v>1002368.3652848484</v>
      </c>
      <c r="AB16" s="141">
        <f t="shared" si="17"/>
        <v>1002368.3652848484</v>
      </c>
      <c r="AC16" s="141">
        <f t="shared" si="17"/>
        <v>1002368.3652848484</v>
      </c>
      <c r="AD16" s="141">
        <f t="shared" si="17"/>
        <v>1002368.3652848484</v>
      </c>
      <c r="AE16" s="141">
        <f t="shared" si="17"/>
        <v>1002368.3652848484</v>
      </c>
      <c r="AF16" s="141">
        <f t="shared" si="17"/>
        <v>1002368.3652848484</v>
      </c>
      <c r="AG16" s="141">
        <f t="shared" si="17"/>
        <v>1002368.3652848484</v>
      </c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13"/>
        <v>12028420.383418182</v>
      </c>
      <c r="AW16" s="142">
        <f t="shared" si="10"/>
        <v>12028420.38341818</v>
      </c>
      <c r="AX16" s="142">
        <f t="shared" si="12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'H Financial'!$A19</f>
        <v>Insurance</v>
      </c>
      <c r="B17" s="140">
        <f>'H Financial'!$B19</f>
        <v>3998977.3889999995</v>
      </c>
      <c r="C17" s="145"/>
      <c r="D17" s="144"/>
      <c r="E17" s="144"/>
      <c r="F17" s="141"/>
      <c r="G17" s="141"/>
      <c r="H17" s="141"/>
      <c r="I17" s="141"/>
      <c r="J17" s="141"/>
      <c r="K17" s="141"/>
      <c r="L17" s="145"/>
      <c r="M17" s="141"/>
      <c r="N17" s="141"/>
      <c r="O17" s="141"/>
      <c r="P17" s="141"/>
      <c r="Q17" s="141"/>
      <c r="R17" s="141"/>
      <c r="S17" s="141"/>
      <c r="T17" s="141"/>
      <c r="U17" s="141"/>
      <c r="V17" s="141"/>
      <c r="W17" s="141"/>
      <c r="X17" s="141"/>
      <c r="Y17" s="141"/>
      <c r="Z17" s="141"/>
      <c r="AA17" s="142"/>
      <c r="AB17" s="142"/>
      <c r="AC17" s="142"/>
      <c r="AD17" s="142"/>
      <c r="AE17" s="142"/>
      <c r="AF17" s="142"/>
      <c r="AG17" s="141"/>
      <c r="AH17" s="141">
        <f>$B17/2</f>
        <v>1999488.6944999998</v>
      </c>
      <c r="AI17" s="141">
        <f>$B17/2</f>
        <v>1999488.6944999998</v>
      </c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13"/>
        <v>3998977.3889999995</v>
      </c>
      <c r="AW17" s="142">
        <f t="shared" si="10"/>
        <v>3998977.3889999995</v>
      </c>
      <c r="AX17" s="142">
        <f t="shared" si="12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'H Financial'!$A20</f>
        <v>Marketing, FFE and Preleasing</v>
      </c>
      <c r="B18" s="140">
        <f>'H Financial'!$B20</f>
        <v>1600000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/>
      <c r="O18" s="141"/>
      <c r="P18" s="141"/>
      <c r="Q18" s="141"/>
      <c r="R18" s="141"/>
      <c r="S18" s="141"/>
      <c r="T18" s="141"/>
      <c r="U18" s="141"/>
      <c r="V18" s="141"/>
      <c r="W18" s="141"/>
      <c r="X18" s="141"/>
      <c r="Y18" s="141"/>
      <c r="Z18" s="141"/>
      <c r="AA18" s="142"/>
      <c r="AB18" s="142"/>
      <c r="AC18" s="142"/>
      <c r="AD18" s="142"/>
      <c r="AE18" s="142"/>
      <c r="AF18" s="142"/>
      <c r="AG18" s="141"/>
      <c r="AH18" s="141">
        <f>$B18/2</f>
        <v>800000</v>
      </c>
      <c r="AI18" s="141">
        <f>$B18/2</f>
        <v>800000</v>
      </c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13"/>
        <v>1600000</v>
      </c>
      <c r="AW18" s="142">
        <f t="shared" si="10"/>
        <v>1600000</v>
      </c>
      <c r="AX18" s="142">
        <f t="shared" si="12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'H Financial'!$A21</f>
        <v>Operating Deficit</v>
      </c>
      <c r="B19" s="140">
        <f>'H Financial'!$B21</f>
        <v>19892103.119999997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141"/>
      <c r="O19" s="141"/>
      <c r="P19" s="141"/>
      <c r="Q19" s="141"/>
      <c r="R19" s="141"/>
      <c r="S19" s="141"/>
      <c r="T19" s="141"/>
      <c r="U19" s="141"/>
      <c r="V19" s="141"/>
      <c r="W19" s="141"/>
      <c r="X19" s="141"/>
      <c r="Y19" s="141"/>
      <c r="Z19" s="141"/>
      <c r="AA19" s="104"/>
      <c r="AB19" s="104"/>
      <c r="AC19" s="104"/>
      <c r="AD19" s="104"/>
      <c r="AE19" s="104"/>
      <c r="AF19" s="104"/>
      <c r="AG19" s="141"/>
      <c r="AH19" s="141">
        <f>$B$19/2</f>
        <v>9946051.5599999987</v>
      </c>
      <c r="AI19" s="141">
        <f>$B$19/2</f>
        <v>9946051.5599999987</v>
      </c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13"/>
        <v>19892103.119999997</v>
      </c>
      <c r="AW19" s="142">
        <f t="shared" si="10"/>
        <v>19892103.119999997</v>
      </c>
      <c r="AX19" s="142">
        <f t="shared" si="12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'H Financial'!$A22</f>
        <v>Commercial Tenant Improvements</v>
      </c>
      <c r="B20" s="140">
        <f>'H Financial'!$B22</f>
        <v>28933716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/>
      <c r="S20" s="141"/>
      <c r="T20" s="141"/>
      <c r="U20" s="141"/>
      <c r="V20" s="141"/>
      <c r="W20" s="141"/>
      <c r="X20" s="141"/>
      <c r="Y20" s="141"/>
      <c r="Z20" s="141"/>
      <c r="AA20" s="142"/>
      <c r="AB20" s="142"/>
      <c r="AC20" s="142"/>
      <c r="AD20" s="142"/>
      <c r="AE20" s="142"/>
      <c r="AF20" s="142"/>
      <c r="AG20" s="141"/>
      <c r="AH20" s="141">
        <f>$B$20/2</f>
        <v>14466858</v>
      </c>
      <c r="AI20" s="141">
        <f>$B$20/2</f>
        <v>14466858</v>
      </c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13"/>
        <v>28933716</v>
      </c>
      <c r="AW20" s="142">
        <f t="shared" si="10"/>
        <v>28933716</v>
      </c>
      <c r="AX20" s="142">
        <f t="shared" si="12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'H Financial'!$A23</f>
        <v>Commercial brokerage</v>
      </c>
      <c r="B21" s="140">
        <f>'H Financial'!$B23</f>
        <v>6630701.04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1"/>
      <c r="X21" s="141"/>
      <c r="Y21" s="141"/>
      <c r="Z21" s="141"/>
      <c r="AA21" s="142"/>
      <c r="AB21" s="142"/>
      <c r="AC21" s="142"/>
      <c r="AD21" s="142"/>
      <c r="AE21" s="142"/>
      <c r="AF21" s="142"/>
      <c r="AG21" s="141">
        <f>$B$21/3</f>
        <v>2210233.6800000002</v>
      </c>
      <c r="AH21" s="141">
        <f>$B$21/3</f>
        <v>2210233.6800000002</v>
      </c>
      <c r="AI21" s="141">
        <f>$B$21/3</f>
        <v>2210233.6800000002</v>
      </c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13"/>
        <v>6630701.040000001</v>
      </c>
      <c r="AW21" s="142">
        <f t="shared" si="10"/>
        <v>6630701.04</v>
      </c>
      <c r="AX21" s="142">
        <f t="shared" si="12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'H Financial'!$A24</f>
        <v>Construction Loan Origination</v>
      </c>
      <c r="B22" s="140">
        <f ca="1">'H Financial'!$B24</f>
        <v>3917844.1880147289</v>
      </c>
      <c r="C22" s="141"/>
      <c r="D22" s="141"/>
      <c r="E22" s="141"/>
      <c r="F22" s="141"/>
      <c r="G22" s="141"/>
      <c r="H22" s="141"/>
      <c r="I22" s="141"/>
      <c r="J22" s="141"/>
      <c r="K22" s="141"/>
      <c r="L22" s="141"/>
      <c r="M22" s="141"/>
      <c r="N22" s="141"/>
      <c r="O22" s="141"/>
      <c r="P22" s="141"/>
      <c r="R22" s="141"/>
      <c r="S22" s="141"/>
      <c r="T22" s="141"/>
      <c r="U22" s="141">
        <f ca="1">B22</f>
        <v>3917844.1880147289</v>
      </c>
      <c r="V22" s="141"/>
      <c r="W22" s="141"/>
      <c r="X22" s="141"/>
      <c r="Y22" s="141"/>
      <c r="Z22" s="141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ca="1" si="13"/>
        <v>3917844.1880147289</v>
      </c>
      <c r="AW22" s="142">
        <f t="shared" ca="1" si="10"/>
        <v>3917844.1880147289</v>
      </c>
      <c r="AX22" s="142">
        <f t="shared" ca="1" si="12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'H Financial'!$A25</f>
        <v>Construction Interest</v>
      </c>
      <c r="B23" s="140">
        <f ca="1">'H Financial'!$B25</f>
        <v>18283272.877402071</v>
      </c>
      <c r="C23" s="153"/>
      <c r="D23" s="141"/>
      <c r="E23" s="141"/>
      <c r="F23" s="141"/>
      <c r="G23" s="141"/>
      <c r="H23" s="141"/>
      <c r="I23" s="141"/>
      <c r="J23" s="141"/>
      <c r="K23" s="141"/>
      <c r="L23" s="141"/>
      <c r="M23" s="141"/>
      <c r="N23" s="141"/>
      <c r="O23" s="141"/>
      <c r="P23" s="141"/>
      <c r="Q23" s="141"/>
      <c r="R23" s="141"/>
      <c r="S23" s="141"/>
      <c r="W23" s="141">
        <f ca="1">$B$23/12</f>
        <v>1523606.0731168392</v>
      </c>
      <c r="X23" s="141">
        <f t="shared" ref="X23:AH23" ca="1" si="18">$B$23/12</f>
        <v>1523606.0731168392</v>
      </c>
      <c r="Y23" s="141">
        <f t="shared" ca="1" si="18"/>
        <v>1523606.0731168392</v>
      </c>
      <c r="Z23" s="141">
        <f t="shared" ca="1" si="18"/>
        <v>1523606.0731168392</v>
      </c>
      <c r="AA23" s="141">
        <f t="shared" ca="1" si="18"/>
        <v>1523606.0731168392</v>
      </c>
      <c r="AB23" s="141">
        <f t="shared" ca="1" si="18"/>
        <v>1523606.0731168392</v>
      </c>
      <c r="AC23" s="141">
        <f t="shared" ca="1" si="18"/>
        <v>1523606.0731168392</v>
      </c>
      <c r="AD23" s="141">
        <f t="shared" ca="1" si="18"/>
        <v>1523606.0731168392</v>
      </c>
      <c r="AE23" s="141">
        <f t="shared" ca="1" si="18"/>
        <v>1523606.0731168392</v>
      </c>
      <c r="AF23" s="141">
        <f t="shared" ca="1" si="18"/>
        <v>1523606.0731168392</v>
      </c>
      <c r="AG23" s="141">
        <f t="shared" ca="1" si="18"/>
        <v>1523606.0731168392</v>
      </c>
      <c r="AH23" s="141">
        <f t="shared" ca="1" si="18"/>
        <v>1523606.0731168392</v>
      </c>
      <c r="AI23" s="142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ca="1" si="13"/>
        <v>18283272.877402071</v>
      </c>
      <c r="AW23" s="142">
        <f t="shared" ca="1" si="10"/>
        <v>18283272.877402071</v>
      </c>
      <c r="AX23" s="142">
        <f t="shared" ca="1" si="12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'H Financial'!$A26</f>
        <v>Additional Contingency</v>
      </c>
      <c r="B24" s="154">
        <f ca="1">'H Financial'!$B26</f>
        <v>10215712.40142845</v>
      </c>
      <c r="C24" s="155"/>
      <c r="D24" s="155"/>
      <c r="E24" s="155"/>
      <c r="F24" s="155"/>
      <c r="G24" s="155"/>
      <c r="H24" s="155"/>
      <c r="I24" s="155"/>
      <c r="J24" s="155"/>
      <c r="K24" s="155"/>
      <c r="L24" s="155"/>
      <c r="M24" s="155"/>
      <c r="N24" s="155"/>
      <c r="O24" s="155"/>
      <c r="P24" s="155"/>
      <c r="Q24" s="155">
        <f ca="1">$B$24*Q4</f>
        <v>0</v>
      </c>
      <c r="R24" s="155">
        <f t="shared" ref="R24:AI24" ca="1" si="19">$B$24*R4</f>
        <v>0</v>
      </c>
      <c r="S24" s="155">
        <f t="shared" ca="1" si="19"/>
        <v>0</v>
      </c>
      <c r="T24" s="155">
        <f t="shared" ca="1" si="19"/>
        <v>0</v>
      </c>
      <c r="U24" s="155">
        <f t="shared" ca="1" si="19"/>
        <v>0</v>
      </c>
      <c r="V24" s="155">
        <f t="shared" ca="1" si="19"/>
        <v>510785.62007142254</v>
      </c>
      <c r="W24" s="155">
        <f t="shared" ca="1" si="19"/>
        <v>510785.62007142254</v>
      </c>
      <c r="X24" s="155">
        <f t="shared" ca="1" si="19"/>
        <v>715099.86809999158</v>
      </c>
      <c r="Y24" s="155">
        <f t="shared" ca="1" si="19"/>
        <v>817256.99211427604</v>
      </c>
      <c r="Z24" s="155">
        <f t="shared" ca="1" si="19"/>
        <v>1021571.2401428451</v>
      </c>
      <c r="AA24" s="155">
        <f t="shared" ca="1" si="19"/>
        <v>2043142.4802856902</v>
      </c>
      <c r="AB24" s="155">
        <f t="shared" ca="1" si="19"/>
        <v>1021571.2401428451</v>
      </c>
      <c r="AC24" s="155">
        <f t="shared" ca="1" si="19"/>
        <v>1021571.2401428451</v>
      </c>
      <c r="AD24" s="155">
        <f t="shared" ca="1" si="19"/>
        <v>817256.99211427604</v>
      </c>
      <c r="AE24" s="155">
        <f t="shared" ca="1" si="19"/>
        <v>715099.86809999158</v>
      </c>
      <c r="AF24" s="155">
        <f t="shared" ca="1" si="19"/>
        <v>510785.62007142254</v>
      </c>
      <c r="AG24" s="155">
        <f t="shared" ca="1" si="19"/>
        <v>510785.62007142254</v>
      </c>
      <c r="AH24" s="155"/>
      <c r="AI24" s="155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ca="1" si="13"/>
        <v>10215712.40142845</v>
      </c>
      <c r="AW24" s="156">
        <f t="shared" ca="1" si="10"/>
        <v>10215712.40142845</v>
      </c>
      <c r="AX24" s="156">
        <f t="shared" ca="1" si="12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'H Financial'!$A27</f>
        <v>Total Project Cost</v>
      </c>
      <c r="B25" s="608">
        <f ca="1">'H Financial'!$B27</f>
        <v>384370574.52516836</v>
      </c>
      <c r="C25" s="62">
        <f>SUM(C5:C24)</f>
        <v>0</v>
      </c>
      <c r="D25" s="62">
        <f t="shared" ref="D25:AI25" si="20">SUM(D5:D24)</f>
        <v>0</v>
      </c>
      <c r="E25" s="62">
        <f t="shared" si="20"/>
        <v>0</v>
      </c>
      <c r="F25" s="62">
        <f t="shared" si="20"/>
        <v>0</v>
      </c>
      <c r="G25" s="62">
        <f t="shared" si="20"/>
        <v>0</v>
      </c>
      <c r="H25" s="62">
        <f t="shared" si="20"/>
        <v>0</v>
      </c>
      <c r="I25" s="62">
        <f t="shared" si="20"/>
        <v>0</v>
      </c>
      <c r="J25" s="62">
        <f t="shared" si="20"/>
        <v>0</v>
      </c>
      <c r="K25" s="62">
        <f t="shared" si="20"/>
        <v>0</v>
      </c>
      <c r="L25" s="62">
        <f t="shared" si="20"/>
        <v>0</v>
      </c>
      <c r="M25" s="62">
        <f t="shared" si="20"/>
        <v>0</v>
      </c>
      <c r="N25" s="62">
        <f t="shared" si="20"/>
        <v>0</v>
      </c>
      <c r="O25" s="62">
        <f t="shared" si="20"/>
        <v>0</v>
      </c>
      <c r="P25" s="62">
        <f t="shared" si="20"/>
        <v>0</v>
      </c>
      <c r="Q25" s="62">
        <f t="shared" ca="1" si="20"/>
        <v>1066393.9704</v>
      </c>
      <c r="R25" s="62">
        <f t="shared" ca="1" si="20"/>
        <v>1066393.9704</v>
      </c>
      <c r="S25" s="62">
        <f t="shared" ca="1" si="20"/>
        <v>1066393.9704</v>
      </c>
      <c r="T25" s="62">
        <f t="shared" ca="1" si="20"/>
        <v>1066393.9704</v>
      </c>
      <c r="U25" s="62">
        <f t="shared" ca="1" si="20"/>
        <v>18314162.788414732</v>
      </c>
      <c r="V25" s="62">
        <f t="shared" ca="1" si="20"/>
        <v>17509063.541356269</v>
      </c>
      <c r="W25" s="62">
        <f t="shared" ca="1" si="20"/>
        <v>19032669.614473108</v>
      </c>
      <c r="X25" s="62">
        <f t="shared" ca="1" si="20"/>
        <v>24568953.714501679</v>
      </c>
      <c r="Y25" s="62">
        <f t="shared" ca="1" si="20"/>
        <v>27337095.764515962</v>
      </c>
      <c r="Z25" s="62">
        <f t="shared" ca="1" si="20"/>
        <v>32873379.864544537</v>
      </c>
      <c r="AA25" s="62">
        <f t="shared" ca="1" si="20"/>
        <v>60554800.364687376</v>
      </c>
      <c r="AB25" s="62">
        <f t="shared" ca="1" si="20"/>
        <v>32873379.864544537</v>
      </c>
      <c r="AC25" s="62">
        <f t="shared" ca="1" si="20"/>
        <v>32873379.864544537</v>
      </c>
      <c r="AD25" s="62">
        <f t="shared" ca="1" si="20"/>
        <v>27337095.764515962</v>
      </c>
      <c r="AE25" s="62">
        <f t="shared" ca="1" si="20"/>
        <v>10485620.381168345</v>
      </c>
      <c r="AF25" s="62">
        <f t="shared" ca="1" si="20"/>
        <v>4949336.281139777</v>
      </c>
      <c r="AG25" s="62">
        <f t="shared" ca="1" si="20"/>
        <v>21242903.294473108</v>
      </c>
      <c r="AH25" s="62">
        <f t="shared" ca="1" si="20"/>
        <v>30946238.007616837</v>
      </c>
      <c r="AI25" s="62">
        <f t="shared" si="20"/>
        <v>29422631.934499998</v>
      </c>
      <c r="AJ25" s="62">
        <f t="shared" ref="Z25:AX25" si="21">SUM(AJ4:AJ24)</f>
        <v>0</v>
      </c>
      <c r="AK25" s="62">
        <f t="shared" si="21"/>
        <v>0</v>
      </c>
      <c r="AL25" s="62">
        <f t="shared" si="21"/>
        <v>0</v>
      </c>
      <c r="AM25" s="62">
        <f t="shared" si="21"/>
        <v>0</v>
      </c>
      <c r="AN25" s="62">
        <f t="shared" si="21"/>
        <v>0</v>
      </c>
      <c r="AO25" s="62">
        <f t="shared" si="21"/>
        <v>0</v>
      </c>
      <c r="AP25" s="62">
        <f t="shared" si="21"/>
        <v>0</v>
      </c>
      <c r="AQ25" s="62">
        <f t="shared" si="21"/>
        <v>0</v>
      </c>
      <c r="AR25" s="62">
        <f t="shared" si="21"/>
        <v>0</v>
      </c>
      <c r="AS25" s="62">
        <f t="shared" si="21"/>
        <v>0</v>
      </c>
      <c r="AT25" s="62">
        <f t="shared" si="21"/>
        <v>0</v>
      </c>
      <c r="AU25" s="62">
        <f t="shared" si="21"/>
        <v>0</v>
      </c>
      <c r="AV25" s="62">
        <f t="shared" ca="1" si="21"/>
        <v>394586287.92659688</v>
      </c>
      <c r="AW25" s="62">
        <f t="shared" ca="1" si="21"/>
        <v>394586286.92659682</v>
      </c>
      <c r="AX25" s="62">
        <f t="shared" ca="1" si="21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 ca="1">'H Financial'!D11</f>
        <v>0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 ca="1">B25+B26</f>
        <v>384370574.52516836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 ca="1">SUM(C28:AU28)</f>
        <v>192185287.26258418</v>
      </c>
      <c r="C28" s="142">
        <f>C25</f>
        <v>0</v>
      </c>
      <c r="D28" s="142">
        <f t="shared" ref="D28:Y28" ca="1" si="22">IF(((C29+D25)&lt;=$B$29),D25,($B$29-C29))</f>
        <v>0</v>
      </c>
      <c r="E28" s="142">
        <f t="shared" ca="1" si="22"/>
        <v>0</v>
      </c>
      <c r="F28" s="142">
        <f t="shared" ca="1" si="22"/>
        <v>0</v>
      </c>
      <c r="G28" s="142">
        <f t="shared" ca="1" si="22"/>
        <v>0</v>
      </c>
      <c r="H28" s="142">
        <f t="shared" ca="1" si="22"/>
        <v>0</v>
      </c>
      <c r="I28" s="142">
        <f t="shared" ca="1" si="22"/>
        <v>0</v>
      </c>
      <c r="J28" s="142">
        <f t="shared" ca="1" si="22"/>
        <v>0</v>
      </c>
      <c r="K28" s="142">
        <f t="shared" ca="1" si="22"/>
        <v>0</v>
      </c>
      <c r="L28" s="142">
        <f t="shared" ca="1" si="22"/>
        <v>0</v>
      </c>
      <c r="M28" s="142">
        <f t="shared" ca="1" si="22"/>
        <v>0</v>
      </c>
      <c r="N28" s="142">
        <f t="shared" ca="1" si="22"/>
        <v>0</v>
      </c>
      <c r="O28" s="142">
        <f t="shared" ca="1" si="22"/>
        <v>0</v>
      </c>
      <c r="P28" s="142">
        <f t="shared" ca="1" si="22"/>
        <v>0</v>
      </c>
      <c r="Q28" s="142">
        <f t="shared" ca="1" si="22"/>
        <v>1066393.9704</v>
      </c>
      <c r="R28" s="142">
        <f t="shared" ca="1" si="22"/>
        <v>1066393.9704</v>
      </c>
      <c r="S28" s="142">
        <f t="shared" ca="1" si="22"/>
        <v>1066393.9704</v>
      </c>
      <c r="T28" s="142">
        <f t="shared" ca="1" si="22"/>
        <v>1066393.9704</v>
      </c>
      <c r="U28" s="142">
        <f t="shared" ca="1" si="22"/>
        <v>18314162.788414732</v>
      </c>
      <c r="V28" s="142">
        <f t="shared" ca="1" si="22"/>
        <v>17509063.541356269</v>
      </c>
      <c r="W28" s="142">
        <f t="shared" ca="1" si="22"/>
        <v>19032669.614473108</v>
      </c>
      <c r="X28" s="142">
        <f t="shared" ca="1" si="22"/>
        <v>24568953.714501679</v>
      </c>
      <c r="Y28" s="142">
        <f t="shared" ca="1" si="22"/>
        <v>27337095.764515962</v>
      </c>
      <c r="Z28" s="142">
        <f t="shared" ref="Z28" ca="1" si="23">IF(((Y29+Z25)&lt;=$B$29),Z25,($B$29-Y29))</f>
        <v>32873379.864544537</v>
      </c>
      <c r="AA28" s="142">
        <f t="shared" ref="AA28" ca="1" si="24">IF(((Z29+AA25)&lt;=$B$29),AA25,($B$29-Z29))</f>
        <v>48284386.093177885</v>
      </c>
      <c r="AB28" s="142">
        <f t="shared" ref="AB28" ca="1" si="25">IF(((AA29+AB25)&lt;=$B$29),AB25,($B$29-AA29))</f>
        <v>0</v>
      </c>
      <c r="AC28" s="142">
        <f t="shared" ref="AC28" ca="1" si="26">IF(((AB29+AC25)&lt;=$B$29),AC25,($B$29-AB29))</f>
        <v>0</v>
      </c>
      <c r="AD28" s="142">
        <f t="shared" ref="AD28" ca="1" si="27">IF(((AC29+AD25)&lt;=$B$29),AD25,($B$29-AC29))</f>
        <v>0</v>
      </c>
      <c r="AE28" s="142">
        <f t="shared" ref="AE28" ca="1" si="28">IF(((AD29+AE25)&lt;=$B$29),AE25,($B$29-AD29))</f>
        <v>0</v>
      </c>
      <c r="AF28" s="142">
        <f t="shared" ref="AF28" ca="1" si="29">IF(((AE29+AF25)&lt;=$B$29),AF25,($B$29-AE29))</f>
        <v>0</v>
      </c>
      <c r="AG28" s="142">
        <f t="shared" ref="AG28" ca="1" si="30">IF(((AF29+AG25)&lt;=$B$29),AG25,($B$29-AF29))</f>
        <v>0</v>
      </c>
      <c r="AH28" s="142">
        <f t="shared" ref="AH28" ca="1" si="31">IF(((AG29+AH25)&lt;=$B$29),AH25,($B$29-AG29))</f>
        <v>0</v>
      </c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 ca="1">'H Financial'!D15</f>
        <v>192185287.26258418</v>
      </c>
      <c r="C29" s="142">
        <f>C28</f>
        <v>0</v>
      </c>
      <c r="D29" s="142">
        <f ca="1">IF(SUM($C$28:D$28)&lt;=$B29,SUM($C$28:D$28),0)</f>
        <v>0</v>
      </c>
      <c r="E29" s="142">
        <f ca="1">IF(SUM($C$28:E28)&lt;=$B29,SUM($C$28:E28),0)</f>
        <v>0</v>
      </c>
      <c r="F29" s="142">
        <f ca="1">IF(SUM($C$28:F28)&lt;=$B29,SUM($C$28:F28),0)</f>
        <v>0</v>
      </c>
      <c r="G29" s="142">
        <f ca="1">IF(SUM($C$28:G28)&lt;=$B29,SUM($C$28:G28),0)</f>
        <v>0</v>
      </c>
      <c r="H29" s="142">
        <f ca="1">IF(SUM($C$28:H28)&lt;=$B29,SUM($C$28:H28),0)</f>
        <v>0</v>
      </c>
      <c r="I29" s="142">
        <f ca="1">IF(SUM($C$28:I28)&lt;=$B29,SUM($C$28:I28),0)</f>
        <v>0</v>
      </c>
      <c r="J29" s="142">
        <f ca="1">IF(SUM($C$28:J28)&lt;=$B29,SUM($C$28:J28),0)</f>
        <v>0</v>
      </c>
      <c r="K29" s="142">
        <f ca="1">IF(SUM($C$28:K28)&lt;=$B29,SUM($C$28:K28),0)</f>
        <v>0</v>
      </c>
      <c r="L29" s="142">
        <f ca="1">IF(SUM($C$28:L28)&lt;=$B29,SUM($C$28:L28),0)</f>
        <v>0</v>
      </c>
      <c r="M29" s="142">
        <f ca="1">IF(SUM($C$28:M28)&lt;=$B29,SUM($C$28:M28),0)</f>
        <v>0</v>
      </c>
      <c r="N29" s="142">
        <f ca="1">IF(SUM($C$28:N28)&lt;=$B29,SUM($C$28:N28),0)</f>
        <v>0</v>
      </c>
      <c r="O29" s="142">
        <f ca="1">IF(SUM($C$28:O28)&lt;=$B29,SUM($C$28:O28),0)</f>
        <v>0</v>
      </c>
      <c r="P29" s="142">
        <f ca="1">IF(SUM($C$28:P28)&lt;=$B29,SUM($C$28:P28),0)</f>
        <v>0</v>
      </c>
      <c r="Q29" s="142">
        <f ca="1">IF(SUM($C$28:Q28)&lt;=$B29,SUM($C$28:Q28),0)</f>
        <v>1066393.9704</v>
      </c>
      <c r="R29" s="142">
        <f ca="1">IF(SUM($C$28:R28)&lt;=$B29,SUM($C$28:R28),0)</f>
        <v>2132787.9408</v>
      </c>
      <c r="S29" s="142">
        <f ca="1">IF(SUM($C$28:S28)&lt;=$B29,SUM($C$28:S28),0)</f>
        <v>3199181.9112</v>
      </c>
      <c r="T29" s="142">
        <f ca="1">IF(SUM($C$28:T28)&lt;=$B29,SUM($C$28:T28),0)</f>
        <v>4265575.8816</v>
      </c>
      <c r="U29" s="142">
        <f ca="1">IF(SUM($C$28:U28)&lt;=$B29,SUM($C$28:U28),0)</f>
        <v>22579738.670014732</v>
      </c>
      <c r="V29" s="142">
        <f ca="1">IF(SUM($C$28:V28)&lt;=$B29,SUM($C$28:V28),0)</f>
        <v>40088802.211371005</v>
      </c>
      <c r="W29" s="142">
        <f ca="1">IF(SUM($C$28:W28)&lt;=$B29,SUM($C$28:W28),0)</f>
        <v>59121471.825844109</v>
      </c>
      <c r="X29" s="142">
        <f ca="1">IF(SUM($C$28:X28)&lt;=$B29,SUM($C$28:X28),0)</f>
        <v>83690425.540345788</v>
      </c>
      <c r="Y29" s="142">
        <f ca="1">IF(SUM($C$28:Y28)&lt;=$B29,SUM($C$28:Y28),0)</f>
        <v>111027521.30486175</v>
      </c>
      <c r="Z29" s="142">
        <f ca="1">IF(SUM($C$28:Z28)&lt;=$B29,SUM($C$28:Z28),0)</f>
        <v>143900901.16940629</v>
      </c>
      <c r="AA29" s="142">
        <f ca="1">IF(SUM($C$28:AA28)&lt;=$B29,SUM($C$28:AA28),0)</f>
        <v>192185287.26258418</v>
      </c>
      <c r="AB29" s="142">
        <f ca="1">IF(SUM($C$28:AB28)&lt;=$B29,SUM($C$28:AB28),0)</f>
        <v>192185287.26258418</v>
      </c>
      <c r="AC29" s="142">
        <f ca="1">IF(SUM($C$28:AC28)&lt;=$B29,SUM($C$28:AC28),0)</f>
        <v>192185287.26258418</v>
      </c>
      <c r="AD29" s="142">
        <f ca="1">IF(SUM($C$28:AD28)&lt;=$B29,SUM($C$28:AD28),0)</f>
        <v>192185287.26258418</v>
      </c>
      <c r="AE29" s="142">
        <f ca="1">IF(SUM($C$28:AE28)&lt;=$B29,SUM($C$28:AE28),0)</f>
        <v>192185287.26258418</v>
      </c>
      <c r="AF29" s="142">
        <f ca="1">IF(SUM($C$28:AF28)&lt;=$B29,SUM($C$28:AF28),0)</f>
        <v>192185287.26258418</v>
      </c>
      <c r="AG29" s="142">
        <f ca="1">IF(SUM($C$28:AG28)&lt;=$B29,SUM($C$28:AG28),0)</f>
        <v>192185287.26258418</v>
      </c>
      <c r="AH29" s="142">
        <f ca="1">IF(SUM($C$28:AH28)&lt;=$B29,SUM($C$28:AH28),0)</f>
        <v>192185287.26258418</v>
      </c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 ca="1">'H Financial'!D14</f>
        <v>192185287.26258418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 ca="1">PMT(0.065,30,(B30))</f>
        <v>-14717057.735864276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 ca="1">'H Financial'!D21+'H Financial'!D22</f>
        <v>680988933.16332805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 ca="1">SUM(C35:AU35)</f>
        <v>488803645.90074384</v>
      </c>
      <c r="C35" s="170">
        <f t="shared" ref="C35:Y35" si="32">-C28</f>
        <v>0</v>
      </c>
      <c r="D35" s="170">
        <f t="shared" ca="1" si="32"/>
        <v>0</v>
      </c>
      <c r="E35" s="170">
        <f t="shared" ca="1" si="32"/>
        <v>0</v>
      </c>
      <c r="F35" s="170">
        <f t="shared" ca="1" si="32"/>
        <v>0</v>
      </c>
      <c r="G35" s="170">
        <f t="shared" ca="1" si="32"/>
        <v>0</v>
      </c>
      <c r="H35" s="170">
        <f t="shared" ca="1" si="32"/>
        <v>0</v>
      </c>
      <c r="I35" s="170">
        <f t="shared" ca="1" si="32"/>
        <v>0</v>
      </c>
      <c r="J35" s="170">
        <f t="shared" ca="1" si="32"/>
        <v>0</v>
      </c>
      <c r="K35" s="170">
        <f t="shared" ca="1" si="32"/>
        <v>0</v>
      </c>
      <c r="L35" s="170">
        <f t="shared" ca="1" si="32"/>
        <v>0</v>
      </c>
      <c r="M35" s="170">
        <f t="shared" ca="1" si="32"/>
        <v>0</v>
      </c>
      <c r="N35" s="170">
        <f t="shared" ca="1" si="32"/>
        <v>0</v>
      </c>
      <c r="O35" s="170">
        <f t="shared" ca="1" si="32"/>
        <v>0</v>
      </c>
      <c r="P35" s="170">
        <f t="shared" ca="1" si="32"/>
        <v>0</v>
      </c>
      <c r="Q35" s="170">
        <f t="shared" ca="1" si="32"/>
        <v>-1066393.9704</v>
      </c>
      <c r="R35" s="170">
        <f t="shared" ca="1" si="32"/>
        <v>-1066393.9704</v>
      </c>
      <c r="S35" s="170">
        <f t="shared" ca="1" si="32"/>
        <v>-1066393.9704</v>
      </c>
      <c r="T35" s="170">
        <f t="shared" ca="1" si="32"/>
        <v>-1066393.9704</v>
      </c>
      <c r="U35" s="170">
        <f t="shared" ca="1" si="32"/>
        <v>-18314162.788414732</v>
      </c>
      <c r="V35" s="170">
        <f t="shared" ca="1" si="32"/>
        <v>-17509063.541356269</v>
      </c>
      <c r="W35" s="170">
        <f t="shared" ca="1" si="32"/>
        <v>-19032669.614473108</v>
      </c>
      <c r="X35" s="170">
        <f t="shared" ca="1" si="32"/>
        <v>-24568953.714501679</v>
      </c>
      <c r="Y35" s="170">
        <f t="shared" ca="1" si="32"/>
        <v>-27337095.764515962</v>
      </c>
      <c r="Z35" s="170">
        <f t="shared" ref="Z35:AH35" ca="1" si="33">-Z28</f>
        <v>-32873379.864544537</v>
      </c>
      <c r="AA35" s="170">
        <f t="shared" ca="1" si="33"/>
        <v>-48284386.093177885</v>
      </c>
      <c r="AB35" s="170">
        <f t="shared" ca="1" si="33"/>
        <v>0</v>
      </c>
      <c r="AC35" s="170">
        <f t="shared" ca="1" si="33"/>
        <v>0</v>
      </c>
      <c r="AD35" s="170">
        <f t="shared" ca="1" si="33"/>
        <v>0</v>
      </c>
      <c r="AE35" s="170">
        <f t="shared" ca="1" si="33"/>
        <v>0</v>
      </c>
      <c r="AF35" s="170">
        <f t="shared" ca="1" si="33"/>
        <v>0</v>
      </c>
      <c r="AG35" s="170">
        <f t="shared" ca="1" si="33"/>
        <v>0</v>
      </c>
      <c r="AH35" s="170">
        <f t="shared" ca="1" si="33"/>
        <v>0</v>
      </c>
      <c r="AI35" s="171">
        <f ca="1">B34</f>
        <v>680988933.16332805</v>
      </c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 ca="1">IF(B35&lt;0,0,IRR(C35:AIW35))</f>
        <v>0.12488065400946513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 ca="1">POWER((1+B36),4)-1</f>
        <v>0.60112703606694806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7"/>
      <c r="R37" s="177"/>
      <c r="S37" s="177"/>
      <c r="T37" s="177"/>
      <c r="U37" s="177"/>
      <c r="V37" s="177"/>
      <c r="W37" s="177"/>
      <c r="X37" s="177"/>
      <c r="Y37" s="177"/>
      <c r="Z37" s="177"/>
      <c r="AA37" s="177"/>
      <c r="AB37" s="177"/>
      <c r="AC37" s="177"/>
      <c r="AD37" s="177"/>
      <c r="AE37" s="177"/>
      <c r="AF37" s="177"/>
      <c r="AG37" s="177"/>
      <c r="AH37" s="177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7"/>
      <c r="R38" s="177"/>
      <c r="S38" s="177"/>
      <c r="T38" s="177"/>
      <c r="U38" s="177"/>
      <c r="V38" s="177"/>
      <c r="W38" s="177"/>
      <c r="X38" s="177"/>
      <c r="Y38" s="177"/>
      <c r="Z38" s="177"/>
      <c r="AA38" s="177"/>
      <c r="AB38" s="177"/>
      <c r="AC38" s="177"/>
      <c r="AD38" s="177"/>
      <c r="AE38" s="177"/>
      <c r="AF38" s="177"/>
      <c r="AG38" s="177"/>
      <c r="AH38" s="177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 ca="1">'H Financial'!D21-B26</f>
        <v>873174220.42591226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7"/>
      <c r="R39" s="177"/>
      <c r="S39" s="177"/>
      <c r="T39" s="177"/>
      <c r="U39" s="177"/>
      <c r="V39" s="177"/>
      <c r="W39" s="177"/>
      <c r="X39" s="177"/>
      <c r="Y39" s="177"/>
      <c r="Z39" s="177"/>
      <c r="AA39" s="177"/>
      <c r="AB39" s="177"/>
      <c r="AC39" s="177"/>
      <c r="AD39" s="177"/>
      <c r="AE39" s="177"/>
      <c r="AF39" s="177"/>
      <c r="AG39" s="177"/>
      <c r="AH39" s="177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 ca="1">SUM(C40:AU40)</f>
        <v>478587933.4993155</v>
      </c>
      <c r="C40" s="142">
        <f t="shared" ref="C40:Y40" si="34">-C25</f>
        <v>0</v>
      </c>
      <c r="D40" s="142">
        <f t="shared" si="34"/>
        <v>0</v>
      </c>
      <c r="E40" s="142">
        <f t="shared" si="34"/>
        <v>0</v>
      </c>
      <c r="F40" s="142">
        <f t="shared" si="34"/>
        <v>0</v>
      </c>
      <c r="G40" s="142">
        <f t="shared" si="34"/>
        <v>0</v>
      </c>
      <c r="H40" s="142">
        <f t="shared" si="34"/>
        <v>0</v>
      </c>
      <c r="I40" s="142">
        <f t="shared" si="34"/>
        <v>0</v>
      </c>
      <c r="J40" s="142">
        <f t="shared" si="34"/>
        <v>0</v>
      </c>
      <c r="K40" s="142">
        <f t="shared" si="34"/>
        <v>0</v>
      </c>
      <c r="L40" s="142">
        <f t="shared" si="34"/>
        <v>0</v>
      </c>
      <c r="M40" s="142">
        <f t="shared" si="34"/>
        <v>0</v>
      </c>
      <c r="N40" s="142">
        <f t="shared" si="34"/>
        <v>0</v>
      </c>
      <c r="O40" s="142">
        <f t="shared" si="34"/>
        <v>0</v>
      </c>
      <c r="P40" s="142">
        <f t="shared" si="34"/>
        <v>0</v>
      </c>
      <c r="Q40" s="142">
        <f t="shared" ca="1" si="34"/>
        <v>-1066393.9704</v>
      </c>
      <c r="R40" s="142">
        <f t="shared" ca="1" si="34"/>
        <v>-1066393.9704</v>
      </c>
      <c r="S40" s="142">
        <f t="shared" ca="1" si="34"/>
        <v>-1066393.9704</v>
      </c>
      <c r="T40" s="142">
        <f t="shared" ca="1" si="34"/>
        <v>-1066393.9704</v>
      </c>
      <c r="U40" s="142">
        <f t="shared" ca="1" si="34"/>
        <v>-18314162.788414732</v>
      </c>
      <c r="V40" s="142">
        <f t="shared" ca="1" si="34"/>
        <v>-17509063.541356269</v>
      </c>
      <c r="W40" s="142">
        <f t="shared" ca="1" si="34"/>
        <v>-19032669.614473108</v>
      </c>
      <c r="X40" s="142">
        <f t="shared" ca="1" si="34"/>
        <v>-24568953.714501679</v>
      </c>
      <c r="Y40" s="142">
        <f t="shared" ca="1" si="34"/>
        <v>-27337095.764515962</v>
      </c>
      <c r="Z40" s="142">
        <f t="shared" ref="Z40:AH40" ca="1" si="35">-Z25</f>
        <v>-32873379.864544537</v>
      </c>
      <c r="AA40" s="142">
        <f t="shared" ca="1" si="35"/>
        <v>-60554800.364687376</v>
      </c>
      <c r="AB40" s="142">
        <f t="shared" ca="1" si="35"/>
        <v>-32873379.864544537</v>
      </c>
      <c r="AC40" s="142">
        <f t="shared" ca="1" si="35"/>
        <v>-32873379.864544537</v>
      </c>
      <c r="AD40" s="142">
        <f t="shared" ca="1" si="35"/>
        <v>-27337095.764515962</v>
      </c>
      <c r="AE40" s="142">
        <f t="shared" ca="1" si="35"/>
        <v>-10485620.381168345</v>
      </c>
      <c r="AF40" s="142">
        <f t="shared" ca="1" si="35"/>
        <v>-4949336.281139777</v>
      </c>
      <c r="AG40" s="142">
        <f t="shared" ca="1" si="35"/>
        <v>-21242903.294473108</v>
      </c>
      <c r="AH40" s="142">
        <f t="shared" ca="1" si="35"/>
        <v>-30946238.007616837</v>
      </c>
      <c r="AI40" s="174">
        <f ca="1">$B$39-AI25</f>
        <v>843751588.49141228</v>
      </c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 ca="1">IF(B40&lt;0,0,IRR(C40:AU40))</f>
        <v>0.10550796570214271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 ca="1">POWER((1+B41),4)-1</f>
        <v>0.49364539715553413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96" priority="1" operator="equal">
      <formula>#REF!</formula>
    </cfRule>
    <cfRule type="cellIs" dxfId="95" priority="2" operator="equal">
      <formula>#REF!</formula>
    </cfRule>
    <cfRule type="cellIs" dxfId="94" priority="3" operator="equal">
      <formula>#REF!</formula>
    </cfRule>
    <cfRule type="cellIs" dxfId="93" priority="4" operator="equal">
      <formula>#REF!</formula>
    </cfRule>
  </conditionalFormatting>
  <conditionalFormatting sqref="AT4:AU4">
    <cfRule type="cellIs" dxfId="92" priority="5" operator="equal">
      <formula>#REF!</formula>
    </cfRule>
    <cfRule type="cellIs" dxfId="91" priority="6" operator="equal">
      <formula>#REF!</formula>
    </cfRule>
    <cfRule type="cellIs" dxfId="90" priority="7" operator="equal">
      <formula>#REF!</formula>
    </cfRule>
    <cfRule type="cellIs" dxfId="89" priority="8" operator="equal">
      <formula>#REF!</formula>
    </cfRule>
    <cfRule type="cellIs" dxfId="88" priority="9" operator="equal">
      <formula>#REF!</formula>
    </cfRule>
    <cfRule type="cellIs" dxfId="87" priority="10" operator="equal">
      <formula>#REF!</formula>
    </cfRule>
    <cfRule type="cellIs" dxfId="86" priority="11" operator="equal">
      <formula>#REF!</formula>
    </cfRule>
    <cfRule type="cellIs" dxfId="85" priority="12" operator="equal">
      <formula>#REF!</formula>
    </cfRule>
  </conditionalFormatting>
  <conditionalFormatting sqref="AV3:AX3">
    <cfRule type="cellIs" dxfId="84" priority="13" operator="equal">
      <formula>#REF!</formula>
    </cfRule>
    <cfRule type="cellIs" dxfId="83" priority="14" operator="equal">
      <formula>#REF!</formula>
    </cfRule>
    <cfRule type="cellIs" dxfId="82" priority="15" operator="equal">
      <formula>#REF!</formula>
    </cfRule>
    <cfRule type="cellIs" dxfId="81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BD647E-DBBC-48B9-A09B-3AB68D0190C6}">
  <sheetPr>
    <tabColor theme="6" tint="-0.249977111117893"/>
    <pageSetUpPr fitToPage="1"/>
  </sheetPr>
  <dimension ref="A1:AC164"/>
  <sheetViews>
    <sheetView showGridLines="0" topLeftCell="A133" zoomScale="85" zoomScaleNormal="85" zoomScaleSheetLayoutView="90" workbookViewId="0">
      <selection activeCell="A163" sqref="A163"/>
    </sheetView>
  </sheetViews>
  <sheetFormatPr defaultColWidth="8.81640625" defaultRowHeight="23.25" customHeight="1"/>
  <cols>
    <col min="1" max="1" width="46.08984375" style="5" bestFit="1" customWidth="1"/>
    <col min="2" max="2" width="28.90625" style="5" bestFit="1" customWidth="1"/>
    <col min="3" max="3" width="35.6328125" style="5" customWidth="1"/>
    <col min="4" max="4" width="20.453125" style="5" bestFit="1" customWidth="1"/>
    <col min="5" max="5" width="19.81640625" style="5" bestFit="1" customWidth="1"/>
    <col min="6" max="6" width="1.6328125" style="5" customWidth="1"/>
    <col min="7" max="7" width="32.81640625" style="5" bestFit="1" customWidth="1"/>
    <col min="8" max="8" width="28.90625" style="5" bestFit="1" customWidth="1"/>
    <col min="9" max="9" width="35.6328125" style="5" customWidth="1"/>
    <col min="10" max="11" width="26.90625" style="5" customWidth="1"/>
    <col min="12" max="12" width="1.6328125" style="5" customWidth="1"/>
    <col min="13" max="13" width="32.81640625" style="5" bestFit="1" customWidth="1"/>
    <col min="14" max="14" width="28.90625" style="5" bestFit="1" customWidth="1"/>
    <col min="15" max="15" width="35.6328125" style="5" customWidth="1"/>
    <col min="16" max="17" width="26.90625" style="5" customWidth="1"/>
    <col min="18" max="18" width="1.6328125" style="5" customWidth="1"/>
    <col min="19" max="19" width="32.81640625" style="5" bestFit="1" customWidth="1"/>
    <col min="20" max="20" width="28.90625" style="5" bestFit="1" customWidth="1"/>
    <col min="21" max="21" width="35.6328125" style="5" customWidth="1"/>
    <col min="22" max="23" width="26.90625" style="5" customWidth="1"/>
    <col min="24" max="24" width="2.6328125" style="5" customWidth="1"/>
    <col min="25" max="25" width="32.81640625" style="5" bestFit="1" customWidth="1"/>
    <col min="26" max="26" width="28.90625" style="5" bestFit="1" customWidth="1"/>
    <col min="27" max="27" width="32.453125" style="5" customWidth="1"/>
    <col min="28" max="28" width="20.1796875" style="5" customWidth="1"/>
    <col min="29" max="29" width="13.453125" style="5" bestFit="1" customWidth="1"/>
    <col min="30" max="16384" width="8.81640625" style="5"/>
  </cols>
  <sheetData>
    <row r="1" spans="1:29" ht="23.25" customHeight="1" thickBot="1">
      <c r="A1" s="2"/>
      <c r="B1" s="253"/>
      <c r="C1" s="3"/>
      <c r="D1" s="4"/>
      <c r="G1" s="211"/>
      <c r="H1" s="211"/>
      <c r="I1" s="317"/>
      <c r="J1" s="317"/>
      <c r="K1" s="317"/>
      <c r="Y1" s="329"/>
      <c r="Z1" s="317"/>
      <c r="AA1" s="317"/>
      <c r="AB1" s="317"/>
      <c r="AC1" s="317"/>
    </row>
    <row r="2" spans="1:29" ht="30" customHeight="1" thickBot="1">
      <c r="A2" s="544" t="s">
        <v>67</v>
      </c>
      <c r="B2" s="377"/>
      <c r="C2" s="377" t="s">
        <v>202</v>
      </c>
      <c r="D2" s="698" t="s">
        <v>266</v>
      </c>
      <c r="E2" s="699"/>
      <c r="G2" s="211"/>
      <c r="H2" s="211"/>
      <c r="I2" s="317"/>
      <c r="J2" s="317"/>
      <c r="K2" s="317"/>
      <c r="Y2" s="296"/>
      <c r="Z2" s="317"/>
      <c r="AA2" s="317"/>
      <c r="AB2" s="317"/>
      <c r="AC2" s="317"/>
    </row>
    <row r="3" spans="1:29" ht="20" customHeight="1">
      <c r="B3" s="212"/>
      <c r="C3" s="212"/>
      <c r="D3" s="212"/>
      <c r="E3" s="212"/>
      <c r="G3" s="211"/>
      <c r="H3" s="211"/>
      <c r="I3" s="317"/>
      <c r="J3" s="317"/>
      <c r="K3" s="317"/>
      <c r="Y3" s="372"/>
      <c r="Z3" s="317"/>
      <c r="AA3" s="317"/>
      <c r="AB3" s="317"/>
      <c r="AC3" s="317"/>
    </row>
    <row r="4" spans="1:29" ht="25" customHeight="1" thickBot="1">
      <c r="A4" s="638" t="s">
        <v>322</v>
      </c>
      <c r="B4" s="318"/>
      <c r="G4" s="211"/>
      <c r="H4" s="211"/>
      <c r="I4" s="317"/>
      <c r="J4" s="317"/>
      <c r="K4" s="317"/>
      <c r="Y4" s="328"/>
      <c r="Z4" s="370"/>
      <c r="AA4" s="212"/>
      <c r="AB4" s="212"/>
      <c r="AC4" s="212"/>
    </row>
    <row r="5" spans="1:29" ht="15" customHeight="1" thickBot="1">
      <c r="A5" s="639" t="s">
        <v>318</v>
      </c>
      <c r="B5" s="640"/>
      <c r="C5" s="637" t="s">
        <v>416</v>
      </c>
      <c r="D5" s="545">
        <f>SUM(E123,K123,Q123,W123)</f>
        <v>6017619.9860183708</v>
      </c>
      <c r="G5" s="211"/>
      <c r="H5" s="211"/>
      <c r="I5" s="317"/>
      <c r="J5" s="541"/>
      <c r="K5" s="317"/>
      <c r="Y5" s="328"/>
      <c r="Z5" s="370"/>
      <c r="AA5" s="212"/>
      <c r="AB5" s="370"/>
      <c r="AC5" s="212"/>
    </row>
    <row r="6" spans="1:29" ht="15" customHeight="1" thickBot="1">
      <c r="A6" s="528" t="s">
        <v>242</v>
      </c>
      <c r="B6" s="641" t="s">
        <v>320</v>
      </c>
      <c r="C6" s="637" t="s">
        <v>382</v>
      </c>
      <c r="D6" s="545">
        <f>SUM(E130,K130,Q130,W130)</f>
        <v>66969998.779367141</v>
      </c>
      <c r="G6" s="211"/>
      <c r="H6" s="211"/>
      <c r="I6" s="317"/>
      <c r="J6" s="541"/>
      <c r="K6" s="317"/>
      <c r="Y6" s="328"/>
      <c r="Z6" s="370"/>
      <c r="AA6" s="212"/>
      <c r="AB6" s="370"/>
      <c r="AC6" s="212"/>
    </row>
    <row r="7" spans="1:29" ht="15" customHeight="1">
      <c r="A7" s="88" t="s">
        <v>94</v>
      </c>
      <c r="B7" s="395">
        <f>SUM(C133,I133,O133,U133)</f>
        <v>119982423</v>
      </c>
      <c r="C7" s="637" t="s">
        <v>381</v>
      </c>
      <c r="D7" s="545">
        <f>SUM(E131,K131,Q131,W131)</f>
        <v>0</v>
      </c>
      <c r="G7" s="211"/>
      <c r="H7" s="211"/>
      <c r="I7" s="317"/>
      <c r="J7" s="541"/>
      <c r="K7" s="317"/>
      <c r="Y7" s="328"/>
      <c r="Z7" s="370"/>
      <c r="AA7" s="212"/>
      <c r="AB7" s="370"/>
      <c r="AC7" s="212"/>
    </row>
    <row r="8" spans="1:29" ht="15" customHeight="1" thickBot="1">
      <c r="A8" s="19" t="s">
        <v>34</v>
      </c>
      <c r="B8" s="396">
        <f>SUM(C134,I134,O134,U134)</f>
        <v>11998242.300000001</v>
      </c>
      <c r="C8" s="637" t="s">
        <v>321</v>
      </c>
      <c r="D8" s="545">
        <f>SUM(E130:E131,K130:K131,Q130:Q131,W130:W131)</f>
        <v>66969998.779367141</v>
      </c>
      <c r="G8" s="211"/>
      <c r="H8" s="211"/>
      <c r="I8" s="317"/>
      <c r="J8" s="541"/>
      <c r="K8" s="317"/>
      <c r="Y8" s="328"/>
      <c r="Z8" s="370"/>
      <c r="AA8" s="212"/>
      <c r="AB8" s="370"/>
      <c r="AC8" s="212"/>
    </row>
    <row r="9" spans="1:29" ht="15" customHeight="1" thickBot="1">
      <c r="A9" s="19" t="s">
        <v>1</v>
      </c>
      <c r="B9" s="396">
        <f>SUM(C135,I135,O135,U135)</f>
        <v>0</v>
      </c>
      <c r="C9" s="379" t="s">
        <v>101</v>
      </c>
      <c r="D9" s="361"/>
      <c r="G9" s="211"/>
      <c r="H9" s="211"/>
      <c r="I9" s="317"/>
      <c r="J9" s="541"/>
      <c r="K9" s="317"/>
      <c r="Y9" s="328"/>
      <c r="Z9" s="370"/>
      <c r="AA9" s="212"/>
      <c r="AB9" s="370"/>
      <c r="AC9" s="212"/>
    </row>
    <row r="10" spans="1:29" ht="15" customHeight="1" thickBot="1">
      <c r="A10" s="19" t="s">
        <v>384</v>
      </c>
      <c r="B10" s="396">
        <f>INDEX('Development Program'!$C$57:$K$59,3,MATCH(D2,'Development Program'!$C$57:$K$57,0))</f>
        <v>550000</v>
      </c>
      <c r="C10" s="380"/>
      <c r="D10" s="124" t="s">
        <v>102</v>
      </c>
      <c r="G10" s="211"/>
      <c r="H10" s="211"/>
      <c r="I10" s="317"/>
      <c r="J10" s="541"/>
      <c r="K10" s="317"/>
      <c r="Y10" s="328"/>
      <c r="Z10" s="370"/>
      <c r="AA10" s="212"/>
      <c r="AB10" s="370"/>
      <c r="AC10" s="212"/>
    </row>
    <row r="11" spans="1:29" ht="15" customHeight="1">
      <c r="A11" s="19" t="s">
        <v>420</v>
      </c>
      <c r="B11" s="396">
        <f>INDEX('Development Program'!$C$45:$K$54,10,MATCH(D2,'Development Program'!$C$45:$K$45,0))-'Development Program'!$K$39</f>
        <v>-1452380.9523809524</v>
      </c>
      <c r="C11" s="25" t="s">
        <v>103</v>
      </c>
      <c r="D11" s="354">
        <f>IF(B31&lt;0,B31,0)</f>
        <v>-118973862</v>
      </c>
      <c r="G11" s="211"/>
      <c r="H11" s="211"/>
      <c r="I11" s="317"/>
      <c r="J11" s="541"/>
      <c r="K11" s="317"/>
      <c r="Y11" s="328"/>
      <c r="Z11" s="370"/>
      <c r="AA11" s="212"/>
      <c r="AB11" s="370"/>
      <c r="AC11" s="212"/>
    </row>
    <row r="12" spans="1:29" ht="15" customHeight="1">
      <c r="A12" s="19" t="s">
        <v>36</v>
      </c>
      <c r="B12" s="396">
        <f>SUM(C138,I138,O138,U138)</f>
        <v>6599033.2650000006</v>
      </c>
      <c r="C12" s="25"/>
      <c r="D12" s="354"/>
      <c r="G12" s="211"/>
      <c r="H12" s="211"/>
      <c r="I12" s="317"/>
      <c r="J12" s="542"/>
      <c r="K12" s="317"/>
      <c r="Y12" s="328"/>
      <c r="Z12" s="370"/>
      <c r="AA12" s="212"/>
      <c r="AB12" s="370"/>
      <c r="AC12" s="212"/>
    </row>
    <row r="13" spans="1:29" ht="15" customHeight="1">
      <c r="A13" s="397" t="s">
        <v>41</v>
      </c>
      <c r="B13" s="396">
        <f>SUM(C139,I139,O139,U139)</f>
        <v>2639613.3059999999</v>
      </c>
      <c r="C13" s="25" t="s">
        <v>104</v>
      </c>
      <c r="D13" s="354">
        <f>B27+D11</f>
        <v>51515383.470176697</v>
      </c>
      <c r="I13" s="223"/>
      <c r="J13" s="223"/>
      <c r="K13" s="223"/>
      <c r="Y13" s="328"/>
      <c r="Z13" s="370"/>
      <c r="AA13" s="212"/>
      <c r="AB13" s="370"/>
      <c r="AC13" s="212"/>
    </row>
    <row r="14" spans="1:29" ht="15" customHeight="1">
      <c r="A14" s="397" t="s">
        <v>43</v>
      </c>
      <c r="B14" s="396">
        <f>SUM(C140,I140,O140,U140)</f>
        <v>0</v>
      </c>
      <c r="C14" s="381">
        <f>Assumptions!$H$14</f>
        <v>0.5</v>
      </c>
      <c r="D14" s="355">
        <f>C14*B$27</f>
        <v>85244622.735088348</v>
      </c>
      <c r="I14" s="223"/>
      <c r="J14" s="223"/>
      <c r="K14" s="223"/>
      <c r="Y14" s="328"/>
      <c r="Z14" s="370"/>
      <c r="AA14" s="212"/>
      <c r="AB14" s="370"/>
      <c r="AC14" s="212"/>
    </row>
    <row r="15" spans="1:29" ht="15" customHeight="1" thickBot="1">
      <c r="A15" s="397" t="s">
        <v>45</v>
      </c>
      <c r="B15" s="396">
        <f>SUM(C141,I141,O141,U141)</f>
        <v>5279226.6119999997</v>
      </c>
      <c r="C15" s="382">
        <f>1-C14</f>
        <v>0.5</v>
      </c>
      <c r="D15" s="356">
        <f>C15*B$27</f>
        <v>85244622.735088348</v>
      </c>
      <c r="I15" s="223"/>
      <c r="J15" s="223"/>
      <c r="K15" s="223"/>
      <c r="Y15" s="328"/>
      <c r="Z15" s="370"/>
      <c r="AA15" s="212"/>
      <c r="AB15" s="370"/>
      <c r="AC15" s="212"/>
    </row>
    <row r="16" spans="1:29" ht="15" customHeight="1" thickTop="1" thickBot="1">
      <c r="A16" s="397" t="s">
        <v>47</v>
      </c>
      <c r="B16" s="396">
        <f t="shared" ref="B16:B23" si="0">SUM(C142,I142,O142,U142)</f>
        <v>3959419.9589999998</v>
      </c>
      <c r="C16" s="383" t="s">
        <v>105</v>
      </c>
      <c r="D16" s="93">
        <f>D14+D15</f>
        <v>170489245.4701767</v>
      </c>
      <c r="E16" s="317"/>
      <c r="I16" s="223"/>
      <c r="J16" s="223"/>
      <c r="K16" s="223"/>
      <c r="Y16" s="328"/>
      <c r="Z16" s="370"/>
      <c r="AA16" s="212"/>
      <c r="AB16" s="370"/>
      <c r="AC16" s="212"/>
    </row>
    <row r="17" spans="1:29" ht="15" customHeight="1" thickBot="1">
      <c r="A17" s="397" t="s">
        <v>48</v>
      </c>
      <c r="B17" s="396">
        <f t="shared" si="0"/>
        <v>6599033.2650000006</v>
      </c>
      <c r="C17" s="379" t="s">
        <v>106</v>
      </c>
      <c r="D17" s="361"/>
      <c r="E17" s="348"/>
      <c r="I17" s="223"/>
      <c r="J17" s="223"/>
      <c r="K17" s="223"/>
      <c r="Y17" s="328"/>
      <c r="Z17" s="370"/>
      <c r="AA17" s="212"/>
      <c r="AB17" s="370"/>
      <c r="AC17" s="212"/>
    </row>
    <row r="18" spans="1:29" ht="15" customHeight="1" thickBot="1">
      <c r="A18" s="397" t="s">
        <v>96</v>
      </c>
      <c r="B18" s="396">
        <f>SUM(C144,I144,O144,U144)</f>
        <v>904094.98352145636</v>
      </c>
      <c r="C18" s="384"/>
      <c r="D18" s="129" t="s">
        <v>107</v>
      </c>
      <c r="E18" s="349"/>
      <c r="I18" s="223"/>
      <c r="J18" s="223"/>
      <c r="K18" s="223"/>
      <c r="Y18" s="328"/>
      <c r="Z18" s="370"/>
      <c r="AA18" s="212"/>
      <c r="AB18" s="370"/>
      <c r="AC18" s="212"/>
    </row>
    <row r="19" spans="1:29" ht="15" customHeight="1">
      <c r="A19" s="397" t="s">
        <v>51</v>
      </c>
      <c r="B19" s="396">
        <f t="shared" si="0"/>
        <v>1979709.9794999999</v>
      </c>
      <c r="C19" s="385" t="s">
        <v>108</v>
      </c>
      <c r="D19" s="130">
        <f>D6</f>
        <v>66969998.779367141</v>
      </c>
      <c r="E19" s="350"/>
      <c r="I19" s="223"/>
      <c r="J19" s="223"/>
      <c r="K19" s="223"/>
      <c r="Y19" s="328"/>
      <c r="Z19" s="370"/>
      <c r="AA19" s="212"/>
      <c r="AB19" s="370"/>
      <c r="AC19" s="212"/>
    </row>
    <row r="20" spans="1:29" ht="15" customHeight="1" thickBot="1">
      <c r="A20" s="397" t="s">
        <v>53</v>
      </c>
      <c r="B20" s="396">
        <f t="shared" si="0"/>
        <v>1600000</v>
      </c>
      <c r="C20" s="386">
        <v>0.02</v>
      </c>
      <c r="D20" s="131">
        <f>-C20*D19</f>
        <v>-1339399.9755873429</v>
      </c>
      <c r="E20" s="350"/>
      <c r="I20" s="223"/>
      <c r="J20" s="223"/>
      <c r="K20" s="223"/>
      <c r="Y20" s="328"/>
      <c r="Z20" s="370"/>
      <c r="AA20" s="212"/>
      <c r="AB20" s="370"/>
      <c r="AC20" s="212"/>
    </row>
    <row r="21" spans="1:29" ht="15" customHeight="1" thickTop="1" thickBot="1">
      <c r="A21" s="397" t="s">
        <v>54</v>
      </c>
      <c r="B21" s="396">
        <f t="shared" si="0"/>
        <v>918927.00325999991</v>
      </c>
      <c r="C21" s="387" t="s">
        <v>109</v>
      </c>
      <c r="D21" s="94">
        <f>D19+D20</f>
        <v>65630598.803779796</v>
      </c>
      <c r="E21" s="350"/>
      <c r="I21" s="223"/>
      <c r="J21" s="223"/>
      <c r="K21" s="223"/>
      <c r="Y21" s="328"/>
      <c r="Z21" s="370"/>
      <c r="AA21" s="212"/>
      <c r="AB21" s="370"/>
      <c r="AC21" s="212"/>
    </row>
    <row r="22" spans="1:29" ht="15" customHeight="1">
      <c r="A22" s="397" t="s">
        <v>55</v>
      </c>
      <c r="B22" s="396">
        <f t="shared" si="0"/>
        <v>0</v>
      </c>
      <c r="C22" s="385" t="s">
        <v>110</v>
      </c>
      <c r="D22" s="130">
        <f>-D14</f>
        <v>-85244622.735088348</v>
      </c>
      <c r="E22" s="350"/>
      <c r="I22" s="223"/>
      <c r="J22" s="223"/>
      <c r="K22" s="223"/>
      <c r="Y22" s="328"/>
      <c r="Z22" s="370"/>
      <c r="AA22" s="212"/>
      <c r="AB22" s="370"/>
      <c r="AC22" s="212"/>
    </row>
    <row r="23" spans="1:29" ht="15" customHeight="1" thickBot="1">
      <c r="A23" s="397" t="s">
        <v>316</v>
      </c>
      <c r="B23" s="396">
        <f t="shared" si="0"/>
        <v>0</v>
      </c>
      <c r="C23" s="388" t="s">
        <v>111</v>
      </c>
      <c r="D23" s="132">
        <f>-D15</f>
        <v>-85244622.735088348</v>
      </c>
      <c r="E23" s="351"/>
      <c r="I23" s="223"/>
      <c r="J23" s="223"/>
      <c r="K23" s="223"/>
      <c r="Y23" s="328"/>
      <c r="Z23" s="370"/>
      <c r="AA23" s="212"/>
      <c r="AB23" s="370"/>
      <c r="AC23" s="212"/>
    </row>
    <row r="24" spans="1:29" ht="15" customHeight="1" thickTop="1" thickBot="1">
      <c r="A24" s="397" t="s">
        <v>57</v>
      </c>
      <c r="B24" s="396">
        <f>SUM(C150,I150,O150,U150)</f>
        <v>1576218.1322252192</v>
      </c>
      <c r="C24" s="389" t="s">
        <v>112</v>
      </c>
      <c r="D24" s="95">
        <f>ROUND(D21+D22+D23,-2)</f>
        <v>-104858600</v>
      </c>
      <c r="I24" s="223"/>
      <c r="J24" s="223"/>
      <c r="K24" s="223"/>
      <c r="Y24" s="328"/>
      <c r="Z24" s="370"/>
      <c r="AA24" s="212"/>
      <c r="AB24" s="370"/>
      <c r="AC24" s="212"/>
    </row>
    <row r="25" spans="1:29" ht="15" customHeight="1">
      <c r="A25" s="642" t="s">
        <v>58</v>
      </c>
      <c r="B25" s="396">
        <f>SUM(C151,I151,O151,U151)</f>
        <v>7355684.617051024</v>
      </c>
      <c r="C25" s="329"/>
      <c r="D25" s="329"/>
      <c r="E25" s="348"/>
      <c r="I25" s="223"/>
      <c r="J25" s="223"/>
      <c r="K25" s="223"/>
      <c r="Y25" s="328"/>
      <c r="Z25" s="370"/>
      <c r="AA25" s="212"/>
      <c r="AB25" s="370"/>
      <c r="AC25" s="212"/>
    </row>
    <row r="26" spans="1:29" ht="15" customHeight="1">
      <c r="A26" s="397" t="s">
        <v>97</v>
      </c>
      <c r="B26" s="396">
        <f>SUM(C152,I152,O152,U152)</f>
        <v>2758767.2785790395</v>
      </c>
      <c r="C26" s="329"/>
      <c r="D26" s="349"/>
      <c r="I26" s="223"/>
      <c r="J26" s="223"/>
      <c r="K26" s="223"/>
      <c r="Y26" s="328"/>
      <c r="Z26" s="370"/>
      <c r="AA26" s="212"/>
      <c r="AB26" s="370"/>
      <c r="AC26" s="212"/>
    </row>
    <row r="27" spans="1:29" ht="15" customHeight="1">
      <c r="A27" s="400" t="s">
        <v>98</v>
      </c>
      <c r="B27" s="643">
        <f>SUM(B7:B25)</f>
        <v>170489245.4701767</v>
      </c>
      <c r="C27" s="216"/>
      <c r="D27" s="851"/>
      <c r="E27" s="352"/>
      <c r="I27" s="223"/>
      <c r="J27" s="223"/>
      <c r="K27" s="223"/>
      <c r="Y27" s="328"/>
      <c r="Z27" s="370"/>
      <c r="AA27" s="212"/>
      <c r="AB27" s="370"/>
      <c r="AC27" s="212"/>
    </row>
    <row r="28" spans="1:29" ht="15" customHeight="1">
      <c r="A28" s="400" t="s">
        <v>99</v>
      </c>
      <c r="B28" s="401">
        <f>D5/B27</f>
        <v>3.5296185219325281E-2</v>
      </c>
      <c r="C28" s="852"/>
      <c r="D28" s="853"/>
      <c r="E28" s="352"/>
      <c r="I28" s="223"/>
      <c r="J28" s="223"/>
      <c r="K28" s="223"/>
      <c r="Y28" s="328"/>
      <c r="Z28" s="370"/>
      <c r="AA28" s="212"/>
      <c r="AB28" s="370"/>
      <c r="AC28" s="212"/>
    </row>
    <row r="29" spans="1:29" ht="15" customHeight="1">
      <c r="A29" s="537" t="s">
        <v>100</v>
      </c>
      <c r="B29" s="636">
        <f>(D8/B27)-1</f>
        <v>-0.60718930631268431</v>
      </c>
      <c r="C29" s="852"/>
      <c r="D29" s="853"/>
      <c r="E29" s="352"/>
      <c r="I29" s="223"/>
      <c r="J29" s="223"/>
      <c r="K29" s="223"/>
      <c r="Y29" s="328"/>
      <c r="Z29" s="370"/>
      <c r="AA29" s="212"/>
      <c r="AB29" s="370"/>
      <c r="AC29" s="212"/>
    </row>
    <row r="30" spans="1:29" ht="15" customHeight="1" thickBot="1">
      <c r="A30" s="119">
        <v>0.3</v>
      </c>
      <c r="B30" s="120">
        <f>D8/(1+A30)</f>
        <v>51515383.67643626</v>
      </c>
      <c r="C30" s="216"/>
      <c r="D30" s="353"/>
      <c r="E30" s="352"/>
      <c r="I30" s="223"/>
      <c r="J30" s="223"/>
      <c r="K30" s="223"/>
      <c r="Y30" s="328"/>
      <c r="Z30" s="370"/>
      <c r="AA30" s="212"/>
      <c r="AB30" s="370"/>
      <c r="AC30" s="212"/>
    </row>
    <row r="31" spans="1:29" ht="15" customHeight="1" thickBot="1">
      <c r="A31" s="402">
        <v>0.3</v>
      </c>
      <c r="B31" s="120">
        <f>ROUND((D8/(1+A31))-B27,0)</f>
        <v>-118973862</v>
      </c>
      <c r="C31" s="216"/>
      <c r="D31" s="854"/>
      <c r="E31" s="352"/>
      <c r="I31" s="223"/>
      <c r="J31" s="223"/>
      <c r="K31" s="223"/>
      <c r="Y31" s="328"/>
      <c r="Z31" s="370"/>
      <c r="AA31" s="212"/>
      <c r="AB31" s="370"/>
      <c r="AC31" s="212"/>
    </row>
    <row r="32" spans="1:29" ht="15" customHeight="1">
      <c r="E32" s="353"/>
      <c r="I32" s="223"/>
      <c r="J32" s="223"/>
      <c r="K32" s="223"/>
      <c r="Y32" s="328"/>
      <c r="Z32" s="370"/>
      <c r="AA32" s="212"/>
      <c r="AB32" s="370"/>
      <c r="AC32" s="212"/>
    </row>
    <row r="33" spans="1:29" ht="25" customHeight="1" thickBot="1">
      <c r="A33" s="543" t="s">
        <v>380</v>
      </c>
      <c r="R33" s="223"/>
      <c r="X33" s="317"/>
      <c r="Y33" s="317"/>
      <c r="Z33" s="317"/>
      <c r="AA33" s="223"/>
      <c r="AB33" s="212"/>
      <c r="AC33" s="371"/>
    </row>
    <row r="34" spans="1:29" s="223" customFormat="1" ht="20" customHeight="1">
      <c r="A34" s="515" t="s">
        <v>259</v>
      </c>
      <c r="B34" s="516" t="s">
        <v>191</v>
      </c>
      <c r="C34" s="319" t="s">
        <v>203</v>
      </c>
      <c r="D34" s="320">
        <f>IFERROR(INDEX('Building Configuration'!$B$2:$Z$45,MATCH(B$34,'Building Configuration'!$C$2:$C$45,0),MATCH("Total",'Building Configuration'!$B$2:$Z$2,0)),0)</f>
        <v>41710.1</v>
      </c>
      <c r="E34" s="230"/>
      <c r="G34" s="515" t="s">
        <v>259</v>
      </c>
      <c r="H34" s="516" t="s">
        <v>192</v>
      </c>
      <c r="I34" s="319" t="s">
        <v>203</v>
      </c>
      <c r="J34" s="320">
        <f>IFERROR(INDEX('Building Configuration'!$B$2:$Z$45,MATCH(H$34,'Building Configuration'!$C$2:$C$45,0),MATCH("Total",'Building Configuration'!$B$2:$Z$2,0)),0)</f>
        <v>84767.6</v>
      </c>
      <c r="K34" s="230"/>
      <c r="L34" s="328"/>
      <c r="M34" s="515" t="s">
        <v>259</v>
      </c>
      <c r="N34" s="516" t="s">
        <v>193</v>
      </c>
      <c r="O34" s="319" t="s">
        <v>203</v>
      </c>
      <c r="P34" s="320">
        <f>IFERROR(INDEX('Building Configuration'!$B$2:$Z$45,MATCH(N$34,'Building Configuration'!$C$2:$C$45,0),MATCH("Total",'Building Configuration'!$B$2:$Z$2,0)),0)</f>
        <v>86268.7</v>
      </c>
      <c r="Q34" s="230"/>
      <c r="R34" s="328"/>
      <c r="S34" s="515" t="s">
        <v>259</v>
      </c>
      <c r="T34" s="516" t="s">
        <v>248</v>
      </c>
      <c r="U34" s="319" t="s">
        <v>203</v>
      </c>
      <c r="V34" s="320">
        <f>IFERROR(INDEX('Building Configuration'!$B$2:$Z$45,MATCH(T$34,'Building Configuration'!$C$2:$C$45,0),MATCH("Total",'Building Configuration'!$B$2:$Z$2,0)),0)</f>
        <v>183024</v>
      </c>
      <c r="W34" s="230"/>
      <c r="X34" s="329"/>
      <c r="Y34" s="515" t="s">
        <v>259</v>
      </c>
      <c r="Z34" s="516" t="s">
        <v>262</v>
      </c>
      <c r="AA34" s="319" t="s">
        <v>203</v>
      </c>
      <c r="AB34" s="320">
        <f>IFERROR(INDEX('Building Configuration'!$B$2:$Z$45,MATCH(Z$34,'Building Configuration'!$C$2:$C$45,0),MATCH("Total",'Building Configuration'!$B$2:$Z$2,0)),0)</f>
        <v>107645.5</v>
      </c>
      <c r="AC34" s="230"/>
    </row>
    <row r="35" spans="1:29" s="223" customFormat="1" ht="15" customHeight="1">
      <c r="A35" s="6" t="s">
        <v>293</v>
      </c>
      <c r="B35" s="321" t="str">
        <f>IFERROR(INDEX('Building Configuration'!$B$2:$Z$45,MATCH(B$34,'Building Configuration'!$C$2:$C$45,0),MATCH(A35,'Building Configuration'!$B$2:$Z$2,0)),"-")</f>
        <v>-</v>
      </c>
      <c r="C35" s="317" t="s">
        <v>291</v>
      </c>
      <c r="D35" s="322">
        <f>IFERROR(INDEX('Building Configuration'!$B$2:$Z$45,MATCH(B$34,'Building Configuration'!$C$2:$C$45,0),MATCH(B35,'Building Configuration'!$B$2:$Z$2,0)),0)</f>
        <v>0</v>
      </c>
      <c r="E35" s="300"/>
      <c r="G35" s="6" t="s">
        <v>293</v>
      </c>
      <c r="H35" s="321" t="str">
        <f>IFERROR(INDEX('Building Configuration'!$B$2:$Z$45,MATCH(H$34,'Building Configuration'!$C$2:$C$45,0),MATCH(G35,'Building Configuration'!$B$2:$Z$2,0)),"-")</f>
        <v>-</v>
      </c>
      <c r="I35" s="317" t="s">
        <v>291</v>
      </c>
      <c r="J35" s="322">
        <f>IFERROR(INDEX('Building Configuration'!$B$2:$Z$45,MATCH(H$34,'Building Configuration'!$C$2:$C$45,0),MATCH(H35,'Building Configuration'!$B$2:$Z$2,0)),0)</f>
        <v>0</v>
      </c>
      <c r="K35" s="300"/>
      <c r="L35" s="328"/>
      <c r="M35" s="6" t="s">
        <v>293</v>
      </c>
      <c r="N35" s="321" t="str">
        <f>IFERROR(INDEX('Building Configuration'!$B$2:$Z$45,MATCH(N$34,'Building Configuration'!$C$2:$C$45,0),MATCH(M35,'Building Configuration'!$B$2:$Z$2,0)),"-")</f>
        <v>-</v>
      </c>
      <c r="O35" s="317" t="s">
        <v>291</v>
      </c>
      <c r="P35" s="322">
        <f>IFERROR(INDEX('Building Configuration'!$B$2:$Z$45,MATCH(N$34,'Building Configuration'!$C$2:$C$45,0),MATCH(N35,'Building Configuration'!$B$2:$Z$2,0)),0)</f>
        <v>0</v>
      </c>
      <c r="Q35" s="300"/>
      <c r="R35" s="328"/>
      <c r="S35" s="6" t="s">
        <v>293</v>
      </c>
      <c r="T35" s="321" t="str">
        <f>IFERROR(INDEX('Building Configuration'!$B$2:$Z$45,MATCH(T$34,'Building Configuration'!$C$2:$C$45,0),MATCH(S35,'Building Configuration'!$B$2:$Z$2,0)),"-")</f>
        <v>Multifamily-Market</v>
      </c>
      <c r="U35" s="317" t="s">
        <v>291</v>
      </c>
      <c r="V35" s="322">
        <f>IFERROR(INDEX('Building Configuration'!$B$2:$Z$45,MATCH(T$34,'Building Configuration'!$C$2:$C$45,0),MATCH(T35,'Building Configuration'!$B$2:$Z$2,0)),0)</f>
        <v>130654</v>
      </c>
      <c r="W35" s="300"/>
      <c r="X35" s="329"/>
      <c r="Y35" s="6" t="s">
        <v>293</v>
      </c>
      <c r="Z35" s="321" t="str">
        <f>IFERROR(INDEX('Building Configuration'!$B$2:$Z$45,MATCH(Z$34,'Building Configuration'!$C$2:$C$45,0),MATCH(Y35,'Building Configuration'!$B$2:$Z$2,0)),"-")</f>
        <v>-</v>
      </c>
      <c r="AA35" s="317" t="s">
        <v>291</v>
      </c>
      <c r="AB35" s="322">
        <f>IFERROR(INDEX('Building Configuration'!$B$2:$Z$45,MATCH(Z$34,'Building Configuration'!$C$2:$C$45,0),MATCH(Z35,'Building Configuration'!$B$2:$Z$2,0)),0)</f>
        <v>0</v>
      </c>
      <c r="AC35" s="300"/>
    </row>
    <row r="36" spans="1:29" s="223" customFormat="1" ht="15" customHeight="1">
      <c r="A36" s="6" t="s">
        <v>290</v>
      </c>
      <c r="B36" s="321" t="str">
        <f>IFERROR(INDEX('Building Configuration'!$B$2:$Z$45,MATCH(B$34,'Building Configuration'!$C$2:$C$45,0),MATCH(A36,'Building Configuration'!$B$2:$Z$2,0)),"-")</f>
        <v>-</v>
      </c>
      <c r="C36" s="223" t="s">
        <v>344</v>
      </c>
      <c r="D36" s="322">
        <f>IFERROR(INDEX('Building Configuration'!$B$2:$Z$45,MATCH(B$34,'Building Configuration'!$C$2:$C$45,0),MATCH(B36,'Building Configuration'!$B$2:$Z$2,0)),0)</f>
        <v>0</v>
      </c>
      <c r="E36" s="300"/>
      <c r="G36" s="6" t="s">
        <v>290</v>
      </c>
      <c r="H36" s="321" t="str">
        <f>IFERROR(INDEX('Building Configuration'!$B$2:$Z$45,MATCH(H$34,'Building Configuration'!$C$2:$C$45,0),MATCH(G36,'Building Configuration'!$B$2:$Z$2,0)),"-")</f>
        <v>-</v>
      </c>
      <c r="I36" s="223" t="s">
        <v>344</v>
      </c>
      <c r="J36" s="322">
        <f>IFERROR(INDEX('Building Configuration'!$B$2:$Z$45,MATCH(H$34,'Building Configuration'!$C$2:$C$45,0),MATCH(H36,'Building Configuration'!$B$2:$Z$2,0)),0)</f>
        <v>0</v>
      </c>
      <c r="K36" s="300"/>
      <c r="L36" s="328"/>
      <c r="M36" s="6" t="s">
        <v>290</v>
      </c>
      <c r="N36" s="321" t="str">
        <f>IFERROR(INDEX('Building Configuration'!$B$2:$Z$45,MATCH(N$34,'Building Configuration'!$C$2:$C$45,0),MATCH(M36,'Building Configuration'!$B$2:$Z$2,0)),"-")</f>
        <v>-</v>
      </c>
      <c r="O36" s="223" t="s">
        <v>344</v>
      </c>
      <c r="P36" s="322">
        <f>IFERROR(INDEX('Building Configuration'!$B$2:$Z$45,MATCH(N$34,'Building Configuration'!$C$2:$C$45,0),MATCH(N36,'Building Configuration'!$B$2:$Z$2,0)),0)</f>
        <v>0</v>
      </c>
      <c r="Q36" s="300"/>
      <c r="R36" s="328"/>
      <c r="S36" s="6" t="s">
        <v>290</v>
      </c>
      <c r="T36" s="321" t="str">
        <f>IFERROR(INDEX('Building Configuration'!$B$2:$Z$45,MATCH(T$34,'Building Configuration'!$C$2:$C$45,0),MATCH(S36,'Building Configuration'!$B$2:$Z$2,0)),"-")</f>
        <v>-</v>
      </c>
      <c r="U36" s="223" t="s">
        <v>344</v>
      </c>
      <c r="V36" s="322">
        <f>IFERROR(INDEX('Building Configuration'!$B$2:$Z$45,MATCH(T$34,'Building Configuration'!$C$2:$C$45,0),MATCH(T36,'Building Configuration'!$B$2:$Z$2,0)),0)</f>
        <v>0</v>
      </c>
      <c r="W36" s="300"/>
      <c r="X36" s="329"/>
      <c r="Y36" s="6" t="s">
        <v>290</v>
      </c>
      <c r="Z36" s="321" t="str">
        <f>IFERROR(INDEX('Building Configuration'!$B$2:$Z$45,MATCH(Z$34,'Building Configuration'!$C$2:$C$45,0),MATCH(Y36,'Building Configuration'!$B$2:$Z$2,0)),"-")</f>
        <v>-</v>
      </c>
      <c r="AA36" s="223" t="s">
        <v>344</v>
      </c>
      <c r="AB36" s="322">
        <f>IFERROR(INDEX('Building Configuration'!$B$2:$Z$45,MATCH(Z$34,'Building Configuration'!$C$2:$C$45,0),MATCH(Z36,'Building Configuration'!$B$2:$Z$2,0)),0)</f>
        <v>0</v>
      </c>
      <c r="AC36" s="300"/>
    </row>
    <row r="37" spans="1:29" s="223" customFormat="1" ht="15" customHeight="1">
      <c r="A37" s="6" t="s">
        <v>312</v>
      </c>
      <c r="B37" s="321" t="str">
        <f>IFERROR(INDEX('Building Configuration'!$B$2:$Z$45,MATCH(B$34,'Building Configuration'!$C$2:$C$45,0),MATCH(A37,'Building Configuration'!$B$2:$Z$2,0)),"-")</f>
        <v>-</v>
      </c>
      <c r="C37" s="317" t="s">
        <v>292</v>
      </c>
      <c r="D37" s="322">
        <f>IFERROR(INDEX('Building Configuration'!$B$2:$Z$45,MATCH(B$34,'Building Configuration'!$C$2:$C$45,0),MATCH(B37,'Building Configuration'!$B$2:$Z$2,0)),0)</f>
        <v>0</v>
      </c>
      <c r="E37" s="300"/>
      <c r="G37" s="6" t="s">
        <v>312</v>
      </c>
      <c r="H37" s="321" t="str">
        <f>IFERROR(INDEX('Building Configuration'!$B$2:$Z$45,MATCH(H$34,'Building Configuration'!$C$2:$C$45,0),MATCH(G37,'Building Configuration'!$B$2:$Z$2,0)),"-")</f>
        <v>-</v>
      </c>
      <c r="I37" s="317" t="s">
        <v>292</v>
      </c>
      <c r="J37" s="322">
        <f>IFERROR(INDEX('Building Configuration'!$B$2:$Z$45,MATCH(H$34,'Building Configuration'!$C$2:$C$45,0),MATCH(H37,'Building Configuration'!$B$2:$Z$2,0)),0)</f>
        <v>0</v>
      </c>
      <c r="K37" s="300"/>
      <c r="L37" s="328"/>
      <c r="M37" s="6" t="s">
        <v>312</v>
      </c>
      <c r="N37" s="321" t="str">
        <f>IFERROR(INDEX('Building Configuration'!$B$2:$Z$45,MATCH(N$34,'Building Configuration'!$C$2:$C$45,0),MATCH(M37,'Building Configuration'!$B$2:$Z$2,0)),"-")</f>
        <v>-</v>
      </c>
      <c r="O37" s="317" t="s">
        <v>292</v>
      </c>
      <c r="P37" s="322">
        <f>IFERROR(INDEX('Building Configuration'!$B$2:$Z$45,MATCH(N$34,'Building Configuration'!$C$2:$C$45,0),MATCH(N37,'Building Configuration'!$B$2:$Z$2,0)),0)</f>
        <v>0</v>
      </c>
      <c r="Q37" s="300"/>
      <c r="R37" s="328"/>
      <c r="S37" s="6" t="s">
        <v>312</v>
      </c>
      <c r="T37" s="321" t="str">
        <f>IFERROR(INDEX('Building Configuration'!$B$2:$Z$45,MATCH(T$34,'Building Configuration'!$C$2:$C$45,0),MATCH(S37,'Building Configuration'!$B$2:$Z$2,0)),"-")</f>
        <v>-</v>
      </c>
      <c r="U37" s="317" t="s">
        <v>292</v>
      </c>
      <c r="V37" s="322">
        <f>IFERROR(INDEX('Building Configuration'!$B$2:$Z$45,MATCH(T$34,'Building Configuration'!$C$2:$C$45,0),MATCH(T37,'Building Configuration'!$B$2:$Z$2,0)),0)</f>
        <v>0</v>
      </c>
      <c r="W37" s="300"/>
      <c r="X37" s="329"/>
      <c r="Y37" s="6" t="s">
        <v>312</v>
      </c>
      <c r="Z37" s="321" t="str">
        <f>IFERROR(INDEX('Building Configuration'!$B$2:$Z$45,MATCH(Z$34,'Building Configuration'!$C$2:$C$45,0),MATCH(Y37,'Building Configuration'!$B$2:$Z$2,0)),"-")</f>
        <v>-</v>
      </c>
      <c r="AA37" s="317" t="s">
        <v>292</v>
      </c>
      <c r="AB37" s="322">
        <f>IFERROR(INDEX('Building Configuration'!$B$2:$Z$45,MATCH(Z$34,'Building Configuration'!$C$2:$C$45,0),MATCH(Z37,'Building Configuration'!$B$2:$Z$2,0)),0)</f>
        <v>0</v>
      </c>
      <c r="AC37" s="300"/>
    </row>
    <row r="38" spans="1:29" s="223" customFormat="1" ht="15" customHeight="1">
      <c r="A38" s="6" t="s">
        <v>343</v>
      </c>
      <c r="B38" s="321" t="str">
        <f>IFERROR(INDEX('Building Configuration'!$B$2:$Z$45,MATCH(B$34,'Building Configuration'!$C$2:$C$45,0),MATCH(A38,'Building Configuration'!$B$2:$Z$2,0)),"-")</f>
        <v>-</v>
      </c>
      <c r="C38" s="317" t="s">
        <v>365</v>
      </c>
      <c r="D38" s="322">
        <f>IFERROR(INDEX('Building Configuration'!$B$2:$Z$45,MATCH(B$34,'Building Configuration'!$C$2:$C$45,0),MATCH(B38,'Building Configuration'!$B$2:$Z$2,0)),0)</f>
        <v>0</v>
      </c>
      <c r="E38" s="300"/>
      <c r="G38" s="6" t="s">
        <v>343</v>
      </c>
      <c r="H38" s="321" t="str">
        <f>IFERROR(INDEX('Building Configuration'!$B$2:$Z$45,MATCH(H$34,'Building Configuration'!$C$2:$C$45,0),MATCH(G38,'Building Configuration'!$B$2:$Z$2,0)),"-")</f>
        <v>-</v>
      </c>
      <c r="I38" s="317" t="s">
        <v>365</v>
      </c>
      <c r="J38" s="322">
        <f>IFERROR(INDEX('Building Configuration'!$B$2:$Z$45,MATCH(H$34,'Building Configuration'!$C$2:$C$45,0),MATCH(H38,'Building Configuration'!$B$2:$Z$2,0)),0)</f>
        <v>0</v>
      </c>
      <c r="K38" s="300"/>
      <c r="L38" s="328"/>
      <c r="M38" s="6" t="s">
        <v>343</v>
      </c>
      <c r="N38" s="321" t="str">
        <f>IFERROR(INDEX('Building Configuration'!$B$2:$Z$45,MATCH(N$34,'Building Configuration'!$C$2:$C$45,0),MATCH(M38,'Building Configuration'!$B$2:$Z$2,0)),"-")</f>
        <v>-</v>
      </c>
      <c r="O38" s="317" t="s">
        <v>365</v>
      </c>
      <c r="P38" s="322">
        <f>IFERROR(INDEX('Building Configuration'!$B$2:$Z$45,MATCH(N$34,'Building Configuration'!$C$2:$C$45,0),MATCH(N38,'Building Configuration'!$B$2:$Z$2,0)),0)</f>
        <v>0</v>
      </c>
      <c r="Q38" s="300"/>
      <c r="R38" s="328"/>
      <c r="S38" s="6" t="s">
        <v>343</v>
      </c>
      <c r="T38" s="321" t="str">
        <f>IFERROR(INDEX('Building Configuration'!$B$2:$Z$45,MATCH(T$34,'Building Configuration'!$C$2:$C$45,0),MATCH(S38,'Building Configuration'!$B$2:$Z$2,0)),"-")</f>
        <v>-</v>
      </c>
      <c r="U38" s="317" t="s">
        <v>365</v>
      </c>
      <c r="V38" s="322">
        <f>IFERROR(INDEX('Building Configuration'!$B$2:$Z$45,MATCH(T$34,'Building Configuration'!$C$2:$C$45,0),MATCH(T38,'Building Configuration'!$B$2:$Z$2,0)),0)</f>
        <v>0</v>
      </c>
      <c r="W38" s="300"/>
      <c r="X38" s="329"/>
      <c r="Y38" s="6" t="s">
        <v>343</v>
      </c>
      <c r="Z38" s="321" t="str">
        <f>IFERROR(INDEX('Building Configuration'!$B$2:$Z$45,MATCH(Z$34,'Building Configuration'!$C$2:$C$45,0),MATCH(Y38,'Building Configuration'!$B$2:$Z$2,0)),"-")</f>
        <v>-</v>
      </c>
      <c r="AA38" s="317" t="s">
        <v>365</v>
      </c>
      <c r="AB38" s="322">
        <f>IFERROR(INDEX('Building Configuration'!$B$2:$Z$45,MATCH(Z$34,'Building Configuration'!$C$2:$C$45,0),MATCH(Z38,'Building Configuration'!$B$2:$Z$2,0)),0)</f>
        <v>0</v>
      </c>
      <c r="AC38" s="300"/>
    </row>
    <row r="39" spans="1:29" s="223" customFormat="1" ht="15" customHeight="1">
      <c r="A39" s="6" t="s">
        <v>364</v>
      </c>
      <c r="B39" s="321" t="str">
        <f>IFERROR(INDEX('Building Configuration'!$B$2:$Z$45,MATCH(B$34,'Building Configuration'!$C$2:$C$45,0),MATCH(A39,'Building Configuration'!$B$2:$Z$2,0)),"-")</f>
        <v>Student Housing</v>
      </c>
      <c r="C39" s="317" t="s">
        <v>205</v>
      </c>
      <c r="D39" s="322">
        <f>IFERROR(INDEX('Building Configuration'!$B$2:$Z$45,MATCH(B$34,'Building Configuration'!$C$2:$C$45,0),MATCH(B39,'Building Configuration'!$B$2:$Z$2,0)),0)</f>
        <v>31707.5</v>
      </c>
      <c r="E39" s="300"/>
      <c r="G39" s="6" t="s">
        <v>364</v>
      </c>
      <c r="H39" s="321" t="str">
        <f>IFERROR(INDEX('Building Configuration'!$B$2:$Z$45,MATCH(H$34,'Building Configuration'!$C$2:$C$45,0),MATCH(G39,'Building Configuration'!$B$2:$Z$2,0)),"-")</f>
        <v>Student Housing</v>
      </c>
      <c r="I39" s="317" t="s">
        <v>205</v>
      </c>
      <c r="J39" s="322">
        <f>IFERROR(INDEX('Building Configuration'!$B$2:$Z$45,MATCH(H$34,'Building Configuration'!$C$2:$C$45,0),MATCH(H39,'Building Configuration'!$B$2:$Z$2,0)),0)</f>
        <v>74487.600000000006</v>
      </c>
      <c r="K39" s="300"/>
      <c r="L39" s="328"/>
      <c r="M39" s="6" t="s">
        <v>364</v>
      </c>
      <c r="N39" s="321" t="str">
        <f>IFERROR(INDEX('Building Configuration'!$B$2:$Z$45,MATCH(N$34,'Building Configuration'!$C$2:$C$45,0),MATCH(M39,'Building Configuration'!$B$2:$Z$2,0)),"-")</f>
        <v>Student Housing</v>
      </c>
      <c r="O39" s="317" t="s">
        <v>205</v>
      </c>
      <c r="P39" s="322">
        <f>IFERROR(INDEX('Building Configuration'!$B$2:$Z$45,MATCH(N$34,'Building Configuration'!$C$2:$C$45,0),MATCH(N39,'Building Configuration'!$B$2:$Z$2,0)),0)</f>
        <v>71507.7</v>
      </c>
      <c r="Q39" s="300"/>
      <c r="R39" s="328"/>
      <c r="S39" s="6" t="s">
        <v>364</v>
      </c>
      <c r="T39" s="321" t="str">
        <f>IFERROR(INDEX('Building Configuration'!$B$2:$Z$45,MATCH(T$34,'Building Configuration'!$C$2:$C$45,0),MATCH(S39,'Building Configuration'!$B$2:$Z$2,0)),"-")</f>
        <v>-</v>
      </c>
      <c r="U39" s="317" t="s">
        <v>205</v>
      </c>
      <c r="V39" s="322">
        <f>IFERROR(INDEX('Building Configuration'!$B$2:$Z$45,MATCH(T$34,'Building Configuration'!$C$2:$C$45,0),MATCH(T39,'Building Configuration'!$B$2:$Z$2,0)),0)</f>
        <v>0</v>
      </c>
      <c r="W39" s="300"/>
      <c r="X39" s="329"/>
      <c r="Y39" s="6" t="s">
        <v>364</v>
      </c>
      <c r="Z39" s="321" t="str">
        <f>IFERROR(INDEX('Building Configuration'!$B$2:$Z$45,MATCH(Z$34,'Building Configuration'!$C$2:$C$45,0),MATCH(Y39,'Building Configuration'!$B$2:$Z$2,0)),"-")</f>
        <v>-</v>
      </c>
      <c r="AA39" s="317" t="s">
        <v>205</v>
      </c>
      <c r="AB39" s="322">
        <f>IFERROR(INDEX('Building Configuration'!$B$2:$Z$45,MATCH(Z$34,'Building Configuration'!$C$2:$C$45,0),MATCH(Z39,'Building Configuration'!$B$2:$Z$2,0)),0)</f>
        <v>0</v>
      </c>
      <c r="AC39" s="300"/>
    </row>
    <row r="40" spans="1:29" s="223" customFormat="1" ht="15" customHeight="1">
      <c r="A40" s="6" t="s">
        <v>295</v>
      </c>
      <c r="B40" s="321" t="str">
        <f>IFERROR(INDEX('Building Configuration'!$B$2:$Z$45,MATCH(B$34,'Building Configuration'!$C$2:$C$45,0),MATCH(A40,'Building Configuration'!$B$2:$Z$2,0)),"-")</f>
        <v>-</v>
      </c>
      <c r="C40" s="323" t="s">
        <v>295</v>
      </c>
      <c r="D40" s="322">
        <f>IFERROR(IF(B$40="-",0,INDEX('Building Configuration'!$B$2:$Z$45,MATCH(B$34,'Building Configuration'!$C$2:$C$45,0),MATCH(B$40,'Building Configuration'!$B$2:$Z$2,0))),0)</f>
        <v>0</v>
      </c>
      <c r="E40" s="300"/>
      <c r="G40" s="6" t="s">
        <v>295</v>
      </c>
      <c r="H40" s="321" t="str">
        <f>IFERROR(INDEX('Building Configuration'!$B$2:$Z$45,MATCH(H$34,'Building Configuration'!$C$2:$C$45,0),MATCH(G40,'Building Configuration'!$B$2:$Z$2,0)),"-")</f>
        <v>-</v>
      </c>
      <c r="I40" s="323" t="s">
        <v>295</v>
      </c>
      <c r="J40" s="322">
        <f>IFERROR(IF(H$40="-",0,INDEX('Building Configuration'!$B$2:$Z$45,MATCH(H$34,'Building Configuration'!$C$2:$C$45,0),MATCH(H$40,'Building Configuration'!$B$2:$Z$2,0))),0)</f>
        <v>0</v>
      </c>
      <c r="K40" s="300"/>
      <c r="L40" s="328"/>
      <c r="M40" s="6" t="s">
        <v>295</v>
      </c>
      <c r="N40" s="321" t="str">
        <f>IFERROR(INDEX('Building Configuration'!$B$2:$Z$45,MATCH(N$34,'Building Configuration'!$C$2:$C$45,0),MATCH(M40,'Building Configuration'!$B$2:$Z$2,0)),"-")</f>
        <v>-</v>
      </c>
      <c r="O40" s="323" t="s">
        <v>295</v>
      </c>
      <c r="P40" s="322">
        <f>IFERROR(IF(N$40="-",0,INDEX('Building Configuration'!$B$2:$Z$45,MATCH(N$34,'Building Configuration'!$C$2:$C$45,0),MATCH(N$40,'Building Configuration'!$B$2:$Z$2,0))),0)</f>
        <v>0</v>
      </c>
      <c r="Q40" s="300"/>
      <c r="R40" s="328"/>
      <c r="S40" s="6" t="s">
        <v>295</v>
      </c>
      <c r="T40" s="321" t="str">
        <f>IFERROR(INDEX('Building Configuration'!$B$2:$Z$45,MATCH(T$34,'Building Configuration'!$C$2:$C$45,0),MATCH(S40,'Building Configuration'!$B$2:$Z$2,0)),"-")</f>
        <v>-</v>
      </c>
      <c r="U40" s="323" t="s">
        <v>295</v>
      </c>
      <c r="V40" s="322">
        <f>IFERROR(IF(T$40="-",0,INDEX('Building Configuration'!$B$2:$Z$45,MATCH(T$34,'Building Configuration'!$C$2:$C$45,0),MATCH(T$40,'Building Configuration'!$B$2:$Z$2,0))),0)</f>
        <v>0</v>
      </c>
      <c r="W40" s="300"/>
      <c r="X40" s="329"/>
      <c r="Y40" s="6" t="s">
        <v>295</v>
      </c>
      <c r="Z40" s="321" t="str">
        <f>IFERROR(INDEX('Building Configuration'!$B$2:$Z$45,MATCH(Z$34,'Building Configuration'!$C$2:$C$45,0),MATCH(Y40,'Building Configuration'!$B$2:$Z$2,0)),"-")</f>
        <v>-</v>
      </c>
      <c r="AA40" s="323" t="s">
        <v>295</v>
      </c>
      <c r="AB40" s="322">
        <f>IFERROR(IF(Z$40="-",0,INDEX('Building Configuration'!$B$2:$Z$45,MATCH(Z$34,'Building Configuration'!$C$2:$C$45,0),MATCH(Z$40,'Building Configuration'!$B$2:$Z$2,0))),0)</f>
        <v>0</v>
      </c>
      <c r="AC40" s="300"/>
    </row>
    <row r="41" spans="1:29" s="223" customFormat="1" ht="15" customHeight="1">
      <c r="A41" s="6" t="s">
        <v>294</v>
      </c>
      <c r="B41" s="321" t="str">
        <f>IFERROR(INDEX('Building Configuration'!$B$2:$Z$45,MATCH(B$34,'Building Configuration'!$C$2:$C$45,0),MATCH(A41,'Building Configuration'!$B$2:$Z$2,0)),"-")</f>
        <v>-</v>
      </c>
      <c r="C41" s="323" t="s">
        <v>294</v>
      </c>
      <c r="D41" s="322">
        <f>IFERROR(IF(B$41="-",0,INDEX('Building Configuration'!$B$2:$Z$45,MATCH(B$34,'Building Configuration'!$C$2:$C$45,0),MATCH(B$41,'Building Configuration'!$B$2:$Z$2,0))),0)</f>
        <v>0</v>
      </c>
      <c r="E41" s="300"/>
      <c r="G41" s="6" t="s">
        <v>294</v>
      </c>
      <c r="H41" s="321" t="str">
        <f>IFERROR(INDEX('Building Configuration'!$B$2:$Z$45,MATCH(H$34,'Building Configuration'!$C$2:$C$45,0),MATCH(G41,'Building Configuration'!$B$2:$Z$2,0)),"-")</f>
        <v>-</v>
      </c>
      <c r="I41" s="323" t="s">
        <v>294</v>
      </c>
      <c r="J41" s="322">
        <f>IFERROR(IF(H$41="-",0,INDEX('Building Configuration'!$B$2:$Z$45,MATCH(H$34,'Building Configuration'!$C$2:$C$45,0),MATCH(H$41,'Building Configuration'!$B$2:$Z$2,0))),0)</f>
        <v>0</v>
      </c>
      <c r="K41" s="300"/>
      <c r="L41" s="328"/>
      <c r="M41" s="6" t="s">
        <v>294</v>
      </c>
      <c r="N41" s="321" t="str">
        <f>IFERROR(INDEX('Building Configuration'!$B$2:$Z$45,MATCH(N$34,'Building Configuration'!$C$2:$C$45,0),MATCH(M41,'Building Configuration'!$B$2:$Z$2,0)),"-")</f>
        <v>-</v>
      </c>
      <c r="O41" s="323" t="s">
        <v>294</v>
      </c>
      <c r="P41" s="322">
        <f>IFERROR(IF(N$41="-",0,INDEX('Building Configuration'!$B$2:$Z$45,MATCH(N$34,'Building Configuration'!$C$2:$C$45,0),MATCH(N$41,'Building Configuration'!$B$2:$Z$2,0))),0)</f>
        <v>0</v>
      </c>
      <c r="Q41" s="300"/>
      <c r="R41" s="328"/>
      <c r="S41" s="6" t="s">
        <v>294</v>
      </c>
      <c r="T41" s="321" t="str">
        <f>IFERROR(INDEX('Building Configuration'!$B$2:$Z$45,MATCH(T$34,'Building Configuration'!$C$2:$C$45,0),MATCH(S41,'Building Configuration'!$B$2:$Z$2,0)),"-")</f>
        <v>-</v>
      </c>
      <c r="U41" s="323" t="s">
        <v>294</v>
      </c>
      <c r="V41" s="322">
        <f>IFERROR(IF(T$41="-",0,INDEX('Building Configuration'!$B$2:$Z$45,MATCH(T$34,'Building Configuration'!$C$2:$C$45,0),MATCH(T$41,'Building Configuration'!$B$2:$Z$2,0))),0)</f>
        <v>0</v>
      </c>
      <c r="W41" s="300"/>
      <c r="X41" s="329"/>
      <c r="Y41" s="6" t="s">
        <v>294</v>
      </c>
      <c r="Z41" s="321" t="str">
        <f>IFERROR(INDEX('Building Configuration'!$B$2:$Z$45,MATCH(Z$34,'Building Configuration'!$C$2:$C$45,0),MATCH(Y41,'Building Configuration'!$B$2:$Z$2,0)),"-")</f>
        <v>-</v>
      </c>
      <c r="AA41" s="323" t="s">
        <v>294</v>
      </c>
      <c r="AB41" s="322">
        <f>IFERROR(IF(Z$41="-",0,INDEX('Building Configuration'!$B$2:$Z$45,MATCH(Z$34,'Building Configuration'!$C$2:$C$45,0),MATCH(Z$41,'Building Configuration'!$B$2:$Z$2,0))),0)</f>
        <v>0</v>
      </c>
      <c r="AC41" s="300"/>
    </row>
    <row r="42" spans="1:29" s="223" customFormat="1" ht="15" customHeight="1">
      <c r="A42" s="6" t="s">
        <v>284</v>
      </c>
      <c r="B42" s="321" t="str">
        <f>IFERROR(INDEX('Building Configuration'!$B$2:$Z$45,MATCH(B$34,'Building Configuration'!$C$2:$C$45,0),MATCH(A42,'Building Configuration'!$B$2:$Z$2,0)),"-")</f>
        <v>-</v>
      </c>
      <c r="C42" s="211" t="s">
        <v>349</v>
      </c>
      <c r="D42" s="322">
        <f>IFERROR(IF(B$42="-",0,INDEX('Building Configuration'!$B$2:$Z$45,MATCH(B$34,'Building Configuration'!$C$2:$C$45,0),MATCH(B$42,'Building Configuration'!$B$2:$Z$2,0))),0)</f>
        <v>0</v>
      </c>
      <c r="E42" s="300"/>
      <c r="G42" s="6" t="s">
        <v>284</v>
      </c>
      <c r="H42" s="321" t="str">
        <f>IFERROR(INDEX('Building Configuration'!$B$2:$Z$45,MATCH(H$34,'Building Configuration'!$C$2:$C$45,0),MATCH(G42,'Building Configuration'!$B$2:$Z$2,0)),"-")</f>
        <v>-</v>
      </c>
      <c r="I42" s="211" t="s">
        <v>349</v>
      </c>
      <c r="J42" s="322">
        <f>IFERROR(IF(H$42="-",0,INDEX('Building Configuration'!$B$2:$Z$45,MATCH(H$34,'Building Configuration'!$C$2:$C$45,0),MATCH(H$42,'Building Configuration'!$B$2:$Z$2,0))),0)</f>
        <v>0</v>
      </c>
      <c r="K42" s="300"/>
      <c r="L42" s="328"/>
      <c r="M42" s="6" t="s">
        <v>284</v>
      </c>
      <c r="N42" s="321" t="str">
        <f>IFERROR(INDEX('Building Configuration'!$B$2:$Z$45,MATCH(N$34,'Building Configuration'!$C$2:$C$45,0),MATCH(M42,'Building Configuration'!$B$2:$Z$2,0)),"-")</f>
        <v>-</v>
      </c>
      <c r="O42" s="211" t="s">
        <v>349</v>
      </c>
      <c r="P42" s="322">
        <f>IFERROR(IF(N$42="-",0,INDEX('Building Configuration'!$B$2:$Z$45,MATCH(N$34,'Building Configuration'!$C$2:$C$45,0),MATCH(N$42,'Building Configuration'!$B$2:$Z$2,0))),0)</f>
        <v>0</v>
      </c>
      <c r="Q42" s="300"/>
      <c r="R42" s="328"/>
      <c r="S42" s="6" t="s">
        <v>284</v>
      </c>
      <c r="T42" s="321" t="str">
        <f>IFERROR(INDEX('Building Configuration'!$B$2:$Z$45,MATCH(T$34,'Building Configuration'!$C$2:$C$45,0),MATCH(S42,'Building Configuration'!$B$2:$Z$2,0)),"-")</f>
        <v>-</v>
      </c>
      <c r="U42" s="211" t="s">
        <v>349</v>
      </c>
      <c r="V42" s="322">
        <f>IFERROR(IF(T$42="-",0,INDEX('Building Configuration'!$B$2:$Z$45,MATCH(T$34,'Building Configuration'!$C$2:$C$45,0),MATCH(T$42,'Building Configuration'!$B$2:$Z$2,0))),0)</f>
        <v>0</v>
      </c>
      <c r="W42" s="300"/>
      <c r="X42" s="329"/>
      <c r="Y42" s="6" t="s">
        <v>284</v>
      </c>
      <c r="Z42" s="321" t="str">
        <f>IFERROR(INDEX('Building Configuration'!$B$2:$Z$45,MATCH(Z$34,'Building Configuration'!$C$2:$C$45,0),MATCH(Y42,'Building Configuration'!$B$2:$Z$2,0)),"-")</f>
        <v>-</v>
      </c>
      <c r="AA42" s="211" t="s">
        <v>349</v>
      </c>
      <c r="AB42" s="322">
        <f>IFERROR(IF(Z$42="-",0,INDEX('Building Configuration'!$B$2:$Z$45,MATCH(Z$34,'Building Configuration'!$C$2:$C$45,0),MATCH(Z$42,'Building Configuration'!$B$2:$Z$2,0))),0)</f>
        <v>0</v>
      </c>
      <c r="AC42" s="300"/>
    </row>
    <row r="43" spans="1:29" ht="15" customHeight="1">
      <c r="A43" s="6" t="s">
        <v>289</v>
      </c>
      <c r="B43" s="324" t="str">
        <f>IFERROR(IF(INDEX('Building Configuration'!$B$2:$Z$45,MATCH(B$34,'Building Configuration'!$C$2:$C$45,0),MATCH(C43,'Building Configuration'!$B$2:$Z$2,0))&gt;0,"YES","NO"),"-")</f>
        <v>YES</v>
      </c>
      <c r="C43" s="317" t="s">
        <v>16</v>
      </c>
      <c r="D43" s="322">
        <f>IFERROR(INDEX('Building Configuration'!$B$2:$Z$45,MATCH(B$34,'Building Configuration'!$C$2:$C$45,0),MATCH(C$43,'Building Configuration'!$B$2:$Z$2,0)),0)</f>
        <v>10002.6</v>
      </c>
      <c r="E43" s="231"/>
      <c r="F43" s="223"/>
      <c r="G43" s="6" t="s">
        <v>289</v>
      </c>
      <c r="H43" s="324" t="str">
        <f>IFERROR(IF(INDEX('Building Configuration'!$B$2:$Z$45,MATCH(H$34,'Building Configuration'!$C$2:$C$45,0),MATCH(I43,'Building Configuration'!$B$2:$Z$2,0))&gt;0,"YES","NO"),"-")</f>
        <v>YES</v>
      </c>
      <c r="I43" s="317" t="s">
        <v>16</v>
      </c>
      <c r="J43" s="322">
        <f>IFERROR(INDEX('Building Configuration'!$B$2:$Z$45,MATCH(H$34,'Building Configuration'!$C$2:$C$45,0),MATCH(I$43,'Building Configuration'!$B$2:$Z$2,0)),0)</f>
        <v>10280</v>
      </c>
      <c r="K43" s="231"/>
      <c r="L43" s="212"/>
      <c r="M43" s="6" t="s">
        <v>289</v>
      </c>
      <c r="N43" s="324" t="str">
        <f>IFERROR(IF(INDEX('Building Configuration'!$B$2:$Z$45,MATCH(N$34,'Building Configuration'!$C$2:$C$45,0),MATCH(O43,'Building Configuration'!$B$2:$Z$2,0))&gt;0,"YES","NO"),"-")</f>
        <v>YES</v>
      </c>
      <c r="O43" s="317" t="s">
        <v>16</v>
      </c>
      <c r="P43" s="322">
        <f>IFERROR(INDEX('Building Configuration'!$B$2:$Z$45,MATCH(N$34,'Building Configuration'!$C$2:$C$45,0),MATCH(O$43,'Building Configuration'!$B$2:$Z$2,0)),0)</f>
        <v>14761</v>
      </c>
      <c r="Q43" s="231"/>
      <c r="R43" s="212"/>
      <c r="S43" s="6" t="s">
        <v>289</v>
      </c>
      <c r="T43" s="324" t="str">
        <f>IFERROR(IF(INDEX('Building Configuration'!$B$2:$Z$45,MATCH(T$34,'Building Configuration'!$C$2:$C$45,0),MATCH(U43,'Building Configuration'!$B$2:$Z$2,0))&gt;0,"YES","NO"),"-")</f>
        <v>YES</v>
      </c>
      <c r="U43" s="317" t="s">
        <v>16</v>
      </c>
      <c r="V43" s="322">
        <f>IFERROR(INDEX('Building Configuration'!$B$2:$Z$45,MATCH(T$34,'Building Configuration'!$C$2:$C$45,0),MATCH(U$43,'Building Configuration'!$B$2:$Z$2,0)),0)</f>
        <v>52370</v>
      </c>
      <c r="W43" s="231"/>
      <c r="X43" s="296"/>
      <c r="Y43" s="6" t="s">
        <v>289</v>
      </c>
      <c r="Z43" s="324" t="str">
        <f>IFERROR(IF(INDEX('Building Configuration'!$B$2:$Z$45,MATCH(Z$34,'Building Configuration'!$C$2:$C$45,0),MATCH(AA43,'Building Configuration'!$B$2:$Z$2,0))&gt;0,"YES","NO"),"-")</f>
        <v>YES</v>
      </c>
      <c r="AA43" s="317" t="s">
        <v>16</v>
      </c>
      <c r="AB43" s="322">
        <f>IFERROR(INDEX('Building Configuration'!$B$2:$Z$45,MATCH(Z$34,'Building Configuration'!$C$2:$C$45,0),MATCH(AA$43,'Building Configuration'!$B$2:$Z$2,0)),0)</f>
        <v>107645.5</v>
      </c>
      <c r="AC43" s="231"/>
    </row>
    <row r="44" spans="1:29" ht="15" customHeight="1">
      <c r="A44" s="6" t="s">
        <v>315</v>
      </c>
      <c r="B44" s="459">
        <v>1</v>
      </c>
      <c r="C44" s="460">
        <v>0</v>
      </c>
      <c r="D44" s="322"/>
      <c r="E44" s="231"/>
      <c r="F44" s="223"/>
      <c r="G44" s="6" t="s">
        <v>315</v>
      </c>
      <c r="H44" s="459">
        <v>1</v>
      </c>
      <c r="I44" s="460">
        <v>0</v>
      </c>
      <c r="J44" s="322"/>
      <c r="K44" s="231"/>
      <c r="L44" s="212"/>
      <c r="M44" s="6" t="s">
        <v>315</v>
      </c>
      <c r="N44" s="459">
        <v>1</v>
      </c>
      <c r="O44" s="460">
        <v>0</v>
      </c>
      <c r="P44" s="322"/>
      <c r="Q44" s="231"/>
      <c r="R44" s="212"/>
      <c r="S44" s="6" t="s">
        <v>315</v>
      </c>
      <c r="T44" s="459">
        <v>1</v>
      </c>
      <c r="U44" s="460">
        <v>0</v>
      </c>
      <c r="V44" s="322"/>
      <c r="W44" s="231"/>
      <c r="X44" s="296"/>
      <c r="Y44" s="6" t="s">
        <v>315</v>
      </c>
      <c r="Z44" s="459">
        <v>0.6</v>
      </c>
      <c r="AA44" s="460">
        <v>0.4</v>
      </c>
      <c r="AB44" s="322"/>
      <c r="AC44" s="231"/>
    </row>
    <row r="45" spans="1:29" ht="15" customHeight="1">
      <c r="A45" s="6"/>
      <c r="B45" s="324"/>
      <c r="C45" s="317"/>
      <c r="D45" s="322"/>
      <c r="E45" s="231"/>
      <c r="F45" s="223"/>
      <c r="G45" s="6"/>
      <c r="H45" s="324"/>
      <c r="I45" s="317"/>
      <c r="J45" s="322"/>
      <c r="K45" s="231"/>
      <c r="L45" s="212"/>
      <c r="M45" s="6"/>
      <c r="N45" s="324"/>
      <c r="O45" s="317"/>
      <c r="P45" s="322"/>
      <c r="Q45" s="231"/>
      <c r="R45" s="212"/>
      <c r="S45" s="6"/>
      <c r="T45" s="324"/>
      <c r="U45" s="317"/>
      <c r="V45" s="322"/>
      <c r="W45" s="231"/>
      <c r="X45" s="296"/>
      <c r="Y45" s="6"/>
      <c r="Z45" s="324"/>
      <c r="AA45" s="317"/>
      <c r="AB45" s="322"/>
      <c r="AC45" s="231"/>
    </row>
    <row r="46" spans="1:29" ht="15" customHeight="1">
      <c r="A46" s="301" t="s">
        <v>293</v>
      </c>
      <c r="B46" s="302" t="str">
        <f>B$35</f>
        <v>-</v>
      </c>
      <c r="C46" s="510" t="s">
        <v>298</v>
      </c>
      <c r="D46" s="308">
        <f>D$35*E$46</f>
        <v>0</v>
      </c>
      <c r="E46" s="303">
        <f>Assumptions!$C$44</f>
        <v>0.75</v>
      </c>
      <c r="F46" s="296"/>
      <c r="G46" s="301" t="s">
        <v>293</v>
      </c>
      <c r="H46" s="302" t="str">
        <f>H$35</f>
        <v>-</v>
      </c>
      <c r="I46" s="510" t="s">
        <v>298</v>
      </c>
      <c r="J46" s="308">
        <f>J$35*K$46</f>
        <v>0</v>
      </c>
      <c r="K46" s="303">
        <f>Assumptions!$C$44</f>
        <v>0.75</v>
      </c>
      <c r="L46" s="212"/>
      <c r="M46" s="301" t="s">
        <v>293</v>
      </c>
      <c r="N46" s="302" t="str">
        <f>N$35</f>
        <v>-</v>
      </c>
      <c r="O46" s="510" t="s">
        <v>298</v>
      </c>
      <c r="P46" s="308">
        <f>P$35*Q$46</f>
        <v>0</v>
      </c>
      <c r="Q46" s="303">
        <f>Assumptions!$C$44</f>
        <v>0.75</v>
      </c>
      <c r="R46" s="212"/>
      <c r="S46" s="301" t="s">
        <v>293</v>
      </c>
      <c r="T46" s="302" t="str">
        <f>T$35</f>
        <v>Multifamily-Market</v>
      </c>
      <c r="U46" s="510" t="s">
        <v>298</v>
      </c>
      <c r="V46" s="308">
        <f>V$35*W$46</f>
        <v>97990.5</v>
      </c>
      <c r="W46" s="303">
        <f>Assumptions!$C$44</f>
        <v>0.75</v>
      </c>
      <c r="X46" s="296"/>
      <c r="Y46" s="301" t="s">
        <v>293</v>
      </c>
      <c r="Z46" s="302" t="str">
        <f>Z$35</f>
        <v>-</v>
      </c>
      <c r="AA46" s="510" t="s">
        <v>298</v>
      </c>
      <c r="AB46" s="308">
        <f>AB$35*AC$46</f>
        <v>0</v>
      </c>
      <c r="AC46" s="303">
        <f>Assumptions!$C$44</f>
        <v>0.75</v>
      </c>
    </row>
    <row r="47" spans="1:29" ht="15" customHeight="1">
      <c r="A47" s="301" t="s">
        <v>241</v>
      </c>
      <c r="B47" s="458">
        <v>0</v>
      </c>
      <c r="C47" s="310" t="str">
        <f>IF(C53&gt;D46,"# of Units Over Available Area","# of Units Within Available Area")</f>
        <v># of Units Within Available Area</v>
      </c>
      <c r="D47" s="309" t="s">
        <v>68</v>
      </c>
      <c r="E47" s="325">
        <v>0</v>
      </c>
      <c r="F47" s="298"/>
      <c r="G47" s="301" t="s">
        <v>241</v>
      </c>
      <c r="H47" s="458">
        <v>0</v>
      </c>
      <c r="I47" s="310" t="str">
        <f>IF(I53&gt;J46,"# of Units Over Available Area","# of Units Within Available Area")</f>
        <v># of Units Within Available Area</v>
      </c>
      <c r="J47" s="309" t="s">
        <v>68</v>
      </c>
      <c r="K47" s="325">
        <v>0</v>
      </c>
      <c r="L47" s="299"/>
      <c r="M47" s="301" t="s">
        <v>241</v>
      </c>
      <c r="N47" s="458">
        <v>0</v>
      </c>
      <c r="O47" s="310" t="str">
        <f>IF(O53&gt;P46,"# of Units Over Available Area","# of Units Within Available Area")</f>
        <v># of Units Within Available Area</v>
      </c>
      <c r="P47" s="309" t="s">
        <v>68</v>
      </c>
      <c r="Q47" s="325">
        <v>0</v>
      </c>
      <c r="R47" s="299"/>
      <c r="S47" s="301" t="s">
        <v>241</v>
      </c>
      <c r="T47" s="458">
        <v>117</v>
      </c>
      <c r="U47" s="310" t="str">
        <f>IF(U53&gt;V46,"# of Units Over Available Area","# of Units Within Available Area")</f>
        <v># of Units Within Available Area</v>
      </c>
      <c r="V47" s="309" t="s">
        <v>68</v>
      </c>
      <c r="W47" s="325">
        <v>0</v>
      </c>
      <c r="X47" s="296"/>
      <c r="Y47" s="301" t="s">
        <v>241</v>
      </c>
      <c r="Z47" s="458">
        <v>0</v>
      </c>
      <c r="AA47" s="310" t="str">
        <f>IF(AA53&gt;AB46,"# of Units Over Available Area","# of Units Within Available Area")</f>
        <v># of Units Within Available Area</v>
      </c>
      <c r="AB47" s="309" t="s">
        <v>68</v>
      </c>
      <c r="AC47" s="325">
        <v>0</v>
      </c>
    </row>
    <row r="48" spans="1:29" ht="15" customHeight="1">
      <c r="A48" s="304" t="s">
        <v>230</v>
      </c>
      <c r="B48" s="305" t="s">
        <v>69</v>
      </c>
      <c r="C48" s="306" t="s">
        <v>296</v>
      </c>
      <c r="D48" s="305" t="s">
        <v>70</v>
      </c>
      <c r="E48" s="307" t="s">
        <v>297</v>
      </c>
      <c r="F48" s="296"/>
      <c r="G48" s="304" t="s">
        <v>230</v>
      </c>
      <c r="H48" s="305" t="s">
        <v>69</v>
      </c>
      <c r="I48" s="306" t="s">
        <v>296</v>
      </c>
      <c r="J48" s="305" t="s">
        <v>70</v>
      </c>
      <c r="K48" s="307" t="s">
        <v>297</v>
      </c>
      <c r="L48" s="329"/>
      <c r="M48" s="304" t="s">
        <v>230</v>
      </c>
      <c r="N48" s="305" t="s">
        <v>69</v>
      </c>
      <c r="O48" s="306" t="s">
        <v>296</v>
      </c>
      <c r="P48" s="305" t="s">
        <v>70</v>
      </c>
      <c r="Q48" s="307" t="s">
        <v>297</v>
      </c>
      <c r="R48" s="329"/>
      <c r="S48" s="304" t="s">
        <v>230</v>
      </c>
      <c r="T48" s="305" t="s">
        <v>69</v>
      </c>
      <c r="U48" s="306" t="s">
        <v>296</v>
      </c>
      <c r="V48" s="305" t="s">
        <v>70</v>
      </c>
      <c r="W48" s="307" t="s">
        <v>297</v>
      </c>
      <c r="X48" s="296"/>
      <c r="Y48" s="304" t="s">
        <v>230</v>
      </c>
      <c r="Z48" s="305" t="s">
        <v>69</v>
      </c>
      <c r="AA48" s="306" t="s">
        <v>296</v>
      </c>
      <c r="AB48" s="305" t="s">
        <v>70</v>
      </c>
      <c r="AC48" s="307" t="s">
        <v>297</v>
      </c>
    </row>
    <row r="49" spans="1:29" ht="15" customHeight="1">
      <c r="A49" s="109" t="s">
        <v>72</v>
      </c>
      <c r="B49" s="255">
        <f>B$47*INDEX(Assumptions!$C$52:$C$55,MATCH(A49,Assumptions!$A$52:$A$55,0))</f>
        <v>0</v>
      </c>
      <c r="C49" s="110">
        <f>Assumptions!$C$6</f>
        <v>504</v>
      </c>
      <c r="D49" s="196">
        <f>Assumptions!$C$7*(1+E$47)</f>
        <v>2.8666666666666667</v>
      </c>
      <c r="E49" s="197">
        <f>12*B49*C49*D49</f>
        <v>0</v>
      </c>
      <c r="F49" s="296"/>
      <c r="G49" s="109" t="s">
        <v>72</v>
      </c>
      <c r="H49" s="255">
        <f>H$47*INDEX(Assumptions!$C$52:$C$55,MATCH(G49,Assumptions!$A$52:$A$55,0))</f>
        <v>0</v>
      </c>
      <c r="I49" s="110">
        <f>Assumptions!$C$6</f>
        <v>504</v>
      </c>
      <c r="J49" s="196">
        <f>Assumptions!$C$7*(1+K$47)</f>
        <v>2.8666666666666667</v>
      </c>
      <c r="K49" s="197">
        <f>12*H49*I49*J49</f>
        <v>0</v>
      </c>
      <c r="L49" s="330"/>
      <c r="M49" s="109" t="s">
        <v>72</v>
      </c>
      <c r="N49" s="255">
        <f>N$47*INDEX(Assumptions!$C$52:$C$55,MATCH(M49,Assumptions!$A$52:$A$55,0))</f>
        <v>0</v>
      </c>
      <c r="O49" s="110">
        <f>Assumptions!$C$6</f>
        <v>504</v>
      </c>
      <c r="P49" s="196">
        <f>Assumptions!$C$7*(1+Q$47)</f>
        <v>2.8666666666666667</v>
      </c>
      <c r="Q49" s="197">
        <f>12*N49*O49*P49</f>
        <v>0</v>
      </c>
      <c r="R49" s="330"/>
      <c r="S49" s="109" t="s">
        <v>72</v>
      </c>
      <c r="T49" s="255">
        <f>T$47*INDEX(Assumptions!$C$52:$C$55,MATCH(S49,Assumptions!$A$52:$A$55,0))</f>
        <v>35.1</v>
      </c>
      <c r="U49" s="110">
        <f>Assumptions!$C$6</f>
        <v>504</v>
      </c>
      <c r="V49" s="196">
        <f>Assumptions!$C$7*(1+W$47)</f>
        <v>2.8666666666666667</v>
      </c>
      <c r="W49" s="197">
        <f>12*T49*U49*V49</f>
        <v>608549.76</v>
      </c>
      <c r="X49" s="296"/>
      <c r="Y49" s="109" t="s">
        <v>72</v>
      </c>
      <c r="Z49" s="255">
        <f>Z$47*INDEX(Assumptions!$C$52:$C$55,MATCH(Y49,Assumptions!$A$52:$A$55,0))</f>
        <v>0</v>
      </c>
      <c r="AA49" s="110">
        <f>Assumptions!$C$6</f>
        <v>504</v>
      </c>
      <c r="AB49" s="196">
        <f>Assumptions!$C$7*(1+AC$47)</f>
        <v>2.8666666666666667</v>
      </c>
      <c r="AC49" s="197">
        <f>12*Z49*AA49*AB49</f>
        <v>0</v>
      </c>
    </row>
    <row r="50" spans="1:29" ht="15" customHeight="1">
      <c r="A50" s="106" t="s">
        <v>73</v>
      </c>
      <c r="B50" s="255">
        <f>B$47*INDEX(Assumptions!$C$52:$C$55,MATCH(A50,Assumptions!$A$52:$A$55,0))</f>
        <v>0</v>
      </c>
      <c r="C50" s="107">
        <f>Assumptions!$C$9</f>
        <v>768.77777777777783</v>
      </c>
      <c r="D50" s="108">
        <f>Assumptions!$C$10*(1+E$47)</f>
        <v>2.2077777777777778</v>
      </c>
      <c r="E50" s="190">
        <f>12*B50*C50*D50</f>
        <v>0</v>
      </c>
      <c r="F50" s="296"/>
      <c r="G50" s="106" t="s">
        <v>73</v>
      </c>
      <c r="H50" s="255">
        <f>H$47*INDEX(Assumptions!$C$52:$C$55,MATCH(G50,Assumptions!$A$52:$A$55,0))</f>
        <v>0</v>
      </c>
      <c r="I50" s="107">
        <f>Assumptions!$C$9</f>
        <v>768.77777777777783</v>
      </c>
      <c r="J50" s="108">
        <f>Assumptions!$C$10*(1+K$47)</f>
        <v>2.2077777777777778</v>
      </c>
      <c r="K50" s="190">
        <f>12*H50*I50*J50</f>
        <v>0</v>
      </c>
      <c r="L50" s="330"/>
      <c r="M50" s="106" t="s">
        <v>73</v>
      </c>
      <c r="N50" s="255">
        <f>N$47*INDEX(Assumptions!$C$52:$C$55,MATCH(M50,Assumptions!$A$52:$A$55,0))</f>
        <v>0</v>
      </c>
      <c r="O50" s="107">
        <f>Assumptions!$C$9</f>
        <v>768.77777777777783</v>
      </c>
      <c r="P50" s="108">
        <f>Assumptions!$C$10*(1+Q$47)</f>
        <v>2.2077777777777778</v>
      </c>
      <c r="Q50" s="190">
        <f>12*N50*O50*P50</f>
        <v>0</v>
      </c>
      <c r="R50" s="330"/>
      <c r="S50" s="106" t="s">
        <v>73</v>
      </c>
      <c r="T50" s="255">
        <f>T$47*INDEX(Assumptions!$C$52:$C$55,MATCH(S50,Assumptions!$A$52:$A$55,0))</f>
        <v>52.65</v>
      </c>
      <c r="U50" s="107">
        <f>Assumptions!$C$9</f>
        <v>768.77777777777783</v>
      </c>
      <c r="V50" s="108">
        <f>Assumptions!$C$10*(1+W$47)</f>
        <v>2.2077777777777778</v>
      </c>
      <c r="W50" s="190">
        <f>12*T50*U50*V50</f>
        <v>1072348.1340000001</v>
      </c>
      <c r="X50" s="296"/>
      <c r="Y50" s="106" t="s">
        <v>73</v>
      </c>
      <c r="Z50" s="255">
        <f>Z$47*INDEX(Assumptions!$C$52:$C$55,MATCH(Y50,Assumptions!$A$52:$A$55,0))</f>
        <v>0</v>
      </c>
      <c r="AA50" s="107">
        <f>Assumptions!$C$9</f>
        <v>768.77777777777783</v>
      </c>
      <c r="AB50" s="108">
        <f>Assumptions!$C$10*(1+AC$47)</f>
        <v>2.2077777777777778</v>
      </c>
      <c r="AC50" s="190">
        <f>12*Z50*AA50*AB50</f>
        <v>0</v>
      </c>
    </row>
    <row r="51" spans="1:29" ht="15" customHeight="1">
      <c r="A51" s="109" t="s">
        <v>74</v>
      </c>
      <c r="B51" s="255">
        <f>B$47*INDEX(Assumptions!$C$52:$C$55,MATCH(A51,Assumptions!$A$52:$A$55,0))</f>
        <v>0</v>
      </c>
      <c r="C51" s="110">
        <f>Assumptions!$C$12</f>
        <v>1181.7777777777778</v>
      </c>
      <c r="D51" s="108">
        <f>Assumptions!$C$13*(1+E$47)</f>
        <v>2.0655555555555556</v>
      </c>
      <c r="E51" s="190">
        <f t="shared" ref="E51" si="1">12*B51*C51*D51</f>
        <v>0</v>
      </c>
      <c r="F51" s="297"/>
      <c r="G51" s="109" t="s">
        <v>74</v>
      </c>
      <c r="H51" s="255">
        <f>H$47*INDEX(Assumptions!$C$52:$C$55,MATCH(G51,Assumptions!$A$52:$A$55,0))</f>
        <v>0</v>
      </c>
      <c r="I51" s="110">
        <f>Assumptions!$C$12</f>
        <v>1181.7777777777778</v>
      </c>
      <c r="J51" s="108">
        <f>Assumptions!$C$13*(1+K$47)</f>
        <v>2.0655555555555556</v>
      </c>
      <c r="K51" s="190">
        <f t="shared" ref="K51" si="2">12*H51*I51*J51</f>
        <v>0</v>
      </c>
      <c r="L51" s="330"/>
      <c r="M51" s="109" t="s">
        <v>74</v>
      </c>
      <c r="N51" s="255">
        <f>N$47*INDEX(Assumptions!$C$52:$C$55,MATCH(M51,Assumptions!$A$52:$A$55,0))</f>
        <v>0</v>
      </c>
      <c r="O51" s="110">
        <f>Assumptions!$C$12</f>
        <v>1181.7777777777778</v>
      </c>
      <c r="P51" s="108">
        <f>Assumptions!$C$13*(1+Q$47)</f>
        <v>2.0655555555555556</v>
      </c>
      <c r="Q51" s="190">
        <f t="shared" ref="Q51" si="3">12*N51*O51*P51</f>
        <v>0</v>
      </c>
      <c r="R51" s="330"/>
      <c r="S51" s="109" t="s">
        <v>74</v>
      </c>
      <c r="T51" s="255">
        <f>T$47*INDEX(Assumptions!$C$52:$C$55,MATCH(S51,Assumptions!$A$52:$A$55,0))</f>
        <v>23.400000000000002</v>
      </c>
      <c r="U51" s="110">
        <f>Assumptions!$C$12</f>
        <v>1181.7777777777778</v>
      </c>
      <c r="V51" s="108">
        <f>Assumptions!$C$13*(1+W$47)</f>
        <v>2.0655555555555556</v>
      </c>
      <c r="W51" s="190">
        <f t="shared" ref="W51" si="4">12*T51*U51*V51</f>
        <v>685440.56533333333</v>
      </c>
      <c r="X51" s="317"/>
      <c r="Y51" s="109" t="s">
        <v>74</v>
      </c>
      <c r="Z51" s="255">
        <f>Z$47*INDEX(Assumptions!$C$52:$C$55,MATCH(Y51,Assumptions!$A$52:$A$55,0))</f>
        <v>0</v>
      </c>
      <c r="AA51" s="110">
        <f>Assumptions!$C$12</f>
        <v>1181.7777777777778</v>
      </c>
      <c r="AB51" s="108">
        <f>Assumptions!$C$13*(1+AC$47)</f>
        <v>2.0655555555555556</v>
      </c>
      <c r="AC51" s="190">
        <f t="shared" ref="AC51" si="5">12*Z51*AA51*AB51</f>
        <v>0</v>
      </c>
    </row>
    <row r="52" spans="1:29" ht="15" customHeight="1" thickBot="1">
      <c r="A52" s="109" t="s">
        <v>75</v>
      </c>
      <c r="B52" s="255">
        <f>B$47*INDEX(Assumptions!$C$52:$C$55,MATCH(A52,Assumptions!$A$52:$A$55,0))</f>
        <v>0</v>
      </c>
      <c r="C52" s="107">
        <f>Assumptions!$C$15</f>
        <v>2056</v>
      </c>
      <c r="D52" s="108">
        <f>Assumptions!$C$16*(1+E$47)</f>
        <v>2.4820000000000002</v>
      </c>
      <c r="E52" s="190">
        <f>12*B52*C52*D52</f>
        <v>0</v>
      </c>
      <c r="F52" s="223"/>
      <c r="G52" s="109" t="s">
        <v>75</v>
      </c>
      <c r="H52" s="255">
        <f>H$47*INDEX(Assumptions!$C$52:$C$55,MATCH(G52,Assumptions!$A$52:$A$55,0))</f>
        <v>0</v>
      </c>
      <c r="I52" s="107">
        <f>Assumptions!$C$15</f>
        <v>2056</v>
      </c>
      <c r="J52" s="108">
        <f>Assumptions!$C$16*(1+K$47)</f>
        <v>2.4820000000000002</v>
      </c>
      <c r="K52" s="190">
        <f>12*H52*I52*J52</f>
        <v>0</v>
      </c>
      <c r="L52" s="330"/>
      <c r="M52" s="109" t="s">
        <v>75</v>
      </c>
      <c r="N52" s="255">
        <f>N$47*INDEX(Assumptions!$C$52:$C$55,MATCH(M52,Assumptions!$A$52:$A$55,0))</f>
        <v>0</v>
      </c>
      <c r="O52" s="107">
        <f>Assumptions!$C$15</f>
        <v>2056</v>
      </c>
      <c r="P52" s="108">
        <f>Assumptions!$C$16*(1+Q$47)</f>
        <v>2.4820000000000002</v>
      </c>
      <c r="Q52" s="190">
        <f>12*N52*O52*P52</f>
        <v>0</v>
      </c>
      <c r="R52" s="330"/>
      <c r="S52" s="109" t="s">
        <v>75</v>
      </c>
      <c r="T52" s="255">
        <f>T$47*INDEX(Assumptions!$C$52:$C$55,MATCH(S52,Assumptions!$A$52:$A$55,0))</f>
        <v>5.8500000000000005</v>
      </c>
      <c r="U52" s="107">
        <f>Assumptions!$C$15</f>
        <v>2056</v>
      </c>
      <c r="V52" s="108">
        <f>Assumptions!$C$16*(1+W$47)</f>
        <v>2.4820000000000002</v>
      </c>
      <c r="W52" s="190">
        <f>12*T52*U52*V52</f>
        <v>358230.03840000008</v>
      </c>
      <c r="X52" s="317"/>
      <c r="Y52" s="109" t="s">
        <v>75</v>
      </c>
      <c r="Z52" s="255">
        <f>Z$47*INDEX(Assumptions!$C$52:$C$55,MATCH(Y52,Assumptions!$A$52:$A$55,0))</f>
        <v>0</v>
      </c>
      <c r="AA52" s="107">
        <f>Assumptions!$C$15</f>
        <v>2056</v>
      </c>
      <c r="AB52" s="108">
        <f>Assumptions!$C$16*(1+AC$47)</f>
        <v>2.4820000000000002</v>
      </c>
      <c r="AC52" s="190">
        <f>12*Z52*AA52*AB52</f>
        <v>0</v>
      </c>
    </row>
    <row r="53" spans="1:29" ht="15" customHeight="1" thickTop="1" thickBot="1">
      <c r="A53" s="7" t="s">
        <v>76</v>
      </c>
      <c r="B53" s="8">
        <f>SUM(B49:B52)</f>
        <v>0</v>
      </c>
      <c r="C53" s="9">
        <f>SUMPRODUCT(B49:B52,C49:C52)</f>
        <v>0</v>
      </c>
      <c r="D53" s="225"/>
      <c r="E53" s="226">
        <f>SUM(E49:E52)</f>
        <v>0</v>
      </c>
      <c r="F53" s="297"/>
      <c r="G53" s="7" t="s">
        <v>76</v>
      </c>
      <c r="H53" s="8">
        <f>SUM(H49:H52)</f>
        <v>0</v>
      </c>
      <c r="I53" s="9">
        <f>SUMPRODUCT(H49:H52,I49:I52)</f>
        <v>0</v>
      </c>
      <c r="J53" s="225"/>
      <c r="K53" s="226">
        <f>SUM(K49:K52)</f>
        <v>0</v>
      </c>
      <c r="L53" s="327"/>
      <c r="M53" s="7" t="s">
        <v>76</v>
      </c>
      <c r="N53" s="8">
        <f>SUM(N49:N52)</f>
        <v>0</v>
      </c>
      <c r="O53" s="9">
        <f>SUMPRODUCT(N49:N52,O49:O52)</f>
        <v>0</v>
      </c>
      <c r="P53" s="225"/>
      <c r="Q53" s="226">
        <f>SUM(Q49:Q52)</f>
        <v>0</v>
      </c>
      <c r="R53" s="327"/>
      <c r="S53" s="7" t="s">
        <v>76</v>
      </c>
      <c r="T53" s="8">
        <f>SUM(T49:T52)</f>
        <v>117</v>
      </c>
      <c r="U53" s="9">
        <f>SUMPRODUCT(T49:T52,U49:U52)</f>
        <v>97847.750000000015</v>
      </c>
      <c r="V53" s="225"/>
      <c r="W53" s="226">
        <f>SUM(W49:W52)</f>
        <v>2724568.4977333331</v>
      </c>
      <c r="X53" s="317"/>
      <c r="Y53" s="7" t="s">
        <v>76</v>
      </c>
      <c r="Z53" s="8">
        <f>SUM(Z49:Z52)</f>
        <v>0</v>
      </c>
      <c r="AA53" s="9">
        <f>SUMPRODUCT(Z49:Z52,AA49:AA52)</f>
        <v>0</v>
      </c>
      <c r="AB53" s="225"/>
      <c r="AC53" s="226">
        <f>SUM(AC49:AC52)</f>
        <v>0</v>
      </c>
    </row>
    <row r="54" spans="1:29" ht="15" customHeight="1" thickTop="1" thickBot="1">
      <c r="A54" s="10" t="s">
        <v>77</v>
      </c>
      <c r="B54" s="224"/>
      <c r="C54" s="11">
        <f>IFERROR(C53/B53,0)</f>
        <v>0</v>
      </c>
      <c r="D54" s="227">
        <f>IFERROR((E53/12)/C53,0)</f>
        <v>0</v>
      </c>
      <c r="E54" s="228"/>
      <c r="F54" s="317"/>
      <c r="G54" s="10" t="s">
        <v>77</v>
      </c>
      <c r="H54" s="224"/>
      <c r="I54" s="11">
        <f>IFERROR(I53/H53,0)</f>
        <v>0</v>
      </c>
      <c r="J54" s="227">
        <f>IFERROR((K53/12)/I53,0)</f>
        <v>0</v>
      </c>
      <c r="K54" s="228"/>
      <c r="L54" s="216"/>
      <c r="M54" s="10" t="s">
        <v>77</v>
      </c>
      <c r="N54" s="224"/>
      <c r="O54" s="11">
        <f>IFERROR(O53/N53,0)</f>
        <v>0</v>
      </c>
      <c r="P54" s="227">
        <f>IFERROR((Q53/12)/O53,0)</f>
        <v>0</v>
      </c>
      <c r="Q54" s="228"/>
      <c r="R54" s="216"/>
      <c r="S54" s="10" t="s">
        <v>77</v>
      </c>
      <c r="T54" s="224"/>
      <c r="U54" s="11">
        <f>IFERROR(U53/T53,0)</f>
        <v>836.30555555555566</v>
      </c>
      <c r="V54" s="227">
        <f>IFERROR((W53/12)/U53,0)</f>
        <v>2.3204148773079716</v>
      </c>
      <c r="W54" s="228"/>
      <c r="X54" s="297"/>
      <c r="Y54" s="10" t="s">
        <v>77</v>
      </c>
      <c r="Z54" s="224"/>
      <c r="AA54" s="11">
        <f>IFERROR(AA53/Z53,0)</f>
        <v>0</v>
      </c>
      <c r="AB54" s="227">
        <f>IFERROR((AC53/12)/AA53,0)</f>
        <v>0</v>
      </c>
      <c r="AC54" s="228"/>
    </row>
    <row r="55" spans="1:29" ht="15" customHeight="1">
      <c r="A55" s="301" t="s">
        <v>290</v>
      </c>
      <c r="B55" s="302" t="str">
        <f>B$36</f>
        <v>-</v>
      </c>
      <c r="C55" s="510" t="s">
        <v>348</v>
      </c>
      <c r="D55" s="509">
        <f>D$36*E$55</f>
        <v>0</v>
      </c>
      <c r="E55" s="303">
        <f>Assumptions!$C$44</f>
        <v>0.75</v>
      </c>
      <c r="F55" s="317"/>
      <c r="G55" s="301" t="s">
        <v>290</v>
      </c>
      <c r="H55" s="302" t="str">
        <f>H$36</f>
        <v>-</v>
      </c>
      <c r="I55" s="510" t="s">
        <v>348</v>
      </c>
      <c r="J55" s="509">
        <f>J$36*K$55</f>
        <v>0</v>
      </c>
      <c r="K55" s="303">
        <f>Assumptions!$C$44</f>
        <v>0.75</v>
      </c>
      <c r="L55" s="212"/>
      <c r="M55" s="301" t="s">
        <v>290</v>
      </c>
      <c r="N55" s="302" t="str">
        <f>N$36</f>
        <v>-</v>
      </c>
      <c r="O55" s="510" t="s">
        <v>348</v>
      </c>
      <c r="P55" s="509">
        <f>P$36*Q$55</f>
        <v>0</v>
      </c>
      <c r="Q55" s="303">
        <f>Assumptions!$C$44</f>
        <v>0.75</v>
      </c>
      <c r="R55" s="212"/>
      <c r="S55" s="301" t="s">
        <v>290</v>
      </c>
      <c r="T55" s="302" t="str">
        <f>T$36</f>
        <v>-</v>
      </c>
      <c r="U55" s="510" t="s">
        <v>348</v>
      </c>
      <c r="V55" s="509">
        <f>V$36*W$55</f>
        <v>0</v>
      </c>
      <c r="W55" s="303">
        <f>Assumptions!$C$44</f>
        <v>0.75</v>
      </c>
      <c r="X55" s="297"/>
      <c r="Y55" s="301" t="s">
        <v>290</v>
      </c>
      <c r="Z55" s="302" t="str">
        <f>Z$36</f>
        <v>-</v>
      </c>
      <c r="AA55" s="510" t="s">
        <v>348</v>
      </c>
      <c r="AB55" s="509">
        <f>AB$36*AC$55</f>
        <v>0</v>
      </c>
      <c r="AC55" s="303">
        <f>Assumptions!$C$44</f>
        <v>0.75</v>
      </c>
    </row>
    <row r="56" spans="1:29" ht="15" customHeight="1">
      <c r="A56" s="301" t="s">
        <v>241</v>
      </c>
      <c r="B56" s="458">
        <v>0</v>
      </c>
      <c r="C56" s="310" t="str">
        <f>IF(C60&gt;D55,"# of Units Over Available Area","# of Units Within Available Area")</f>
        <v># of Units Within Available Area</v>
      </c>
      <c r="D56" s="456"/>
      <c r="E56" s="457"/>
      <c r="F56" s="317"/>
      <c r="G56" s="301" t="s">
        <v>241</v>
      </c>
      <c r="H56" s="458">
        <v>0</v>
      </c>
      <c r="I56" s="310" t="str">
        <f>IF(I60&gt;J55,"# of Units Over Available Area","# of Units Within Available Area")</f>
        <v># of Units Within Available Area</v>
      </c>
      <c r="J56" s="456"/>
      <c r="K56" s="457"/>
      <c r="L56" s="299"/>
      <c r="M56" s="301" t="s">
        <v>241</v>
      </c>
      <c r="N56" s="458">
        <v>0</v>
      </c>
      <c r="O56" s="310" t="str">
        <f>IF(O60&gt;P55,"# of Units Over Available Area","# of Units Within Available Area")</f>
        <v># of Units Within Available Area</v>
      </c>
      <c r="P56" s="456"/>
      <c r="Q56" s="457"/>
      <c r="R56" s="299"/>
      <c r="S56" s="301" t="s">
        <v>241</v>
      </c>
      <c r="T56" s="458">
        <v>0</v>
      </c>
      <c r="U56" s="310" t="str">
        <f>IF(U60&gt;V55,"# of Units Over Available Area","# of Units Within Available Area")</f>
        <v># of Units Within Available Area</v>
      </c>
      <c r="V56" s="456"/>
      <c r="W56" s="457"/>
      <c r="X56" s="297"/>
      <c r="Y56" s="301" t="s">
        <v>241</v>
      </c>
      <c r="Z56" s="458">
        <v>0</v>
      </c>
      <c r="AA56" s="310" t="str">
        <f>IF(AA60&gt;AB55,"# of Units Over Available Area","# of Units Within Available Area")</f>
        <v># of Units Within Available Area</v>
      </c>
      <c r="AB56" s="456"/>
      <c r="AC56" s="457"/>
    </row>
    <row r="57" spans="1:29" ht="15" customHeight="1">
      <c r="A57" s="304" t="s">
        <v>230</v>
      </c>
      <c r="B57" s="305" t="s">
        <v>69</v>
      </c>
      <c r="C57" s="306" t="s">
        <v>345</v>
      </c>
      <c r="D57" s="305" t="s">
        <v>346</v>
      </c>
      <c r="E57" s="307" t="s">
        <v>347</v>
      </c>
      <c r="F57" s="317"/>
      <c r="G57" s="304" t="s">
        <v>230</v>
      </c>
      <c r="H57" s="305" t="s">
        <v>69</v>
      </c>
      <c r="I57" s="306" t="s">
        <v>345</v>
      </c>
      <c r="J57" s="305" t="s">
        <v>346</v>
      </c>
      <c r="K57" s="307" t="s">
        <v>347</v>
      </c>
      <c r="L57" s="329"/>
      <c r="M57" s="304" t="s">
        <v>230</v>
      </c>
      <c r="N57" s="305" t="s">
        <v>69</v>
      </c>
      <c r="O57" s="306" t="s">
        <v>345</v>
      </c>
      <c r="P57" s="305" t="s">
        <v>346</v>
      </c>
      <c r="Q57" s="307" t="s">
        <v>347</v>
      </c>
      <c r="R57" s="329"/>
      <c r="S57" s="304" t="s">
        <v>230</v>
      </c>
      <c r="T57" s="305" t="s">
        <v>69</v>
      </c>
      <c r="U57" s="306" t="s">
        <v>345</v>
      </c>
      <c r="V57" s="305" t="s">
        <v>346</v>
      </c>
      <c r="W57" s="307" t="s">
        <v>347</v>
      </c>
      <c r="X57" s="297"/>
      <c r="Y57" s="304" t="s">
        <v>230</v>
      </c>
      <c r="Z57" s="305" t="s">
        <v>69</v>
      </c>
      <c r="AA57" s="306" t="s">
        <v>345</v>
      </c>
      <c r="AB57" s="305" t="s">
        <v>346</v>
      </c>
      <c r="AC57" s="307" t="s">
        <v>347</v>
      </c>
    </row>
    <row r="58" spans="1:29" ht="15" customHeight="1">
      <c r="A58" s="109" t="s">
        <v>74</v>
      </c>
      <c r="B58" s="255">
        <f>B$56*INDEX(Assumptions!$C$58:$C$59,MATCH(A58,Assumptions!$A$58:$A$59,0))</f>
        <v>0</v>
      </c>
      <c r="C58" s="110">
        <f>Assumptions!$C$12</f>
        <v>1181.7777777777778</v>
      </c>
      <c r="D58" s="108">
        <f>Assumptions!$D$13</f>
        <v>650</v>
      </c>
      <c r="E58" s="190">
        <f>B58*C58*D58</f>
        <v>0</v>
      </c>
      <c r="F58" s="211"/>
      <c r="G58" s="109" t="s">
        <v>74</v>
      </c>
      <c r="H58" s="255">
        <f>H$56*INDEX(Assumptions!$C$58:$C$59,MATCH(G58,Assumptions!$A$58:$A$59,0))</f>
        <v>0</v>
      </c>
      <c r="I58" s="110">
        <f>Assumptions!$C$12</f>
        <v>1181.7777777777778</v>
      </c>
      <c r="J58" s="108">
        <f>Assumptions!$D$13</f>
        <v>650</v>
      </c>
      <c r="K58" s="190">
        <f>H58*I58*J58</f>
        <v>0</v>
      </c>
      <c r="L58" s="330"/>
      <c r="M58" s="109" t="s">
        <v>74</v>
      </c>
      <c r="N58" s="255">
        <f>N$56*INDEX(Assumptions!$C$58:$C$59,MATCH(M58,Assumptions!$A$58:$A$59,0))</f>
        <v>0</v>
      </c>
      <c r="O58" s="110">
        <f>Assumptions!$C$12</f>
        <v>1181.7777777777778</v>
      </c>
      <c r="P58" s="108">
        <f>Assumptions!$D$13</f>
        <v>650</v>
      </c>
      <c r="Q58" s="190">
        <f>N58*O58*P58</f>
        <v>0</v>
      </c>
      <c r="R58" s="330"/>
      <c r="S58" s="109" t="s">
        <v>74</v>
      </c>
      <c r="T58" s="255">
        <f>T$56*INDEX(Assumptions!$C$58:$C$59,MATCH(S58,Assumptions!$A$58:$A$59,0))</f>
        <v>0</v>
      </c>
      <c r="U58" s="110">
        <f>Assumptions!$C$12</f>
        <v>1181.7777777777778</v>
      </c>
      <c r="V58" s="108">
        <f>Assumptions!$D$13</f>
        <v>650</v>
      </c>
      <c r="W58" s="190">
        <f>T58*U58*V58</f>
        <v>0</v>
      </c>
      <c r="X58" s="297"/>
      <c r="Y58" s="109" t="s">
        <v>74</v>
      </c>
      <c r="Z58" s="255">
        <f>Z$56*INDEX(Assumptions!$C$58:$C$59,MATCH(Y58,Assumptions!$A$58:$A$59,0))</f>
        <v>0</v>
      </c>
      <c r="AA58" s="110">
        <f>Assumptions!$C$12</f>
        <v>1181.7777777777778</v>
      </c>
      <c r="AB58" s="108">
        <f>Assumptions!$D$13</f>
        <v>650</v>
      </c>
      <c r="AC58" s="190">
        <f>Z58*AA58*AB58</f>
        <v>0</v>
      </c>
    </row>
    <row r="59" spans="1:29" ht="15" customHeight="1" thickBot="1">
      <c r="A59" s="109" t="s">
        <v>75</v>
      </c>
      <c r="B59" s="255">
        <f>B$56*INDEX(Assumptions!$C$58:$C$59,MATCH(A59,Assumptions!$A$58:$A$59,0))</f>
        <v>0</v>
      </c>
      <c r="C59" s="107">
        <f>Assumptions!$C$15</f>
        <v>2056</v>
      </c>
      <c r="D59" s="108">
        <f>Assumptions!$D$15</f>
        <v>1400</v>
      </c>
      <c r="E59" s="190">
        <f>B59*C59*D59</f>
        <v>0</v>
      </c>
      <c r="F59" s="211"/>
      <c r="G59" s="109" t="s">
        <v>75</v>
      </c>
      <c r="H59" s="255">
        <f>H$56*INDEX(Assumptions!$C$58:$C$59,MATCH(G59,Assumptions!$A$58:$A$59,0))</f>
        <v>0</v>
      </c>
      <c r="I59" s="107">
        <f>Assumptions!$C$15</f>
        <v>2056</v>
      </c>
      <c r="J59" s="108">
        <f>Assumptions!$D$15</f>
        <v>1400</v>
      </c>
      <c r="K59" s="190">
        <f>H59*I59*J59</f>
        <v>0</v>
      </c>
      <c r="L59" s="330"/>
      <c r="M59" s="109" t="s">
        <v>75</v>
      </c>
      <c r="N59" s="255">
        <f>N$56*INDEX(Assumptions!$C$58:$C$59,MATCH(M59,Assumptions!$A$58:$A$59,0))</f>
        <v>0</v>
      </c>
      <c r="O59" s="107">
        <f>Assumptions!$C$15</f>
        <v>2056</v>
      </c>
      <c r="P59" s="108">
        <f>Assumptions!$D$15</f>
        <v>1400</v>
      </c>
      <c r="Q59" s="190">
        <f>N59*O59*P59</f>
        <v>0</v>
      </c>
      <c r="R59" s="330"/>
      <c r="S59" s="109" t="s">
        <v>75</v>
      </c>
      <c r="T59" s="255">
        <f>T$56*INDEX(Assumptions!$C$58:$C$59,MATCH(S59,Assumptions!$A$58:$A$59,0))</f>
        <v>0</v>
      </c>
      <c r="U59" s="107">
        <f>Assumptions!$C$15</f>
        <v>2056</v>
      </c>
      <c r="V59" s="108">
        <f>Assumptions!$D$15</f>
        <v>1400</v>
      </c>
      <c r="W59" s="190">
        <f>T59*U59*V59</f>
        <v>0</v>
      </c>
      <c r="X59" s="297"/>
      <c r="Y59" s="109" t="s">
        <v>75</v>
      </c>
      <c r="Z59" s="255">
        <f>Z$56*INDEX(Assumptions!$C$58:$C$59,MATCH(Y59,Assumptions!$A$58:$A$59,0))</f>
        <v>0</v>
      </c>
      <c r="AA59" s="107">
        <f>Assumptions!$C$15</f>
        <v>2056</v>
      </c>
      <c r="AB59" s="108">
        <f>Assumptions!$D$15</f>
        <v>1400</v>
      </c>
      <c r="AC59" s="190">
        <f>Z59*AA59*AB59</f>
        <v>0</v>
      </c>
    </row>
    <row r="60" spans="1:29" ht="15" customHeight="1" thickTop="1" thickBot="1">
      <c r="A60" s="7" t="s">
        <v>76</v>
      </c>
      <c r="B60" s="8">
        <f>SUM(B58:B59)</f>
        <v>0</v>
      </c>
      <c r="C60" s="9">
        <f>SUMPRODUCT(B58:B59,C58:C59)</f>
        <v>0</v>
      </c>
      <c r="D60" s="225"/>
      <c r="E60" s="226">
        <f>SUM(E58:E59)</f>
        <v>0</v>
      </c>
      <c r="F60" s="211"/>
      <c r="G60" s="7" t="s">
        <v>76</v>
      </c>
      <c r="H60" s="8">
        <f>SUM(H58:H59)</f>
        <v>0</v>
      </c>
      <c r="I60" s="9">
        <f>SUMPRODUCT(H58:H59,I58:I59)</f>
        <v>0</v>
      </c>
      <c r="J60" s="225"/>
      <c r="K60" s="226">
        <f>SUM(K58:K59)</f>
        <v>0</v>
      </c>
      <c r="L60" s="327"/>
      <c r="M60" s="7" t="s">
        <v>76</v>
      </c>
      <c r="N60" s="8">
        <f>SUM(N58:N59)</f>
        <v>0</v>
      </c>
      <c r="O60" s="9">
        <f>SUMPRODUCT(N58:N59,O58:O59)</f>
        <v>0</v>
      </c>
      <c r="P60" s="225"/>
      <c r="Q60" s="226">
        <f>SUM(Q58:Q59)</f>
        <v>0</v>
      </c>
      <c r="R60" s="327"/>
      <c r="S60" s="7" t="s">
        <v>76</v>
      </c>
      <c r="T60" s="8">
        <f>SUM(T58:T59)</f>
        <v>0</v>
      </c>
      <c r="U60" s="9">
        <f>SUMPRODUCT(T58:T59,U58:U59)</f>
        <v>0</v>
      </c>
      <c r="V60" s="225"/>
      <c r="W60" s="226">
        <f>SUM(W58:W59)</f>
        <v>0</v>
      </c>
      <c r="X60" s="297"/>
      <c r="Y60" s="7" t="s">
        <v>76</v>
      </c>
      <c r="Z60" s="8">
        <f>SUM(Z58:Z59)</f>
        <v>0</v>
      </c>
      <c r="AA60" s="9">
        <f>SUMPRODUCT(Z58:Z59,AA58:AA59)</f>
        <v>0</v>
      </c>
      <c r="AB60" s="225"/>
      <c r="AC60" s="226">
        <f>SUM(AC58:AC59)</f>
        <v>0</v>
      </c>
    </row>
    <row r="61" spans="1:29" ht="15" customHeight="1" thickTop="1" thickBot="1">
      <c r="A61" s="10" t="s">
        <v>77</v>
      </c>
      <c r="B61" s="224"/>
      <c r="C61" s="11">
        <f>IFERROR(C60/B60,0)</f>
        <v>0</v>
      </c>
      <c r="D61" s="227">
        <f>IFERROR((E60/12)/C60,0)</f>
        <v>0</v>
      </c>
      <c r="E61" s="228"/>
      <c r="F61" s="211"/>
      <c r="G61" s="10" t="s">
        <v>77</v>
      </c>
      <c r="H61" s="224"/>
      <c r="I61" s="11">
        <f>IFERROR(I60/H60,0)</f>
        <v>0</v>
      </c>
      <c r="J61" s="227">
        <f>IFERROR((K60/12)/I60,0)</f>
        <v>0</v>
      </c>
      <c r="K61" s="228"/>
      <c r="L61" s="216"/>
      <c r="M61" s="10" t="s">
        <v>77</v>
      </c>
      <c r="N61" s="224"/>
      <c r="O61" s="11">
        <f>IFERROR(O60/N60,0)</f>
        <v>0</v>
      </c>
      <c r="P61" s="227">
        <f>IFERROR((Q60/12)/O60,0)</f>
        <v>0</v>
      </c>
      <c r="Q61" s="228"/>
      <c r="R61" s="216"/>
      <c r="S61" s="10" t="s">
        <v>77</v>
      </c>
      <c r="T61" s="224"/>
      <c r="U61" s="11">
        <f>IFERROR(U60/T60,0)</f>
        <v>0</v>
      </c>
      <c r="V61" s="227">
        <f>IFERROR((W60/12)/U60,0)</f>
        <v>0</v>
      </c>
      <c r="W61" s="228"/>
      <c r="X61" s="297"/>
      <c r="Y61" s="10" t="s">
        <v>77</v>
      </c>
      <c r="Z61" s="224"/>
      <c r="AA61" s="11">
        <f>IFERROR(AA60/Z60,0)</f>
        <v>0</v>
      </c>
      <c r="AB61" s="227">
        <f>IFERROR((AC60/12)/AA60,0)</f>
        <v>0</v>
      </c>
      <c r="AC61" s="228"/>
    </row>
    <row r="62" spans="1:29" ht="15" customHeight="1">
      <c r="A62" s="301" t="s">
        <v>312</v>
      </c>
      <c r="B62" s="302" t="str">
        <f>B$37</f>
        <v>-</v>
      </c>
      <c r="C62" s="510" t="s">
        <v>298</v>
      </c>
      <c r="D62" s="308">
        <f>D$37*E$62</f>
        <v>0</v>
      </c>
      <c r="E62" s="303">
        <f>Assumptions!$C$44</f>
        <v>0.75</v>
      </c>
      <c r="F62" s="211"/>
      <c r="G62" s="301" t="s">
        <v>312</v>
      </c>
      <c r="H62" s="302" t="str">
        <f>H$37</f>
        <v>-</v>
      </c>
      <c r="I62" s="510" t="s">
        <v>298</v>
      </c>
      <c r="J62" s="308">
        <f>J$37*K$62</f>
        <v>0</v>
      </c>
      <c r="K62" s="303">
        <f>Assumptions!$C$44</f>
        <v>0.75</v>
      </c>
      <c r="L62" s="216"/>
      <c r="M62" s="301" t="s">
        <v>312</v>
      </c>
      <c r="N62" s="302" t="str">
        <f>N$37</f>
        <v>-</v>
      </c>
      <c r="O62" s="510" t="s">
        <v>298</v>
      </c>
      <c r="P62" s="308">
        <f>P$37*Q$62</f>
        <v>0</v>
      </c>
      <c r="Q62" s="303">
        <f>Assumptions!$C$44</f>
        <v>0.75</v>
      </c>
      <c r="R62" s="216"/>
      <c r="S62" s="301" t="s">
        <v>312</v>
      </c>
      <c r="T62" s="302" t="str">
        <f>T$37</f>
        <v>-</v>
      </c>
      <c r="U62" s="510" t="s">
        <v>298</v>
      </c>
      <c r="V62" s="308">
        <f>V$37*W$62</f>
        <v>0</v>
      </c>
      <c r="W62" s="303">
        <f>Assumptions!$C$44</f>
        <v>0.75</v>
      </c>
      <c r="X62" s="297"/>
      <c r="Y62" s="301" t="s">
        <v>312</v>
      </c>
      <c r="Z62" s="302" t="str">
        <f>Z$37</f>
        <v>-</v>
      </c>
      <c r="AA62" s="510" t="s">
        <v>298</v>
      </c>
      <c r="AB62" s="308">
        <f>AB$37*AC$62</f>
        <v>0</v>
      </c>
      <c r="AC62" s="303">
        <f>Assumptions!$C$44</f>
        <v>0.75</v>
      </c>
    </row>
    <row r="63" spans="1:29" ht="15" customHeight="1">
      <c r="A63" s="301" t="s">
        <v>241</v>
      </c>
      <c r="B63" s="458">
        <v>0</v>
      </c>
      <c r="C63" s="310" t="str">
        <f>IF(C69&gt;D62,"# of Units Over Available Area","# of Units Within Available Area")</f>
        <v># of Units Within Available Area</v>
      </c>
      <c r="D63" s="309" t="s">
        <v>68</v>
      </c>
      <c r="E63" s="325">
        <v>0</v>
      </c>
      <c r="F63" s="211"/>
      <c r="G63" s="301" t="s">
        <v>241</v>
      </c>
      <c r="H63" s="458">
        <v>0</v>
      </c>
      <c r="I63" s="310" t="str">
        <f>IF(I69&gt;J62,"# of Units Over Available Area","# of Units Within Available Area")</f>
        <v># of Units Within Available Area</v>
      </c>
      <c r="J63" s="309" t="s">
        <v>68</v>
      </c>
      <c r="K63" s="325">
        <v>0</v>
      </c>
      <c r="L63" s="216"/>
      <c r="M63" s="301" t="s">
        <v>241</v>
      </c>
      <c r="N63" s="458">
        <v>0</v>
      </c>
      <c r="O63" s="310" t="str">
        <f>IF(O69&gt;P62,"# of Units Over Available Area","# of Units Within Available Area")</f>
        <v># of Units Within Available Area</v>
      </c>
      <c r="P63" s="309" t="s">
        <v>68</v>
      </c>
      <c r="Q63" s="325">
        <v>0</v>
      </c>
      <c r="R63" s="216"/>
      <c r="S63" s="301" t="s">
        <v>241</v>
      </c>
      <c r="T63" s="458">
        <v>0</v>
      </c>
      <c r="U63" s="310" t="str">
        <f>IF(U69&gt;V62,"# of Units Over Available Area","# of Units Within Available Area")</f>
        <v># of Units Within Available Area</v>
      </c>
      <c r="V63" s="309" t="s">
        <v>68</v>
      </c>
      <c r="W63" s="325">
        <v>0</v>
      </c>
      <c r="X63" s="297"/>
      <c r="Y63" s="301" t="s">
        <v>241</v>
      </c>
      <c r="Z63" s="458">
        <v>0</v>
      </c>
      <c r="AA63" s="310" t="str">
        <f>IF(AA69&gt;AB62,"# of Units Over Available Area","# of Units Within Available Area")</f>
        <v># of Units Within Available Area</v>
      </c>
      <c r="AB63" s="309" t="s">
        <v>68</v>
      </c>
      <c r="AC63" s="325">
        <v>0</v>
      </c>
    </row>
    <row r="64" spans="1:29" ht="15" customHeight="1">
      <c r="A64" s="304" t="s">
        <v>230</v>
      </c>
      <c r="B64" s="305" t="s">
        <v>69</v>
      </c>
      <c r="C64" s="306" t="s">
        <v>296</v>
      </c>
      <c r="D64" s="305" t="s">
        <v>70</v>
      </c>
      <c r="E64" s="307" t="s">
        <v>297</v>
      </c>
      <c r="F64" s="211"/>
      <c r="G64" s="304" t="s">
        <v>230</v>
      </c>
      <c r="H64" s="305" t="s">
        <v>69</v>
      </c>
      <c r="I64" s="306" t="s">
        <v>296</v>
      </c>
      <c r="J64" s="305" t="s">
        <v>70</v>
      </c>
      <c r="K64" s="307" t="s">
        <v>297</v>
      </c>
      <c r="L64" s="216"/>
      <c r="M64" s="304" t="s">
        <v>230</v>
      </c>
      <c r="N64" s="305" t="s">
        <v>69</v>
      </c>
      <c r="O64" s="306" t="s">
        <v>296</v>
      </c>
      <c r="P64" s="305" t="s">
        <v>70</v>
      </c>
      <c r="Q64" s="307" t="s">
        <v>297</v>
      </c>
      <c r="R64" s="216"/>
      <c r="S64" s="304" t="s">
        <v>230</v>
      </c>
      <c r="T64" s="305" t="s">
        <v>69</v>
      </c>
      <c r="U64" s="306" t="s">
        <v>296</v>
      </c>
      <c r="V64" s="305" t="s">
        <v>70</v>
      </c>
      <c r="W64" s="307" t="s">
        <v>297</v>
      </c>
      <c r="X64" s="297"/>
      <c r="Y64" s="304" t="s">
        <v>230</v>
      </c>
      <c r="Z64" s="305" t="s">
        <v>69</v>
      </c>
      <c r="AA64" s="306" t="s">
        <v>296</v>
      </c>
      <c r="AB64" s="305" t="s">
        <v>70</v>
      </c>
      <c r="AC64" s="307" t="s">
        <v>297</v>
      </c>
    </row>
    <row r="65" spans="1:29" ht="15" customHeight="1">
      <c r="A65" s="109" t="s">
        <v>72</v>
      </c>
      <c r="B65" s="255">
        <f>B$63*INDEX(Assumptions!$C$52:$C$55,MATCH(A65,Assumptions!$A$52:$A$55,0))</f>
        <v>0</v>
      </c>
      <c r="C65" s="110">
        <f>Assumptions!$C$6</f>
        <v>504</v>
      </c>
      <c r="D65" s="196">
        <f>Assumptions!$C$20*(1+E$63)</f>
        <v>1.8829365079365079</v>
      </c>
      <c r="E65" s="197">
        <f>12*B65*C65*D65</f>
        <v>0</v>
      </c>
      <c r="F65" s="211"/>
      <c r="G65" s="109" t="s">
        <v>72</v>
      </c>
      <c r="H65" s="255">
        <f>H$63*INDEX(Assumptions!$C$52:$C$55,MATCH(G65,Assumptions!$A$52:$A$55,0))</f>
        <v>0</v>
      </c>
      <c r="I65" s="110">
        <f>Assumptions!$C$6</f>
        <v>504</v>
      </c>
      <c r="J65" s="196">
        <f>Assumptions!$C$20*(1+K$63)</f>
        <v>1.8829365079365079</v>
      </c>
      <c r="K65" s="197">
        <f>12*H65*I65*J65</f>
        <v>0</v>
      </c>
      <c r="L65" s="216"/>
      <c r="M65" s="109" t="s">
        <v>72</v>
      </c>
      <c r="N65" s="255">
        <f>N$63*INDEX(Assumptions!$C$52:$C$55,MATCH(M65,Assumptions!$A$52:$A$55,0))</f>
        <v>0</v>
      </c>
      <c r="O65" s="110">
        <f>Assumptions!$C$6</f>
        <v>504</v>
      </c>
      <c r="P65" s="196">
        <f>Assumptions!$C$20*(1+Q$63)</f>
        <v>1.8829365079365079</v>
      </c>
      <c r="Q65" s="197">
        <f>12*N65*O65*P65</f>
        <v>0</v>
      </c>
      <c r="R65" s="216"/>
      <c r="S65" s="109" t="s">
        <v>72</v>
      </c>
      <c r="T65" s="255">
        <f>T$63*INDEX(Assumptions!$C$52:$C$55,MATCH(S65,Assumptions!$A$52:$A$55,0))</f>
        <v>0</v>
      </c>
      <c r="U65" s="110">
        <f>Assumptions!$C$6</f>
        <v>504</v>
      </c>
      <c r="V65" s="196">
        <f>Assumptions!$C$20*(1+W$63)</f>
        <v>1.8829365079365079</v>
      </c>
      <c r="W65" s="197">
        <f>12*T65*U65*V65</f>
        <v>0</v>
      </c>
      <c r="X65" s="297"/>
      <c r="Y65" s="109" t="s">
        <v>72</v>
      </c>
      <c r="Z65" s="255">
        <f>Z$63*INDEX(Assumptions!$C$52:$C$55,MATCH(Y65,Assumptions!$A$52:$A$55,0))</f>
        <v>0</v>
      </c>
      <c r="AA65" s="110">
        <f>Assumptions!$C$6</f>
        <v>504</v>
      </c>
      <c r="AB65" s="196">
        <f>Assumptions!$C$20*(1+AC$63)</f>
        <v>1.8829365079365079</v>
      </c>
      <c r="AC65" s="197">
        <f>12*Z65*AA65*AB65</f>
        <v>0</v>
      </c>
    </row>
    <row r="66" spans="1:29" ht="15" customHeight="1">
      <c r="A66" s="106" t="s">
        <v>73</v>
      </c>
      <c r="B66" s="255">
        <f>B$63*INDEX(Assumptions!$C$52:$C$55,MATCH(A66,Assumptions!$A$52:$A$55,0))</f>
        <v>0</v>
      </c>
      <c r="C66" s="107">
        <f>Assumptions!$C$9</f>
        <v>768.77777777777783</v>
      </c>
      <c r="D66" s="108">
        <f>Assumptions!$C$23*(1+E$63)</f>
        <v>1.4035265211735799</v>
      </c>
      <c r="E66" s="190">
        <f>12*B66*C66*D66</f>
        <v>0</v>
      </c>
      <c r="F66" s="211"/>
      <c r="G66" s="106" t="s">
        <v>73</v>
      </c>
      <c r="H66" s="255">
        <f>H$63*INDEX(Assumptions!$C$52:$C$55,MATCH(G66,Assumptions!$A$52:$A$55,0))</f>
        <v>0</v>
      </c>
      <c r="I66" s="107">
        <f>Assumptions!$C$9</f>
        <v>768.77777777777783</v>
      </c>
      <c r="J66" s="108">
        <f>Assumptions!$C$23*(1+K$63)</f>
        <v>1.4035265211735799</v>
      </c>
      <c r="K66" s="190">
        <f>12*H66*I66*J66</f>
        <v>0</v>
      </c>
      <c r="L66" s="216"/>
      <c r="M66" s="106" t="s">
        <v>73</v>
      </c>
      <c r="N66" s="255">
        <f>N$63*INDEX(Assumptions!$C$52:$C$55,MATCH(M66,Assumptions!$A$52:$A$55,0))</f>
        <v>0</v>
      </c>
      <c r="O66" s="107">
        <f>Assumptions!$C$9</f>
        <v>768.77777777777783</v>
      </c>
      <c r="P66" s="108">
        <f>Assumptions!$C$23*(1+Q$63)</f>
        <v>1.4035265211735799</v>
      </c>
      <c r="Q66" s="190">
        <f>12*N66*O66*P66</f>
        <v>0</v>
      </c>
      <c r="R66" s="216"/>
      <c r="S66" s="106" t="s">
        <v>73</v>
      </c>
      <c r="T66" s="255">
        <f>T$63*INDEX(Assumptions!$C$52:$C$55,MATCH(S66,Assumptions!$A$52:$A$55,0))</f>
        <v>0</v>
      </c>
      <c r="U66" s="107">
        <f>Assumptions!$C$9</f>
        <v>768.77777777777783</v>
      </c>
      <c r="V66" s="108">
        <f>Assumptions!$C$23*(1+W$63)</f>
        <v>1.4035265211735799</v>
      </c>
      <c r="W66" s="190">
        <f>12*T66*U66*V66</f>
        <v>0</v>
      </c>
      <c r="X66" s="297"/>
      <c r="Y66" s="106" t="s">
        <v>73</v>
      </c>
      <c r="Z66" s="255">
        <f>Z$63*INDEX(Assumptions!$C$52:$C$55,MATCH(Y66,Assumptions!$A$52:$A$55,0))</f>
        <v>0</v>
      </c>
      <c r="AA66" s="107">
        <f>Assumptions!$C$9</f>
        <v>768.77777777777783</v>
      </c>
      <c r="AB66" s="108">
        <f>Assumptions!$C$23*(1+AC$63)</f>
        <v>1.4035265211735799</v>
      </c>
      <c r="AC66" s="190">
        <f>12*Z66*AA66*AB66</f>
        <v>0</v>
      </c>
    </row>
    <row r="67" spans="1:29" ht="15" customHeight="1">
      <c r="A67" s="109" t="s">
        <v>74</v>
      </c>
      <c r="B67" s="255">
        <f>B$63*INDEX(Assumptions!$C$52:$C$55,MATCH(A67,Assumptions!$A$52:$A$55,0))</f>
        <v>0</v>
      </c>
      <c r="C67" s="110">
        <f>Assumptions!$C$12</f>
        <v>1181.7777777777778</v>
      </c>
      <c r="D67" s="108">
        <f>Assumptions!$C$26*(1+E$63)</f>
        <v>1.1000376081233545</v>
      </c>
      <c r="E67" s="190">
        <f t="shared" ref="E67" si="6">12*B67*C67*D67</f>
        <v>0</v>
      </c>
      <c r="F67" s="211"/>
      <c r="G67" s="109" t="s">
        <v>74</v>
      </c>
      <c r="H67" s="255">
        <f>H$63*INDEX(Assumptions!$C$52:$C$55,MATCH(G67,Assumptions!$A$52:$A$55,0))</f>
        <v>0</v>
      </c>
      <c r="I67" s="110">
        <f>Assumptions!$C$12</f>
        <v>1181.7777777777778</v>
      </c>
      <c r="J67" s="108">
        <f>Assumptions!$C$26*(1+K$63)</f>
        <v>1.1000376081233545</v>
      </c>
      <c r="K67" s="190">
        <f t="shared" ref="K67" si="7">12*H67*I67*J67</f>
        <v>0</v>
      </c>
      <c r="L67" s="216"/>
      <c r="M67" s="109" t="s">
        <v>74</v>
      </c>
      <c r="N67" s="255">
        <f>N$63*INDEX(Assumptions!$C$52:$C$55,MATCH(M67,Assumptions!$A$52:$A$55,0))</f>
        <v>0</v>
      </c>
      <c r="O67" s="110">
        <f>Assumptions!$C$12</f>
        <v>1181.7777777777778</v>
      </c>
      <c r="P67" s="108">
        <f>Assumptions!$C$26*(1+Q$63)</f>
        <v>1.1000376081233545</v>
      </c>
      <c r="Q67" s="190">
        <f t="shared" ref="Q67" si="8">12*N67*O67*P67</f>
        <v>0</v>
      </c>
      <c r="R67" s="216"/>
      <c r="S67" s="109" t="s">
        <v>74</v>
      </c>
      <c r="T67" s="255">
        <f>T$63*INDEX(Assumptions!$C$52:$C$55,MATCH(S67,Assumptions!$A$52:$A$55,0))</f>
        <v>0</v>
      </c>
      <c r="U67" s="110">
        <f>Assumptions!$C$12</f>
        <v>1181.7777777777778</v>
      </c>
      <c r="V67" s="108">
        <f>Assumptions!$C$26*(1+W$63)</f>
        <v>1.1000376081233545</v>
      </c>
      <c r="W67" s="190">
        <f t="shared" ref="W67" si="9">12*T67*U67*V67</f>
        <v>0</v>
      </c>
      <c r="X67" s="297"/>
      <c r="Y67" s="109" t="s">
        <v>74</v>
      </c>
      <c r="Z67" s="255">
        <f>Z$63*INDEX(Assumptions!$C$52:$C$55,MATCH(Y67,Assumptions!$A$52:$A$55,0))</f>
        <v>0</v>
      </c>
      <c r="AA67" s="110">
        <f>Assumptions!$C$12</f>
        <v>1181.7777777777778</v>
      </c>
      <c r="AB67" s="108">
        <f>Assumptions!$C$26*(1+AC$63)</f>
        <v>1.1000376081233545</v>
      </c>
      <c r="AC67" s="190">
        <f t="shared" ref="AC67" si="10">12*Z67*AA67*AB67</f>
        <v>0</v>
      </c>
    </row>
    <row r="68" spans="1:29" ht="15" customHeight="1" thickBot="1">
      <c r="A68" s="109" t="s">
        <v>75</v>
      </c>
      <c r="B68" s="255">
        <f>B$63*INDEX(Assumptions!$C$52:$C$55,MATCH(A68,Assumptions!$A$52:$A$55,0))</f>
        <v>0</v>
      </c>
      <c r="C68" s="107">
        <f>Assumptions!$C$15</f>
        <v>2056</v>
      </c>
      <c r="D68" s="108">
        <f>Assumptions!$C$29*(1+E$63)</f>
        <v>0.82198443579766534</v>
      </c>
      <c r="E68" s="190">
        <f>12*B68*C68*D68</f>
        <v>0</v>
      </c>
      <c r="F68" s="211"/>
      <c r="G68" s="109" t="s">
        <v>75</v>
      </c>
      <c r="H68" s="255">
        <f>H$63*INDEX(Assumptions!$C$52:$C$55,MATCH(G68,Assumptions!$A$52:$A$55,0))</f>
        <v>0</v>
      </c>
      <c r="I68" s="107">
        <f>Assumptions!$C$15</f>
        <v>2056</v>
      </c>
      <c r="J68" s="108">
        <f>Assumptions!$C$29*(1+K$63)</f>
        <v>0.82198443579766534</v>
      </c>
      <c r="K68" s="190">
        <f>12*H68*I68*J68</f>
        <v>0</v>
      </c>
      <c r="L68" s="216"/>
      <c r="M68" s="109" t="s">
        <v>75</v>
      </c>
      <c r="N68" s="255">
        <f>N$63*INDEX(Assumptions!$C$52:$C$55,MATCH(M68,Assumptions!$A$52:$A$55,0))</f>
        <v>0</v>
      </c>
      <c r="O68" s="107">
        <f>Assumptions!$C$15</f>
        <v>2056</v>
      </c>
      <c r="P68" s="108">
        <f>Assumptions!$C$29*(1+Q$63)</f>
        <v>0.82198443579766534</v>
      </c>
      <c r="Q68" s="190">
        <f>12*N68*O68*P68</f>
        <v>0</v>
      </c>
      <c r="R68" s="216"/>
      <c r="S68" s="109" t="s">
        <v>75</v>
      </c>
      <c r="T68" s="255">
        <f>T$63*INDEX(Assumptions!$C$52:$C$55,MATCH(S68,Assumptions!$A$52:$A$55,0))</f>
        <v>0</v>
      </c>
      <c r="U68" s="107">
        <f>Assumptions!$C$15</f>
        <v>2056</v>
      </c>
      <c r="V68" s="108">
        <f>Assumptions!$C$29*(1+W$63)</f>
        <v>0.82198443579766534</v>
      </c>
      <c r="W68" s="190">
        <f>12*T68*U68*V68</f>
        <v>0</v>
      </c>
      <c r="X68" s="297"/>
      <c r="Y68" s="109" t="s">
        <v>75</v>
      </c>
      <c r="Z68" s="255">
        <f>Z$63*INDEX(Assumptions!$C$52:$C$55,MATCH(Y68,Assumptions!$A$52:$A$55,0))</f>
        <v>0</v>
      </c>
      <c r="AA68" s="107">
        <f>Assumptions!$C$15</f>
        <v>2056</v>
      </c>
      <c r="AB68" s="108">
        <f>Assumptions!$C$29*(1+AC$63)</f>
        <v>0.82198443579766534</v>
      </c>
      <c r="AC68" s="190">
        <f>12*Z68*AA68*AB68</f>
        <v>0</v>
      </c>
    </row>
    <row r="69" spans="1:29" ht="15" customHeight="1" thickTop="1" thickBot="1">
      <c r="A69" s="7" t="s">
        <v>76</v>
      </c>
      <c r="B69" s="8">
        <f>SUM(B65:B68)</f>
        <v>0</v>
      </c>
      <c r="C69" s="9">
        <f>SUMPRODUCT(B65:B68,C65:C68)</f>
        <v>0</v>
      </c>
      <c r="D69" s="225"/>
      <c r="E69" s="226">
        <f>SUM(E65:E68)</f>
        <v>0</v>
      </c>
      <c r="F69" s="211"/>
      <c r="G69" s="7" t="s">
        <v>76</v>
      </c>
      <c r="H69" s="8">
        <f>SUM(H65:H68)</f>
        <v>0</v>
      </c>
      <c r="I69" s="9">
        <f>SUMPRODUCT(H65:H68,I65:I68)</f>
        <v>0</v>
      </c>
      <c r="J69" s="225"/>
      <c r="K69" s="226">
        <f>SUM(K65:K68)</f>
        <v>0</v>
      </c>
      <c r="L69" s="216"/>
      <c r="M69" s="7" t="s">
        <v>76</v>
      </c>
      <c r="N69" s="8">
        <f>SUM(N65:N68)</f>
        <v>0</v>
      </c>
      <c r="O69" s="9">
        <f>SUMPRODUCT(N65:N68,O65:O68)</f>
        <v>0</v>
      </c>
      <c r="P69" s="225"/>
      <c r="Q69" s="226">
        <f>SUM(Q65:Q68)</f>
        <v>0</v>
      </c>
      <c r="R69" s="216"/>
      <c r="S69" s="7" t="s">
        <v>76</v>
      </c>
      <c r="T69" s="8">
        <f>SUM(T65:T68)</f>
        <v>0</v>
      </c>
      <c r="U69" s="9">
        <f>SUMPRODUCT(T65:T68,U65:U68)</f>
        <v>0</v>
      </c>
      <c r="V69" s="225"/>
      <c r="W69" s="226">
        <f>SUM(W65:W68)</f>
        <v>0</v>
      </c>
      <c r="X69" s="297"/>
      <c r="Y69" s="7" t="s">
        <v>76</v>
      </c>
      <c r="Z69" s="8">
        <f>SUM(Z65:Z68)</f>
        <v>0</v>
      </c>
      <c r="AA69" s="9">
        <f>SUMPRODUCT(Z65:Z68,AA65:AA68)</f>
        <v>0</v>
      </c>
      <c r="AB69" s="225"/>
      <c r="AC69" s="226">
        <f>SUM(AC65:AC68)</f>
        <v>0</v>
      </c>
    </row>
    <row r="70" spans="1:29" ht="15" customHeight="1" thickTop="1" thickBot="1">
      <c r="A70" s="10" t="s">
        <v>77</v>
      </c>
      <c r="B70" s="224"/>
      <c r="C70" s="11">
        <f>IFERROR(C69/B69,0)</f>
        <v>0</v>
      </c>
      <c r="D70" s="227">
        <f>IFERROR((E69/12)/C69,0)</f>
        <v>0</v>
      </c>
      <c r="E70" s="228"/>
      <c r="F70" s="211"/>
      <c r="G70" s="10" t="s">
        <v>77</v>
      </c>
      <c r="H70" s="224"/>
      <c r="I70" s="11">
        <f>IFERROR(I69/H69,0)</f>
        <v>0</v>
      </c>
      <c r="J70" s="227">
        <f>IFERROR((K69/12)/I69,0)</f>
        <v>0</v>
      </c>
      <c r="K70" s="228"/>
      <c r="L70" s="216"/>
      <c r="M70" s="10" t="s">
        <v>77</v>
      </c>
      <c r="N70" s="224"/>
      <c r="O70" s="11">
        <f>IFERROR(O69/N69,0)</f>
        <v>0</v>
      </c>
      <c r="P70" s="227">
        <f>IFERROR((Q69/12)/O69,0)</f>
        <v>0</v>
      </c>
      <c r="Q70" s="228"/>
      <c r="R70" s="216"/>
      <c r="S70" s="10" t="s">
        <v>77</v>
      </c>
      <c r="T70" s="224"/>
      <c r="U70" s="11">
        <f>IFERROR(U69/T69,0)</f>
        <v>0</v>
      </c>
      <c r="V70" s="227">
        <f>IFERROR((W69/12)/U69,0)</f>
        <v>0</v>
      </c>
      <c r="W70" s="228"/>
      <c r="X70" s="297"/>
      <c r="Y70" s="10" t="s">
        <v>77</v>
      </c>
      <c r="Z70" s="224"/>
      <c r="AA70" s="11">
        <f>IFERROR(AA69/Z69,0)</f>
        <v>0</v>
      </c>
      <c r="AB70" s="227">
        <f>IFERROR((AC69/12)/AA69,0)</f>
        <v>0</v>
      </c>
      <c r="AC70" s="228"/>
    </row>
    <row r="71" spans="1:29" ht="15" customHeight="1">
      <c r="A71" s="301" t="s">
        <v>343</v>
      </c>
      <c r="B71" s="302" t="str">
        <f>B$38</f>
        <v>-</v>
      </c>
      <c r="C71" s="510" t="s">
        <v>348</v>
      </c>
      <c r="D71" s="308">
        <f>D$38*E$71</f>
        <v>0</v>
      </c>
      <c r="E71" s="303">
        <f>Assumptions!$C$44</f>
        <v>0.75</v>
      </c>
      <c r="F71" s="211"/>
      <c r="G71" s="301" t="s">
        <v>343</v>
      </c>
      <c r="H71" s="302" t="str">
        <f>H$38</f>
        <v>-</v>
      </c>
      <c r="I71" s="510" t="s">
        <v>348</v>
      </c>
      <c r="J71" s="308">
        <f>J$38*K$71</f>
        <v>0</v>
      </c>
      <c r="K71" s="303">
        <f>Assumptions!$C$44</f>
        <v>0.75</v>
      </c>
      <c r="L71" s="216"/>
      <c r="M71" s="301" t="s">
        <v>343</v>
      </c>
      <c r="N71" s="302" t="str">
        <f>N$38</f>
        <v>-</v>
      </c>
      <c r="O71" s="510" t="s">
        <v>348</v>
      </c>
      <c r="P71" s="308">
        <f>P$38*Q$71</f>
        <v>0</v>
      </c>
      <c r="Q71" s="303">
        <f>Assumptions!$C$44</f>
        <v>0.75</v>
      </c>
      <c r="R71" s="216"/>
      <c r="S71" s="301" t="s">
        <v>343</v>
      </c>
      <c r="T71" s="302" t="str">
        <f>T$38</f>
        <v>-</v>
      </c>
      <c r="U71" s="510" t="s">
        <v>348</v>
      </c>
      <c r="V71" s="308">
        <f>V$38*W$71</f>
        <v>0</v>
      </c>
      <c r="W71" s="303">
        <f>Assumptions!$C$44</f>
        <v>0.75</v>
      </c>
      <c r="X71" s="297"/>
      <c r="Y71" s="301" t="s">
        <v>343</v>
      </c>
      <c r="Z71" s="302" t="str">
        <f>Z$38</f>
        <v>-</v>
      </c>
      <c r="AA71" s="510" t="s">
        <v>348</v>
      </c>
      <c r="AB71" s="308">
        <f>AB$38*AC$71</f>
        <v>0</v>
      </c>
      <c r="AC71" s="303">
        <f>Assumptions!$C$44</f>
        <v>0.75</v>
      </c>
    </row>
    <row r="72" spans="1:29" ht="15" customHeight="1">
      <c r="A72" s="301" t="s">
        <v>241</v>
      </c>
      <c r="B72" s="458">
        <v>0</v>
      </c>
      <c r="C72" s="310" t="str">
        <f>IF(C76&gt;D71,"# of Units Over Available Area","# of Units Within Available Area")</f>
        <v># of Units Within Available Area</v>
      </c>
      <c r="D72" s="456"/>
      <c r="E72" s="457"/>
      <c r="F72" s="211"/>
      <c r="G72" s="301" t="s">
        <v>241</v>
      </c>
      <c r="H72" s="458">
        <v>0</v>
      </c>
      <c r="I72" s="310" t="str">
        <f>IF(I76&gt;J71,"# of Units Over Available Area","# of Units Within Available Area")</f>
        <v># of Units Within Available Area</v>
      </c>
      <c r="J72" s="456"/>
      <c r="K72" s="457"/>
      <c r="L72" s="216"/>
      <c r="M72" s="301" t="s">
        <v>241</v>
      </c>
      <c r="N72" s="458">
        <v>0</v>
      </c>
      <c r="O72" s="310" t="str">
        <f>IF(O76&gt;P71,"# of Units Over Available Area","# of Units Within Available Area")</f>
        <v># of Units Within Available Area</v>
      </c>
      <c r="P72" s="456"/>
      <c r="Q72" s="457"/>
      <c r="R72" s="216"/>
      <c r="S72" s="301" t="s">
        <v>241</v>
      </c>
      <c r="T72" s="458">
        <v>0</v>
      </c>
      <c r="U72" s="310" t="str">
        <f>IF(U76&gt;V71,"# of Units Over Available Area","# of Units Within Available Area")</f>
        <v># of Units Within Available Area</v>
      </c>
      <c r="V72" s="456"/>
      <c r="W72" s="457"/>
      <c r="X72" s="297"/>
      <c r="Y72" s="301" t="s">
        <v>241</v>
      </c>
      <c r="Z72" s="458">
        <v>0</v>
      </c>
      <c r="AA72" s="310" t="str">
        <f>IF(AA76&gt;AB71,"# of Units Over Available Area","# of Units Within Available Area")</f>
        <v># of Units Within Available Area</v>
      </c>
      <c r="AB72" s="456"/>
      <c r="AC72" s="457"/>
    </row>
    <row r="73" spans="1:29" ht="15" customHeight="1">
      <c r="A73" s="304" t="s">
        <v>230</v>
      </c>
      <c r="B73" s="305" t="s">
        <v>69</v>
      </c>
      <c r="C73" s="306" t="s">
        <v>345</v>
      </c>
      <c r="D73" s="305" t="s">
        <v>346</v>
      </c>
      <c r="E73" s="307" t="s">
        <v>347</v>
      </c>
      <c r="F73" s="211"/>
      <c r="G73" s="304" t="s">
        <v>230</v>
      </c>
      <c r="H73" s="305" t="s">
        <v>69</v>
      </c>
      <c r="I73" s="306" t="s">
        <v>345</v>
      </c>
      <c r="J73" s="305" t="s">
        <v>346</v>
      </c>
      <c r="K73" s="307" t="s">
        <v>347</v>
      </c>
      <c r="L73" s="216"/>
      <c r="M73" s="304" t="s">
        <v>230</v>
      </c>
      <c r="N73" s="305" t="s">
        <v>69</v>
      </c>
      <c r="O73" s="306" t="s">
        <v>345</v>
      </c>
      <c r="P73" s="305" t="s">
        <v>346</v>
      </c>
      <c r="Q73" s="307" t="s">
        <v>347</v>
      </c>
      <c r="R73" s="216"/>
      <c r="S73" s="304" t="s">
        <v>230</v>
      </c>
      <c r="T73" s="305" t="s">
        <v>69</v>
      </c>
      <c r="U73" s="306" t="s">
        <v>345</v>
      </c>
      <c r="V73" s="305" t="s">
        <v>346</v>
      </c>
      <c r="W73" s="307" t="s">
        <v>347</v>
      </c>
      <c r="X73" s="297"/>
      <c r="Y73" s="304" t="s">
        <v>230</v>
      </c>
      <c r="Z73" s="305" t="s">
        <v>69</v>
      </c>
      <c r="AA73" s="306" t="s">
        <v>345</v>
      </c>
      <c r="AB73" s="305" t="s">
        <v>346</v>
      </c>
      <c r="AC73" s="307" t="s">
        <v>347</v>
      </c>
    </row>
    <row r="74" spans="1:29" ht="15" customHeight="1">
      <c r="A74" s="109" t="s">
        <v>73</v>
      </c>
      <c r="B74" s="255">
        <f>B$72*INDEX(Assumptions!$C$61:$C$62,MATCH(A74,Assumptions!$A$61:$A$62,0))</f>
        <v>0</v>
      </c>
      <c r="C74" s="110">
        <f>Assumptions!$C$9</f>
        <v>768.77777777777783</v>
      </c>
      <c r="D74" s="108">
        <f>Assumptions!$D$23</f>
        <v>750</v>
      </c>
      <c r="E74" s="190">
        <f>B74*C74*D74</f>
        <v>0</v>
      </c>
      <c r="F74" s="211"/>
      <c r="G74" s="109" t="s">
        <v>73</v>
      </c>
      <c r="H74" s="255">
        <f>H$72*INDEX(Assumptions!$C$61:$C$62,MATCH(G74,Assumptions!$A$61:$A$62,0))</f>
        <v>0</v>
      </c>
      <c r="I74" s="110">
        <f>Assumptions!$C$9</f>
        <v>768.77777777777783</v>
      </c>
      <c r="J74" s="108">
        <f>Assumptions!$D$23</f>
        <v>750</v>
      </c>
      <c r="K74" s="190">
        <f>H74*I74*J74</f>
        <v>0</v>
      </c>
      <c r="L74" s="216"/>
      <c r="M74" s="109" t="s">
        <v>73</v>
      </c>
      <c r="N74" s="255">
        <f>N$72*INDEX(Assumptions!$C$61:$C$62,MATCH(M74,Assumptions!$A$61:$A$62,0))</f>
        <v>0</v>
      </c>
      <c r="O74" s="110">
        <f>Assumptions!$C$9</f>
        <v>768.77777777777783</v>
      </c>
      <c r="P74" s="108">
        <f>Assumptions!$D$23</f>
        <v>750</v>
      </c>
      <c r="Q74" s="190">
        <f>N74*O74*P74</f>
        <v>0</v>
      </c>
      <c r="R74" s="216"/>
      <c r="S74" s="109" t="s">
        <v>73</v>
      </c>
      <c r="T74" s="255">
        <f>T$72*INDEX(Assumptions!$C$61:$C$62,MATCH(S74,Assumptions!$A$61:$A$62,0))</f>
        <v>0</v>
      </c>
      <c r="U74" s="110">
        <f>Assumptions!$C$9</f>
        <v>768.77777777777783</v>
      </c>
      <c r="V74" s="108">
        <f>Assumptions!$D$23</f>
        <v>750</v>
      </c>
      <c r="W74" s="190">
        <f>T74*U74*V74</f>
        <v>0</v>
      </c>
      <c r="X74" s="210"/>
      <c r="Y74" s="109" t="s">
        <v>73</v>
      </c>
      <c r="Z74" s="255">
        <f>Z$72*INDEX(Assumptions!$C$61:$C$62,MATCH(Y74,Assumptions!$A$61:$A$62,0))</f>
        <v>0</v>
      </c>
      <c r="AA74" s="110">
        <f>Assumptions!$C$9</f>
        <v>768.77777777777783</v>
      </c>
      <c r="AB74" s="108">
        <f>Assumptions!$D$23</f>
        <v>750</v>
      </c>
      <c r="AC74" s="190">
        <f>Z74*AA74*AB74</f>
        <v>0</v>
      </c>
    </row>
    <row r="75" spans="1:29" ht="15" customHeight="1" thickBot="1">
      <c r="A75" s="109" t="s">
        <v>74</v>
      </c>
      <c r="B75" s="255">
        <f>B$72*INDEX(Assumptions!$C$61:$C$62,MATCH(A75,Assumptions!$A$61:$A$62,0))</f>
        <v>0</v>
      </c>
      <c r="C75" s="107">
        <f>Assumptions!$C$12</f>
        <v>1181.7777777777778</v>
      </c>
      <c r="D75" s="108">
        <f>Assumptions!$D$26</f>
        <v>650</v>
      </c>
      <c r="E75" s="190">
        <f>B75*C75*D75</f>
        <v>0</v>
      </c>
      <c r="F75" s="211"/>
      <c r="G75" s="109" t="s">
        <v>74</v>
      </c>
      <c r="H75" s="255">
        <f>H$72*INDEX(Assumptions!$C$61:$C$62,MATCH(G75,Assumptions!$A$61:$A$62,0))</f>
        <v>0</v>
      </c>
      <c r="I75" s="107">
        <f>Assumptions!$C$12</f>
        <v>1181.7777777777778</v>
      </c>
      <c r="J75" s="108">
        <f>Assumptions!$D$26</f>
        <v>650</v>
      </c>
      <c r="K75" s="190">
        <f>H75*I75*J75</f>
        <v>0</v>
      </c>
      <c r="L75" s="216"/>
      <c r="M75" s="109" t="s">
        <v>74</v>
      </c>
      <c r="N75" s="255">
        <f>N$72*INDEX(Assumptions!$C$61:$C$62,MATCH(M75,Assumptions!$A$61:$A$62,0))</f>
        <v>0</v>
      </c>
      <c r="O75" s="107">
        <f>Assumptions!$C$12</f>
        <v>1181.7777777777778</v>
      </c>
      <c r="P75" s="108">
        <f>Assumptions!$D$26</f>
        <v>650</v>
      </c>
      <c r="Q75" s="190">
        <f>N75*O75*P75</f>
        <v>0</v>
      </c>
      <c r="R75" s="216"/>
      <c r="S75" s="109" t="s">
        <v>74</v>
      </c>
      <c r="T75" s="255">
        <f>T$72*INDEX(Assumptions!$C$61:$C$62,MATCH(S75,Assumptions!$A$61:$A$62,0))</f>
        <v>0</v>
      </c>
      <c r="U75" s="107">
        <f>Assumptions!$C$12</f>
        <v>1181.7777777777778</v>
      </c>
      <c r="V75" s="108">
        <f>Assumptions!$D$26</f>
        <v>650</v>
      </c>
      <c r="W75" s="190">
        <f>T75*U75*V75</f>
        <v>0</v>
      </c>
      <c r="X75" s="210"/>
      <c r="Y75" s="109" t="s">
        <v>74</v>
      </c>
      <c r="Z75" s="255">
        <f>Z$72*INDEX(Assumptions!$C$61:$C$62,MATCH(Y75,Assumptions!$A$61:$A$62,0))</f>
        <v>0</v>
      </c>
      <c r="AA75" s="107">
        <f>Assumptions!$C$12</f>
        <v>1181.7777777777778</v>
      </c>
      <c r="AB75" s="108">
        <f>Assumptions!$D$26</f>
        <v>650</v>
      </c>
      <c r="AC75" s="190">
        <f>Z75*AA75*AB75</f>
        <v>0</v>
      </c>
    </row>
    <row r="76" spans="1:29" ht="15" customHeight="1" thickTop="1" thickBot="1">
      <c r="A76" s="7" t="s">
        <v>76</v>
      </c>
      <c r="B76" s="8">
        <f>SUM(B74:B75)</f>
        <v>0</v>
      </c>
      <c r="C76" s="9">
        <f>SUMPRODUCT(B74:B75,C74:C75)</f>
        <v>0</v>
      </c>
      <c r="D76" s="225"/>
      <c r="E76" s="226">
        <f>SUM(E74:E75)</f>
        <v>0</v>
      </c>
      <c r="F76" s="211"/>
      <c r="G76" s="7" t="s">
        <v>76</v>
      </c>
      <c r="H76" s="8">
        <f>SUM(H74:H75)</f>
        <v>0</v>
      </c>
      <c r="I76" s="9">
        <f>SUMPRODUCT(H74:H75,I74:I75)</f>
        <v>0</v>
      </c>
      <c r="J76" s="225"/>
      <c r="K76" s="226">
        <f>SUM(K74:K75)</f>
        <v>0</v>
      </c>
      <c r="L76" s="216"/>
      <c r="M76" s="7" t="s">
        <v>76</v>
      </c>
      <c r="N76" s="8">
        <f>SUM(N74:N75)</f>
        <v>0</v>
      </c>
      <c r="O76" s="9">
        <f>SUMPRODUCT(N74:N75,O74:O75)</f>
        <v>0</v>
      </c>
      <c r="P76" s="225"/>
      <c r="Q76" s="226">
        <f>SUM(Q74:Q75)</f>
        <v>0</v>
      </c>
      <c r="R76" s="216"/>
      <c r="S76" s="7" t="s">
        <v>76</v>
      </c>
      <c r="T76" s="8">
        <f>SUM(T74:T75)</f>
        <v>0</v>
      </c>
      <c r="U76" s="9">
        <f>SUMPRODUCT(T74:T75,U74:U75)</f>
        <v>0</v>
      </c>
      <c r="V76" s="225"/>
      <c r="W76" s="226">
        <f>SUM(W74:W75)</f>
        <v>0</v>
      </c>
      <c r="X76" s="210"/>
      <c r="Y76" s="7" t="s">
        <v>76</v>
      </c>
      <c r="Z76" s="8">
        <f>SUM(Z74:Z75)</f>
        <v>0</v>
      </c>
      <c r="AA76" s="9">
        <f>SUMPRODUCT(Z74:Z75,AA74:AA75)</f>
        <v>0</v>
      </c>
      <c r="AB76" s="225"/>
      <c r="AC76" s="226">
        <f>SUM(AC74:AC75)</f>
        <v>0</v>
      </c>
    </row>
    <row r="77" spans="1:29" ht="15" customHeight="1" thickTop="1" thickBot="1">
      <c r="A77" s="10" t="s">
        <v>77</v>
      </c>
      <c r="B77" s="224"/>
      <c r="C77" s="11">
        <f>IFERROR(C76/B76,0)</f>
        <v>0</v>
      </c>
      <c r="D77" s="227">
        <f>IFERROR((E76/12)/C76,0)</f>
        <v>0</v>
      </c>
      <c r="E77" s="228"/>
      <c r="F77" s="211"/>
      <c r="G77" s="10" t="s">
        <v>77</v>
      </c>
      <c r="H77" s="224"/>
      <c r="I77" s="11">
        <f>IFERROR(I76/H76,0)</f>
        <v>0</v>
      </c>
      <c r="J77" s="227">
        <f>IFERROR((K76/12)/I76,0)</f>
        <v>0</v>
      </c>
      <c r="K77" s="228"/>
      <c r="L77" s="216"/>
      <c r="M77" s="10" t="s">
        <v>77</v>
      </c>
      <c r="N77" s="224"/>
      <c r="O77" s="11">
        <f>IFERROR(O76/N76,0)</f>
        <v>0</v>
      </c>
      <c r="P77" s="227">
        <f>IFERROR((Q76/12)/O76,0)</f>
        <v>0</v>
      </c>
      <c r="Q77" s="228"/>
      <c r="R77" s="216"/>
      <c r="S77" s="10" t="s">
        <v>77</v>
      </c>
      <c r="T77" s="224"/>
      <c r="U77" s="11">
        <f>IFERROR(U76/T76,0)</f>
        <v>0</v>
      </c>
      <c r="V77" s="227">
        <f>IFERROR((W76/12)/U76,0)</f>
        <v>0</v>
      </c>
      <c r="W77" s="228"/>
      <c r="X77" s="210"/>
      <c r="Y77" s="10" t="s">
        <v>77</v>
      </c>
      <c r="Z77" s="224"/>
      <c r="AA77" s="11">
        <f>IFERROR(AA76/Z76,0)</f>
        <v>0</v>
      </c>
      <c r="AB77" s="227">
        <f>IFERROR((AC76/12)/AA76,0)</f>
        <v>0</v>
      </c>
      <c r="AC77" s="228"/>
    </row>
    <row r="78" spans="1:29" ht="15" customHeight="1">
      <c r="A78" s="301" t="s">
        <v>364</v>
      </c>
      <c r="B78" s="302" t="str">
        <f>B$39</f>
        <v>Student Housing</v>
      </c>
      <c r="C78" s="302" t="s">
        <v>298</v>
      </c>
      <c r="D78" s="308">
        <f>D$39*E$78</f>
        <v>22195.25</v>
      </c>
      <c r="E78" s="303">
        <f>Assumptions!$C$45</f>
        <v>0.7</v>
      </c>
      <c r="G78" s="301" t="s">
        <v>364</v>
      </c>
      <c r="H78" s="302" t="str">
        <f>H$39</f>
        <v>Student Housing</v>
      </c>
      <c r="I78" s="302" t="s">
        <v>298</v>
      </c>
      <c r="J78" s="308">
        <f>J$39*K$78</f>
        <v>52141.32</v>
      </c>
      <c r="K78" s="303">
        <f>Assumptions!$C$45</f>
        <v>0.7</v>
      </c>
      <c r="M78" s="301" t="s">
        <v>364</v>
      </c>
      <c r="N78" s="302" t="str">
        <f>N$39</f>
        <v>Student Housing</v>
      </c>
      <c r="O78" s="302" t="s">
        <v>298</v>
      </c>
      <c r="P78" s="308">
        <f>P$39*Q$78</f>
        <v>50055.389999999992</v>
      </c>
      <c r="Q78" s="303">
        <f>Assumptions!$C$45</f>
        <v>0.7</v>
      </c>
      <c r="S78" s="301" t="s">
        <v>364</v>
      </c>
      <c r="T78" s="302" t="str">
        <f>T$39</f>
        <v>-</v>
      </c>
      <c r="U78" s="302" t="s">
        <v>298</v>
      </c>
      <c r="V78" s="308">
        <f>V$39*W$78</f>
        <v>0</v>
      </c>
      <c r="W78" s="303">
        <f>Assumptions!$C$45</f>
        <v>0.7</v>
      </c>
      <c r="Y78" s="301" t="s">
        <v>364</v>
      </c>
      <c r="Z78" s="302" t="str">
        <f>Z$39</f>
        <v>-</v>
      </c>
      <c r="AA78" s="302" t="s">
        <v>298</v>
      </c>
      <c r="AB78" s="308">
        <f>AB$39*AC$78</f>
        <v>0</v>
      </c>
      <c r="AC78" s="303">
        <f>Assumptions!$C$45</f>
        <v>0.7</v>
      </c>
    </row>
    <row r="79" spans="1:29" ht="15" customHeight="1">
      <c r="A79" s="301" t="s">
        <v>257</v>
      </c>
      <c r="B79" s="458">
        <v>33</v>
      </c>
      <c r="C79" s="310" t="str">
        <f>IF(C85&gt;D78,"# of Units Over Available Area","# of Units Within Available Area")</f>
        <v># of Units Within Available Area</v>
      </c>
      <c r="D79" s="309" t="s">
        <v>68</v>
      </c>
      <c r="E79" s="325">
        <v>0</v>
      </c>
      <c r="G79" s="301" t="s">
        <v>257</v>
      </c>
      <c r="H79" s="458">
        <v>78</v>
      </c>
      <c r="I79" s="310" t="str">
        <f>IF(I85&gt;J78,"# of Units Over Available Area","# of Units Within Available Area")</f>
        <v># of Units Within Available Area</v>
      </c>
      <c r="J79" s="309" t="s">
        <v>68</v>
      </c>
      <c r="K79" s="325">
        <v>0</v>
      </c>
      <c r="M79" s="301" t="s">
        <v>257</v>
      </c>
      <c r="N79" s="458">
        <v>75</v>
      </c>
      <c r="O79" s="310" t="str">
        <f>IF(O85&gt;P78,"# of Units Over Available Area","# of Units Within Available Area")</f>
        <v># of Units Within Available Area</v>
      </c>
      <c r="P79" s="309" t="s">
        <v>68</v>
      </c>
      <c r="Q79" s="325">
        <v>0</v>
      </c>
      <c r="S79" s="301" t="s">
        <v>257</v>
      </c>
      <c r="T79" s="458">
        <v>0</v>
      </c>
      <c r="U79" s="310" t="str">
        <f>IF(U85&gt;V78,"# of Units Over Available Area","# of Units Within Available Area")</f>
        <v># of Units Within Available Area</v>
      </c>
      <c r="V79" s="309" t="s">
        <v>68</v>
      </c>
      <c r="W79" s="325">
        <v>0</v>
      </c>
      <c r="Y79" s="301" t="s">
        <v>257</v>
      </c>
      <c r="Z79" s="458">
        <v>0</v>
      </c>
      <c r="AA79" s="310" t="str">
        <f>IF(AA85&gt;AB78,"# of Units Over Available Area","# of Units Within Available Area")</f>
        <v># of Units Within Available Area</v>
      </c>
      <c r="AB79" s="309" t="s">
        <v>68</v>
      </c>
      <c r="AC79" s="325">
        <v>0</v>
      </c>
    </row>
    <row r="80" spans="1:29" ht="15" customHeight="1">
      <c r="A80" s="304" t="s">
        <v>251</v>
      </c>
      <c r="B80" s="305" t="s">
        <v>252</v>
      </c>
      <c r="C80" s="306" t="s">
        <v>243</v>
      </c>
      <c r="D80" s="305" t="s">
        <v>70</v>
      </c>
      <c r="E80" s="307" t="s">
        <v>71</v>
      </c>
      <c r="G80" s="304" t="s">
        <v>251</v>
      </c>
      <c r="H80" s="305" t="s">
        <v>252</v>
      </c>
      <c r="I80" s="306" t="s">
        <v>243</v>
      </c>
      <c r="J80" s="305" t="s">
        <v>70</v>
      </c>
      <c r="K80" s="307" t="s">
        <v>71</v>
      </c>
      <c r="M80" s="304" t="s">
        <v>251</v>
      </c>
      <c r="N80" s="305" t="s">
        <v>252</v>
      </c>
      <c r="O80" s="306" t="s">
        <v>243</v>
      </c>
      <c r="P80" s="305" t="s">
        <v>70</v>
      </c>
      <c r="Q80" s="307" t="s">
        <v>71</v>
      </c>
      <c r="S80" s="304" t="s">
        <v>251</v>
      </c>
      <c r="T80" s="305" t="s">
        <v>252</v>
      </c>
      <c r="U80" s="306" t="s">
        <v>243</v>
      </c>
      <c r="V80" s="305" t="s">
        <v>70</v>
      </c>
      <c r="W80" s="307" t="s">
        <v>71</v>
      </c>
      <c r="Y80" s="304" t="s">
        <v>251</v>
      </c>
      <c r="Z80" s="305" t="s">
        <v>252</v>
      </c>
      <c r="AA80" s="306" t="s">
        <v>243</v>
      </c>
      <c r="AB80" s="305" t="s">
        <v>70</v>
      </c>
      <c r="AC80" s="307" t="s">
        <v>71</v>
      </c>
    </row>
    <row r="81" spans="1:29" ht="15" customHeight="1">
      <c r="A81" s="109" t="s">
        <v>72</v>
      </c>
      <c r="B81" s="255">
        <f>B$79*INDEX(Assumptions!$C$64:$C$67,MATCH(A81,Assumptions!$A$64:$A$67,0))</f>
        <v>18.150000000000002</v>
      </c>
      <c r="C81" s="110">
        <f>Assumptions!$C$32</f>
        <v>454</v>
      </c>
      <c r="D81" s="196">
        <f>Assumptions!$C$33*(1+$E$79)</f>
        <v>2.58</v>
      </c>
      <c r="E81" s="197">
        <f>12*B81*C81*D81</f>
        <v>255113.49600000004</v>
      </c>
      <c r="G81" s="109" t="s">
        <v>72</v>
      </c>
      <c r="H81" s="255">
        <f>H$79*INDEX(Assumptions!$C$64:$C$67,MATCH(G81,Assumptions!$A$64:$A$67,0))</f>
        <v>42.900000000000006</v>
      </c>
      <c r="I81" s="110">
        <f>Assumptions!$C$32</f>
        <v>454</v>
      </c>
      <c r="J81" s="196">
        <f>Assumptions!$C$33*(1+$E$79)</f>
        <v>2.58</v>
      </c>
      <c r="K81" s="197">
        <f>12*H81*I81*J81</f>
        <v>602995.53600000008</v>
      </c>
      <c r="M81" s="109" t="s">
        <v>72</v>
      </c>
      <c r="N81" s="255">
        <f>N$79*INDEX(Assumptions!$C$64:$C$67,MATCH(M81,Assumptions!$A$64:$A$67,0))</f>
        <v>41.25</v>
      </c>
      <c r="O81" s="110">
        <f>Assumptions!$C$32</f>
        <v>454</v>
      </c>
      <c r="P81" s="196">
        <f>Assumptions!$C$33*(1+$E$79)</f>
        <v>2.58</v>
      </c>
      <c r="Q81" s="197">
        <f>12*N81*O81*P81</f>
        <v>579803.4</v>
      </c>
      <c r="S81" s="109" t="s">
        <v>72</v>
      </c>
      <c r="T81" s="255">
        <f>T$79*INDEX(Assumptions!$C$64:$C$67,MATCH(S81,Assumptions!$A$64:$A$67,0))</f>
        <v>0</v>
      </c>
      <c r="U81" s="110">
        <f>Assumptions!$C$32</f>
        <v>454</v>
      </c>
      <c r="V81" s="196">
        <f>Assumptions!$C$33*(1+$E$79)</f>
        <v>2.58</v>
      </c>
      <c r="W81" s="197">
        <f>12*T81*U81*V81</f>
        <v>0</v>
      </c>
      <c r="Y81" s="109" t="s">
        <v>72</v>
      </c>
      <c r="Z81" s="255">
        <f>Z$79*INDEX(Assumptions!$C$64:$C$67,MATCH(Y81,Assumptions!$A$64:$A$67,0))</f>
        <v>0</v>
      </c>
      <c r="AA81" s="110">
        <f>Assumptions!$C$32</f>
        <v>454</v>
      </c>
      <c r="AB81" s="196">
        <f>Assumptions!$C$33*(1+$E$79)</f>
        <v>2.58</v>
      </c>
      <c r="AC81" s="197">
        <f>12*Z81*AA81*AB81</f>
        <v>0</v>
      </c>
    </row>
    <row r="82" spans="1:29" ht="15" customHeight="1">
      <c r="A82" s="106" t="s">
        <v>254</v>
      </c>
      <c r="B82" s="255">
        <f>B$79*INDEX(Assumptions!$C$64:$C$67,MATCH(A82,Assumptions!$A$64:$A$67,0))</f>
        <v>6.6000000000000005</v>
      </c>
      <c r="C82" s="107">
        <f>Assumptions!$C$35</f>
        <v>707</v>
      </c>
      <c r="D82" s="196">
        <f>Assumptions!$C$36*(1+$E$79)</f>
        <v>1.89</v>
      </c>
      <c r="E82" s="190">
        <f>12*B82*C82*D82</f>
        <v>105829.416</v>
      </c>
      <c r="G82" s="106" t="s">
        <v>254</v>
      </c>
      <c r="H82" s="255">
        <f>H$79*INDEX(Assumptions!$C$64:$C$67,MATCH(G82,Assumptions!$A$64:$A$67,0))</f>
        <v>15.600000000000001</v>
      </c>
      <c r="I82" s="107">
        <f>Assumptions!$C$35</f>
        <v>707</v>
      </c>
      <c r="J82" s="196">
        <f>Assumptions!$C$36*(1+$E$79)</f>
        <v>1.89</v>
      </c>
      <c r="K82" s="190">
        <f>12*H82*I82*J82</f>
        <v>250142.25600000002</v>
      </c>
      <c r="M82" s="106" t="s">
        <v>254</v>
      </c>
      <c r="N82" s="255">
        <f>N$79*INDEX(Assumptions!$C$64:$C$67,MATCH(M82,Assumptions!$A$64:$A$67,0))</f>
        <v>15</v>
      </c>
      <c r="O82" s="107">
        <f>Assumptions!$C$35</f>
        <v>707</v>
      </c>
      <c r="P82" s="196">
        <f>Assumptions!$C$36*(1+$E$79)</f>
        <v>1.89</v>
      </c>
      <c r="Q82" s="190">
        <f>12*N82*O82*P82</f>
        <v>240521.4</v>
      </c>
      <c r="S82" s="106" t="s">
        <v>254</v>
      </c>
      <c r="T82" s="255">
        <f>T$79*INDEX(Assumptions!$C$64:$C$67,MATCH(S82,Assumptions!$A$64:$A$67,0))</f>
        <v>0</v>
      </c>
      <c r="U82" s="107">
        <f>Assumptions!$C$35</f>
        <v>707</v>
      </c>
      <c r="V82" s="196">
        <f>Assumptions!$C$36*(1+$E$79)</f>
        <v>1.89</v>
      </c>
      <c r="W82" s="190">
        <f>12*T82*U82*V82</f>
        <v>0</v>
      </c>
      <c r="Y82" s="106" t="s">
        <v>254</v>
      </c>
      <c r="Z82" s="255">
        <f>Z$79*INDEX(Assumptions!$C$64:$C$67,MATCH(Y82,Assumptions!$A$64:$A$67,0))</f>
        <v>0</v>
      </c>
      <c r="AA82" s="107">
        <f>Assumptions!$C$35</f>
        <v>707</v>
      </c>
      <c r="AB82" s="196">
        <f>Assumptions!$C$36*(1+$E$79)</f>
        <v>1.89</v>
      </c>
      <c r="AC82" s="190">
        <f>12*Z82*AA82*AB82</f>
        <v>0</v>
      </c>
    </row>
    <row r="83" spans="1:29" ht="15" customHeight="1">
      <c r="A83" s="106" t="s">
        <v>255</v>
      </c>
      <c r="B83" s="255">
        <f>B$79*INDEX(Assumptions!$C$64:$C$67,MATCH(A83,Assumptions!$A$64:$A$67,0))</f>
        <v>4.95</v>
      </c>
      <c r="C83" s="110">
        <f>Assumptions!$C$38</f>
        <v>999</v>
      </c>
      <c r="D83" s="196">
        <f>Assumptions!$C$39*(1+$E$79)</f>
        <v>2.35</v>
      </c>
      <c r="E83" s="190">
        <f t="shared" ref="E83" si="11">12*B83*C83*D83</f>
        <v>139450.41000000003</v>
      </c>
      <c r="G83" s="106" t="s">
        <v>255</v>
      </c>
      <c r="H83" s="255">
        <f>H$79*INDEX(Assumptions!$C$64:$C$67,MATCH(G83,Assumptions!$A$64:$A$67,0))</f>
        <v>11.7</v>
      </c>
      <c r="I83" s="110">
        <f>Assumptions!$C$38</f>
        <v>999</v>
      </c>
      <c r="J83" s="196">
        <f>Assumptions!$C$39*(1+$E$79)</f>
        <v>2.35</v>
      </c>
      <c r="K83" s="190">
        <f t="shared" ref="K83" si="12">12*H83*I83*J83</f>
        <v>329610.05999999994</v>
      </c>
      <c r="M83" s="106" t="s">
        <v>255</v>
      </c>
      <c r="N83" s="255">
        <f>N$79*INDEX(Assumptions!$C$64:$C$67,MATCH(M83,Assumptions!$A$64:$A$67,0))</f>
        <v>11.25</v>
      </c>
      <c r="O83" s="110">
        <f>Assumptions!$C$38</f>
        <v>999</v>
      </c>
      <c r="P83" s="196">
        <f>Assumptions!$C$39*(1+$E$79)</f>
        <v>2.35</v>
      </c>
      <c r="Q83" s="190">
        <f t="shared" ref="Q83" si="13">12*N83*O83*P83</f>
        <v>316932.75</v>
      </c>
      <c r="S83" s="106" t="s">
        <v>255</v>
      </c>
      <c r="T83" s="255">
        <f>T$79*INDEX(Assumptions!$C$64:$C$67,MATCH(S83,Assumptions!$A$64:$A$67,0))</f>
        <v>0</v>
      </c>
      <c r="U83" s="110">
        <f>Assumptions!$C$38</f>
        <v>999</v>
      </c>
      <c r="V83" s="196">
        <f>Assumptions!$C$39*(1+$E$79)</f>
        <v>2.35</v>
      </c>
      <c r="W83" s="190">
        <f t="shared" ref="W83" si="14">12*T83*U83*V83</f>
        <v>0</v>
      </c>
      <c r="Y83" s="106" t="s">
        <v>255</v>
      </c>
      <c r="Z83" s="255">
        <f>Z$79*INDEX(Assumptions!$C$64:$C$67,MATCH(Y83,Assumptions!$A$64:$A$67,0))</f>
        <v>0</v>
      </c>
      <c r="AA83" s="110">
        <f>Assumptions!$C$38</f>
        <v>999</v>
      </c>
      <c r="AB83" s="196">
        <f>Assumptions!$C$39*(1+$E$79)</f>
        <v>2.35</v>
      </c>
      <c r="AC83" s="190">
        <f t="shared" ref="AC83" si="15">12*Z83*AA83*AB83</f>
        <v>0</v>
      </c>
    </row>
    <row r="84" spans="1:29" ht="15" customHeight="1" thickBot="1">
      <c r="A84" s="106" t="s">
        <v>256</v>
      </c>
      <c r="B84" s="255">
        <f>B$79*INDEX(Assumptions!$C$64:$C$67,MATCH(A84,Assumptions!$A$64:$A$67,0))</f>
        <v>3.3000000000000003</v>
      </c>
      <c r="C84" s="107">
        <f>Assumptions!$C$41</f>
        <v>1200</v>
      </c>
      <c r="D84" s="196">
        <f>Assumptions!$C$42*(1+$E$79)</f>
        <v>2.17</v>
      </c>
      <c r="E84" s="190">
        <f>12*B84*C84*D84</f>
        <v>103118.39999999999</v>
      </c>
      <c r="G84" s="106" t="s">
        <v>256</v>
      </c>
      <c r="H84" s="255">
        <f>H$79*INDEX(Assumptions!$C$64:$C$67,MATCH(G84,Assumptions!$A$64:$A$67,0))</f>
        <v>7.8000000000000007</v>
      </c>
      <c r="I84" s="107">
        <f>Assumptions!$C$41</f>
        <v>1200</v>
      </c>
      <c r="J84" s="196">
        <f>Assumptions!$C$42*(1+$E$79)</f>
        <v>2.17</v>
      </c>
      <c r="K84" s="190">
        <f>12*H84*I84*J84</f>
        <v>243734.40000000002</v>
      </c>
      <c r="M84" s="106" t="s">
        <v>256</v>
      </c>
      <c r="N84" s="255">
        <f>N$79*INDEX(Assumptions!$C$64:$C$67,MATCH(M84,Assumptions!$A$64:$A$67,0))</f>
        <v>7.5</v>
      </c>
      <c r="O84" s="107">
        <f>Assumptions!$C$41</f>
        <v>1200</v>
      </c>
      <c r="P84" s="196">
        <f>Assumptions!$C$42*(1+$E$79)</f>
        <v>2.17</v>
      </c>
      <c r="Q84" s="190">
        <f>12*N84*O84*P84</f>
        <v>234360</v>
      </c>
      <c r="S84" s="106" t="s">
        <v>256</v>
      </c>
      <c r="T84" s="255">
        <f>T$79*INDEX(Assumptions!$C$64:$C$67,MATCH(S84,Assumptions!$A$64:$A$67,0))</f>
        <v>0</v>
      </c>
      <c r="U84" s="107">
        <f>Assumptions!$C$41</f>
        <v>1200</v>
      </c>
      <c r="V84" s="196">
        <f>Assumptions!$C$42*(1+$E$79)</f>
        <v>2.17</v>
      </c>
      <c r="W84" s="190">
        <f>12*T84*U84*V84</f>
        <v>0</v>
      </c>
      <c r="Y84" s="106" t="s">
        <v>256</v>
      </c>
      <c r="Z84" s="255">
        <f>Z$79*INDEX(Assumptions!$C$64:$C$67,MATCH(Y84,Assumptions!$A$64:$A$67,0))</f>
        <v>0</v>
      </c>
      <c r="AA84" s="107">
        <f>Assumptions!$C$41</f>
        <v>1200</v>
      </c>
      <c r="AB84" s="196">
        <f>Assumptions!$C$42*(1+$E$79)</f>
        <v>2.17</v>
      </c>
      <c r="AC84" s="190">
        <f>12*Z84*AA84*AB84</f>
        <v>0</v>
      </c>
    </row>
    <row r="85" spans="1:29" ht="15" customHeight="1" thickTop="1" thickBot="1">
      <c r="A85" s="7" t="s">
        <v>76</v>
      </c>
      <c r="B85" s="8">
        <f>SUM(B81:B84)</f>
        <v>33</v>
      </c>
      <c r="C85" s="9">
        <f>SUMPRODUCT(B81:B84,C81:C84)</f>
        <v>21811.350000000002</v>
      </c>
      <c r="D85" s="225"/>
      <c r="E85" s="226">
        <f>SUM(E81:E84)</f>
        <v>603511.72200000007</v>
      </c>
      <c r="G85" s="7" t="s">
        <v>76</v>
      </c>
      <c r="H85" s="8">
        <f>SUM(H81:H84)</f>
        <v>78</v>
      </c>
      <c r="I85" s="9">
        <f>SUMPRODUCT(H81:H84,I81:I84)</f>
        <v>51554.100000000006</v>
      </c>
      <c r="J85" s="225"/>
      <c r="K85" s="226">
        <f>SUM(K81:K84)</f>
        <v>1426482.2519999999</v>
      </c>
      <c r="M85" s="7" t="s">
        <v>76</v>
      </c>
      <c r="N85" s="8">
        <f>SUM(N81:N84)</f>
        <v>75</v>
      </c>
      <c r="O85" s="9">
        <f>SUMPRODUCT(N81:N84,O81:O84)</f>
        <v>49571.25</v>
      </c>
      <c r="P85" s="225"/>
      <c r="Q85" s="226">
        <f>SUM(Q81:Q84)</f>
        <v>1371617.55</v>
      </c>
      <c r="S85" s="7" t="s">
        <v>76</v>
      </c>
      <c r="T85" s="8">
        <f>SUM(T81:T84)</f>
        <v>0</v>
      </c>
      <c r="U85" s="9">
        <f>SUMPRODUCT(T81:T84,U81:U84)</f>
        <v>0</v>
      </c>
      <c r="V85" s="225"/>
      <c r="W85" s="226">
        <f>SUM(W81:W84)</f>
        <v>0</v>
      </c>
      <c r="Y85" s="7" t="s">
        <v>76</v>
      </c>
      <c r="Z85" s="8">
        <f>SUM(Z81:Z84)</f>
        <v>0</v>
      </c>
      <c r="AA85" s="9">
        <f>SUMPRODUCT(Z81:Z84,AA81:AA84)</f>
        <v>0</v>
      </c>
      <c r="AB85" s="225"/>
      <c r="AC85" s="226">
        <f>SUM(AC81:AC84)</f>
        <v>0</v>
      </c>
    </row>
    <row r="86" spans="1:29" ht="15" customHeight="1" thickTop="1" thickBot="1">
      <c r="A86" s="10" t="s">
        <v>77</v>
      </c>
      <c r="B86" s="224"/>
      <c r="C86" s="11">
        <f>IFERROR(C85/B85,0)</f>
        <v>660.95</v>
      </c>
      <c r="D86" s="227">
        <f>IFERROR((E85/12)/C85,0)</f>
        <v>2.3058014978440124</v>
      </c>
      <c r="E86" s="228"/>
      <c r="G86" s="10" t="s">
        <v>77</v>
      </c>
      <c r="H86" s="224"/>
      <c r="I86" s="11">
        <f>IFERROR(I85/H85,0)</f>
        <v>660.95</v>
      </c>
      <c r="J86" s="227">
        <f>IFERROR((K85/12)/I85,0)</f>
        <v>2.305801497844012</v>
      </c>
      <c r="K86" s="228"/>
      <c r="M86" s="10" t="s">
        <v>77</v>
      </c>
      <c r="N86" s="224"/>
      <c r="O86" s="11">
        <f>IFERROR(O85/N85,0)</f>
        <v>660.95</v>
      </c>
      <c r="P86" s="227">
        <f>IFERROR((Q85/12)/O85,0)</f>
        <v>2.3058014978440124</v>
      </c>
      <c r="Q86" s="228"/>
      <c r="S86" s="10" t="s">
        <v>77</v>
      </c>
      <c r="T86" s="224"/>
      <c r="U86" s="11">
        <f>IFERROR(U85/T85,0)</f>
        <v>0</v>
      </c>
      <c r="V86" s="227">
        <f>IFERROR((W85/12)/U85,0)</f>
        <v>0</v>
      </c>
      <c r="W86" s="228"/>
      <c r="Y86" s="10" t="s">
        <v>77</v>
      </c>
      <c r="Z86" s="224"/>
      <c r="AA86" s="11">
        <f>IFERROR(AA85/Z85,0)</f>
        <v>0</v>
      </c>
      <c r="AB86" s="227">
        <f>IFERROR((AC85/12)/AA85,0)</f>
        <v>0</v>
      </c>
      <c r="AC86" s="228"/>
    </row>
    <row r="87" spans="1:29" ht="15" customHeight="1">
      <c r="A87" s="301" t="s">
        <v>299</v>
      </c>
      <c r="B87" s="313" t="str">
        <f>B$40</f>
        <v>-</v>
      </c>
      <c r="C87" s="311"/>
      <c r="D87" s="312"/>
      <c r="E87" s="326"/>
      <c r="F87" s="211"/>
      <c r="G87" s="301" t="s">
        <v>299</v>
      </c>
      <c r="H87" s="313" t="str">
        <f>H$40</f>
        <v>-</v>
      </c>
      <c r="I87" s="311"/>
      <c r="J87" s="312"/>
      <c r="K87" s="326"/>
      <c r="L87" s="331"/>
      <c r="M87" s="301" t="s">
        <v>299</v>
      </c>
      <c r="N87" s="313" t="str">
        <f>N$40</f>
        <v>-</v>
      </c>
      <c r="O87" s="311"/>
      <c r="P87" s="312"/>
      <c r="Q87" s="326"/>
      <c r="R87" s="331"/>
      <c r="S87" s="301" t="s">
        <v>299</v>
      </c>
      <c r="T87" s="313" t="str">
        <f>T$40</f>
        <v>-</v>
      </c>
      <c r="U87" s="311"/>
      <c r="V87" s="312"/>
      <c r="W87" s="326"/>
      <c r="X87" s="211"/>
      <c r="Y87" s="301" t="s">
        <v>299</v>
      </c>
      <c r="Z87" s="313" t="str">
        <f>Z$40</f>
        <v>-</v>
      </c>
      <c r="AA87" s="311"/>
      <c r="AB87" s="312"/>
      <c r="AC87" s="326"/>
    </row>
    <row r="88" spans="1:29" ht="15" customHeight="1">
      <c r="A88" s="304" t="s">
        <v>242</v>
      </c>
      <c r="B88" s="305" t="s">
        <v>301</v>
      </c>
      <c r="C88" s="306" t="s">
        <v>296</v>
      </c>
      <c r="D88" s="305" t="s">
        <v>78</v>
      </c>
      <c r="E88" s="307" t="s">
        <v>71</v>
      </c>
      <c r="G88" s="304" t="s">
        <v>242</v>
      </c>
      <c r="H88" s="305" t="s">
        <v>301</v>
      </c>
      <c r="I88" s="306" t="s">
        <v>296</v>
      </c>
      <c r="J88" s="305" t="s">
        <v>78</v>
      </c>
      <c r="K88" s="307" t="s">
        <v>71</v>
      </c>
      <c r="L88" s="329"/>
      <c r="M88" s="304" t="s">
        <v>242</v>
      </c>
      <c r="N88" s="305" t="s">
        <v>301</v>
      </c>
      <c r="O88" s="306" t="s">
        <v>296</v>
      </c>
      <c r="P88" s="305" t="s">
        <v>78</v>
      </c>
      <c r="Q88" s="307" t="s">
        <v>71</v>
      </c>
      <c r="R88" s="329"/>
      <c r="S88" s="304" t="s">
        <v>242</v>
      </c>
      <c r="T88" s="305" t="s">
        <v>301</v>
      </c>
      <c r="U88" s="306" t="s">
        <v>296</v>
      </c>
      <c r="V88" s="305" t="s">
        <v>78</v>
      </c>
      <c r="W88" s="307" t="s">
        <v>71</v>
      </c>
      <c r="Y88" s="304" t="s">
        <v>242</v>
      </c>
      <c r="Z88" s="305" t="s">
        <v>301</v>
      </c>
      <c r="AA88" s="306" t="s">
        <v>296</v>
      </c>
      <c r="AB88" s="305" t="s">
        <v>78</v>
      </c>
      <c r="AC88" s="307" t="s">
        <v>71</v>
      </c>
    </row>
    <row r="89" spans="1:29" ht="15" customHeight="1">
      <c r="A89" s="217" t="s">
        <v>0</v>
      </c>
      <c r="B89" s="194">
        <f>IFERROR(IF(B$87=A89,D$40,0),0)</f>
        <v>0</v>
      </c>
      <c r="C89" s="218">
        <f>IFERROR(B89*INDEX(Assumptions!$C$46:$C$47,MATCH(A89,Assumptions!$A$46:$A$47,0)),0)</f>
        <v>0</v>
      </c>
      <c r="D89" s="219">
        <f>IF(C89&gt;0,INDEX(Assumptions!$F$5:$F$6,MATCH(A89,Assumptions!$E$5:$E$6,0)),0)</f>
        <v>0</v>
      </c>
      <c r="E89" s="220">
        <f>C89*D89*12</f>
        <v>0</v>
      </c>
      <c r="G89" s="217" t="s">
        <v>0</v>
      </c>
      <c r="H89" s="194">
        <f>IFERROR(IF(H$87=G89,J$40,0),0)</f>
        <v>0</v>
      </c>
      <c r="I89" s="218">
        <f>IFERROR(H89*INDEX(Assumptions!$C$46:$C$47,MATCH(G89,Assumptions!$A$46:$A$47,0)),0)</f>
        <v>0</v>
      </c>
      <c r="J89" s="219">
        <f>IF(I89&gt;0,INDEX(Assumptions!$F$5:$F$6,MATCH(G89,Assumptions!$E$5:$E$6,0)),0)</f>
        <v>0</v>
      </c>
      <c r="K89" s="220">
        <f>I89*J89*12</f>
        <v>0</v>
      </c>
      <c r="L89" s="332"/>
      <c r="M89" s="217" t="s">
        <v>0</v>
      </c>
      <c r="N89" s="194">
        <f>IFERROR(IF(N$87=M89,P$40,0),0)</f>
        <v>0</v>
      </c>
      <c r="O89" s="218">
        <f>IFERROR(N89*INDEX(Assumptions!$C$46:$C$47,MATCH(M89,Assumptions!$A$46:$A$47,0)),0)</f>
        <v>0</v>
      </c>
      <c r="P89" s="219">
        <f>IF(O89&gt;0,INDEX(Assumptions!$F$5:$F$6,MATCH(M89,Assumptions!$E$5:$E$6,0)),0)</f>
        <v>0</v>
      </c>
      <c r="Q89" s="220">
        <f>O89*P89*12</f>
        <v>0</v>
      </c>
      <c r="R89" s="332"/>
      <c r="S89" s="217" t="s">
        <v>0</v>
      </c>
      <c r="T89" s="194">
        <f>IFERROR(IF(T$87=S89,V$40,0),0)</f>
        <v>0</v>
      </c>
      <c r="U89" s="218">
        <f>IFERROR(T89*INDEX(Assumptions!$C$46:$C$47,MATCH(S89,Assumptions!$A$46:$A$47,0)),0)</f>
        <v>0</v>
      </c>
      <c r="V89" s="219">
        <f>IF(U89&gt;0,INDEX(Assumptions!$F$5:$F$6,MATCH(S89,Assumptions!$E$5:$E$6,0)),0)</f>
        <v>0</v>
      </c>
      <c r="W89" s="220">
        <f>U89*V89*12</f>
        <v>0</v>
      </c>
      <c r="Y89" s="217" t="s">
        <v>0</v>
      </c>
      <c r="Z89" s="194">
        <f>IFERROR(IF(Z$87=Y89,AB$40,0),0)</f>
        <v>0</v>
      </c>
      <c r="AA89" s="218">
        <f>IFERROR(Z89*INDEX(Assumptions!$C$46:$C$47,MATCH(Y89,Assumptions!$A$46:$A$47,0)),0)</f>
        <v>0</v>
      </c>
      <c r="AB89" s="219">
        <f>IF(AA89&gt;0,INDEX(Assumptions!$F$5:$F$6,MATCH(Y89,Assumptions!$E$5:$E$6,0)),0)</f>
        <v>0</v>
      </c>
      <c r="AC89" s="220">
        <f>AA89*AB89*12</f>
        <v>0</v>
      </c>
    </row>
    <row r="90" spans="1:29" ht="15" customHeight="1" thickBot="1">
      <c r="A90" s="111" t="s">
        <v>204</v>
      </c>
      <c r="B90" s="314">
        <f>IFERROR(IF(B$87=A90,D$40,0),0)</f>
        <v>0</v>
      </c>
      <c r="C90" s="215">
        <f>IFERROR(B90*INDEX(Assumptions!$C$46:$C$47,MATCH(A90,Assumptions!$A$46:$A$47,0)),0)</f>
        <v>0</v>
      </c>
      <c r="D90" s="315">
        <f>IF(C90&gt;0,INDEX(Assumptions!$F$5:$F$6,MATCH(A90,Assumptions!$E$5:$E$6,0)),0)</f>
        <v>0</v>
      </c>
      <c r="E90" s="187">
        <f>C90*D90*12</f>
        <v>0</v>
      </c>
      <c r="G90" s="111" t="s">
        <v>204</v>
      </c>
      <c r="H90" s="314">
        <f>IFERROR(IF(H$87=G90,J$40,0),0)</f>
        <v>0</v>
      </c>
      <c r="I90" s="215">
        <f>IFERROR(H90*INDEX(Assumptions!$C$46:$C$47,MATCH(G90,Assumptions!$A$46:$A$47,0)),0)</f>
        <v>0</v>
      </c>
      <c r="J90" s="315">
        <f>IF(I90&gt;0,INDEX(Assumptions!$F$5:$F$6,MATCH(G90,Assumptions!$E$5:$E$6,0)),0)</f>
        <v>0</v>
      </c>
      <c r="K90" s="187">
        <f>I90*J90*12</f>
        <v>0</v>
      </c>
      <c r="L90" s="332"/>
      <c r="M90" s="111" t="s">
        <v>204</v>
      </c>
      <c r="N90" s="314">
        <f>IFERROR(IF(N$87=M90,P$40,0),0)</f>
        <v>0</v>
      </c>
      <c r="O90" s="215">
        <f>IFERROR(N90*INDEX(Assumptions!$C$46:$C$47,MATCH(M90,Assumptions!$A$46:$A$47,0)),0)</f>
        <v>0</v>
      </c>
      <c r="P90" s="315">
        <f>IF(O90&gt;0,INDEX(Assumptions!$F$5:$F$6,MATCH(M90,Assumptions!$E$5:$E$6,0)),0)</f>
        <v>0</v>
      </c>
      <c r="Q90" s="187">
        <f>O90*P90*12</f>
        <v>0</v>
      </c>
      <c r="R90" s="332"/>
      <c r="S90" s="111" t="s">
        <v>204</v>
      </c>
      <c r="T90" s="314">
        <f>IFERROR(IF(T$87=S90,V$40,0),0)</f>
        <v>0</v>
      </c>
      <c r="U90" s="215">
        <f>IFERROR(T90*INDEX(Assumptions!$C$46:$C$47,MATCH(S90,Assumptions!$A$46:$A$47,0)),0)</f>
        <v>0</v>
      </c>
      <c r="V90" s="315">
        <f>IF(U90&gt;0,INDEX(Assumptions!$F$5:$F$6,MATCH(S90,Assumptions!$E$5:$E$6,0)),0)</f>
        <v>0</v>
      </c>
      <c r="W90" s="187">
        <f>U90*V90*12</f>
        <v>0</v>
      </c>
      <c r="Y90" s="111" t="s">
        <v>204</v>
      </c>
      <c r="Z90" s="314">
        <f>IFERROR(IF(Z$87=Y90,AB$40,0),0)</f>
        <v>0</v>
      </c>
      <c r="AA90" s="215">
        <f>IFERROR(Z90*INDEX(Assumptions!$C$46:$C$47,MATCH(Y90,Assumptions!$A$46:$A$47,0)),0)</f>
        <v>0</v>
      </c>
      <c r="AB90" s="315">
        <f>IF(AA90&gt;0,INDEX(Assumptions!$F$5:$F$6,MATCH(Y90,Assumptions!$E$5:$E$6,0)),0)</f>
        <v>0</v>
      </c>
      <c r="AC90" s="187">
        <f>AA90*AB90*12</f>
        <v>0</v>
      </c>
    </row>
    <row r="91" spans="1:29" ht="15" customHeight="1" thickTop="1" thickBot="1">
      <c r="A91" s="12" t="s">
        <v>76</v>
      </c>
      <c r="B91" s="191">
        <f>SUM(B89:B90)</f>
        <v>0</v>
      </c>
      <c r="C91" s="191">
        <f>SUM(C89:C90)</f>
        <v>0</v>
      </c>
      <c r="D91" s="188">
        <f>IF(B91=0,0,E91/B91)</f>
        <v>0</v>
      </c>
      <c r="E91" s="189">
        <f>SUM(E89:E90)</f>
        <v>0</v>
      </c>
      <c r="G91" s="12" t="s">
        <v>76</v>
      </c>
      <c r="H91" s="191">
        <f>SUM(H89:H90)</f>
        <v>0</v>
      </c>
      <c r="I91" s="191">
        <f>SUM(I89:I90)</f>
        <v>0</v>
      </c>
      <c r="J91" s="188">
        <f>IF(H91=0,0,K91/H91)</f>
        <v>0</v>
      </c>
      <c r="K91" s="189">
        <f>SUM(K89:K90)</f>
        <v>0</v>
      </c>
      <c r="L91" s="332"/>
      <c r="M91" s="12" t="s">
        <v>76</v>
      </c>
      <c r="N91" s="191">
        <f>SUM(N89:N90)</f>
        <v>0</v>
      </c>
      <c r="O91" s="191">
        <f>SUM(O89:O90)</f>
        <v>0</v>
      </c>
      <c r="P91" s="188">
        <f>IF(N91=0,0,Q91/N91)</f>
        <v>0</v>
      </c>
      <c r="Q91" s="189">
        <f>SUM(Q89:Q90)</f>
        <v>0</v>
      </c>
      <c r="R91" s="332"/>
      <c r="S91" s="12" t="s">
        <v>76</v>
      </c>
      <c r="T91" s="191">
        <f>SUM(T89:T90)</f>
        <v>0</v>
      </c>
      <c r="U91" s="191">
        <f>SUM(U89:U90)</f>
        <v>0</v>
      </c>
      <c r="V91" s="188">
        <f>IF(T91=0,0,W91/T91)</f>
        <v>0</v>
      </c>
      <c r="W91" s="189">
        <f>SUM(W89:W90)</f>
        <v>0</v>
      </c>
      <c r="Y91" s="12" t="s">
        <v>76</v>
      </c>
      <c r="Z91" s="191">
        <f>SUM(Z89:Z90)</f>
        <v>0</v>
      </c>
      <c r="AA91" s="191">
        <f>SUM(AA89:AA90)</f>
        <v>0</v>
      </c>
      <c r="AB91" s="188">
        <f>IF(Z91=0,0,AC91/Z91)</f>
        <v>0</v>
      </c>
      <c r="AC91" s="189">
        <f>SUM(AC89:AC90)</f>
        <v>0</v>
      </c>
    </row>
    <row r="92" spans="1:29" ht="15" customHeight="1">
      <c r="A92" s="301" t="s">
        <v>300</v>
      </c>
      <c r="B92" s="313" t="str">
        <f>B$41</f>
        <v>-</v>
      </c>
      <c r="C92" s="311"/>
      <c r="D92" s="312"/>
      <c r="E92" s="326"/>
      <c r="G92" s="301" t="s">
        <v>300</v>
      </c>
      <c r="H92" s="313" t="str">
        <f>H$41</f>
        <v>-</v>
      </c>
      <c r="I92" s="311"/>
      <c r="J92" s="312"/>
      <c r="K92" s="326"/>
      <c r="L92" s="331"/>
      <c r="M92" s="301" t="s">
        <v>300</v>
      </c>
      <c r="N92" s="313" t="str">
        <f>N$41</f>
        <v>-</v>
      </c>
      <c r="O92" s="311"/>
      <c r="P92" s="312"/>
      <c r="Q92" s="326"/>
      <c r="R92" s="331"/>
      <c r="S92" s="301" t="s">
        <v>300</v>
      </c>
      <c r="T92" s="313" t="str">
        <f>T$41</f>
        <v>-</v>
      </c>
      <c r="U92" s="311"/>
      <c r="V92" s="312"/>
      <c r="W92" s="326"/>
      <c r="Y92" s="301" t="s">
        <v>300</v>
      </c>
      <c r="Z92" s="313" t="str">
        <f>Z$41</f>
        <v>-</v>
      </c>
      <c r="AA92" s="311"/>
      <c r="AB92" s="312"/>
      <c r="AC92" s="326"/>
    </row>
    <row r="93" spans="1:29" ht="15" customHeight="1">
      <c r="A93" s="304" t="s">
        <v>242</v>
      </c>
      <c r="B93" s="305" t="s">
        <v>301</v>
      </c>
      <c r="C93" s="306" t="s">
        <v>296</v>
      </c>
      <c r="D93" s="305" t="s">
        <v>78</v>
      </c>
      <c r="E93" s="307" t="s">
        <v>71</v>
      </c>
      <c r="G93" s="304" t="s">
        <v>242</v>
      </c>
      <c r="H93" s="305" t="s">
        <v>301</v>
      </c>
      <c r="I93" s="306" t="s">
        <v>296</v>
      </c>
      <c r="J93" s="305" t="s">
        <v>78</v>
      </c>
      <c r="K93" s="307" t="s">
        <v>71</v>
      </c>
      <c r="L93" s="329"/>
      <c r="M93" s="304" t="s">
        <v>242</v>
      </c>
      <c r="N93" s="305" t="s">
        <v>301</v>
      </c>
      <c r="O93" s="306" t="s">
        <v>296</v>
      </c>
      <c r="P93" s="305" t="s">
        <v>78</v>
      </c>
      <c r="Q93" s="307" t="s">
        <v>71</v>
      </c>
      <c r="R93" s="329"/>
      <c r="S93" s="304" t="s">
        <v>242</v>
      </c>
      <c r="T93" s="305" t="s">
        <v>301</v>
      </c>
      <c r="U93" s="306" t="s">
        <v>296</v>
      </c>
      <c r="V93" s="305" t="s">
        <v>78</v>
      </c>
      <c r="W93" s="307" t="s">
        <v>71</v>
      </c>
      <c r="Y93" s="304" t="s">
        <v>242</v>
      </c>
      <c r="Z93" s="305" t="s">
        <v>301</v>
      </c>
      <c r="AA93" s="306" t="s">
        <v>296</v>
      </c>
      <c r="AB93" s="305" t="s">
        <v>78</v>
      </c>
      <c r="AC93" s="307" t="s">
        <v>71</v>
      </c>
    </row>
    <row r="94" spans="1:29" ht="15" customHeight="1">
      <c r="A94" s="217" t="s">
        <v>0</v>
      </c>
      <c r="B94" s="194">
        <f>IFERROR(IF(B$92=A94,$D$40,0),0)</f>
        <v>0</v>
      </c>
      <c r="C94" s="218">
        <f>IFERROR(B94*INDEX(Assumptions!$C$46:$C$47,MATCH(A94,Assumptions!$A$46:$A$47,0)),0)</f>
        <v>0</v>
      </c>
      <c r="D94" s="219">
        <f>IF(C94&gt;0,INDEX(Assumptions!$F$5:$F$6,MATCH(A94,Assumptions!$E$5:$E$6,0)),0)</f>
        <v>0</v>
      </c>
      <c r="E94" s="220">
        <f>C94*D94*12</f>
        <v>0</v>
      </c>
      <c r="G94" s="217" t="s">
        <v>0</v>
      </c>
      <c r="H94" s="194">
        <f>IFERROR(IF(H$92=G94,$D$40,0),0)</f>
        <v>0</v>
      </c>
      <c r="I94" s="218">
        <f>IFERROR(H94*INDEX(Assumptions!$C$46:$C$47,MATCH(G94,Assumptions!$A$46:$A$47,0)),0)</f>
        <v>0</v>
      </c>
      <c r="J94" s="219">
        <f>IF(I94&gt;0,INDEX(Assumptions!$F$5:$F$6,MATCH(G94,Assumptions!$E$5:$E$6,0)),0)</f>
        <v>0</v>
      </c>
      <c r="K94" s="220">
        <f>I94*J94*12</f>
        <v>0</v>
      </c>
      <c r="L94" s="332"/>
      <c r="M94" s="217" t="s">
        <v>0</v>
      </c>
      <c r="N94" s="194">
        <f>IFERROR(IF(N$92=M94,$D$40,0),0)</f>
        <v>0</v>
      </c>
      <c r="O94" s="218">
        <f>IFERROR(N94*INDEX(Assumptions!$C$46:$C$47,MATCH(M94,Assumptions!$A$46:$A$47,0)),0)</f>
        <v>0</v>
      </c>
      <c r="P94" s="219">
        <f>IF(O94&gt;0,INDEX(Assumptions!$F$5:$F$6,MATCH(M94,Assumptions!$E$5:$E$6,0)),0)</f>
        <v>0</v>
      </c>
      <c r="Q94" s="220">
        <f>O94*P94*12</f>
        <v>0</v>
      </c>
      <c r="R94" s="332"/>
      <c r="S94" s="217" t="s">
        <v>0</v>
      </c>
      <c r="T94" s="194">
        <f>IFERROR(IF(T$92=S94,$D$40,0),0)</f>
        <v>0</v>
      </c>
      <c r="U94" s="218">
        <f>IFERROR(T94*INDEX(Assumptions!$C$46:$C$47,MATCH(S94,Assumptions!$A$46:$A$47,0)),0)</f>
        <v>0</v>
      </c>
      <c r="V94" s="219">
        <f>IF(U94&gt;0,INDEX(Assumptions!$F$5:$F$6,MATCH(S94,Assumptions!$E$5:$E$6,0)),0)</f>
        <v>0</v>
      </c>
      <c r="W94" s="220">
        <f>U94*V94*12</f>
        <v>0</v>
      </c>
      <c r="Y94" s="217" t="s">
        <v>0</v>
      </c>
      <c r="Z94" s="194">
        <f>IFERROR(IF(Z$92=Y94,$D$40,0),0)</f>
        <v>0</v>
      </c>
      <c r="AA94" s="218">
        <f>IFERROR(Z94*INDEX(Assumptions!$C$46:$C$47,MATCH(Y94,Assumptions!$A$46:$A$47,0)),0)</f>
        <v>0</v>
      </c>
      <c r="AB94" s="219">
        <f>IF(AA94&gt;0,INDEX(Assumptions!$F$5:$F$6,MATCH(Y94,Assumptions!$E$5:$E$6,0)),0)</f>
        <v>0</v>
      </c>
      <c r="AC94" s="220">
        <f>AA94*AB94*12</f>
        <v>0</v>
      </c>
    </row>
    <row r="95" spans="1:29" ht="15" customHeight="1" thickBot="1">
      <c r="A95" s="111" t="s">
        <v>204</v>
      </c>
      <c r="B95" s="314">
        <f>IFERROR(IF(B$92=A95,$D$40,0),0)</f>
        <v>0</v>
      </c>
      <c r="C95" s="215">
        <f>IFERROR(B95*INDEX(Assumptions!$C$46:$C$47,MATCH(A95,Assumptions!$A$46:$A$47,0)),0)</f>
        <v>0</v>
      </c>
      <c r="D95" s="315">
        <f>IF(C95&gt;0,INDEX(Assumptions!$F$5:$F$6,MATCH(A95,Assumptions!$E$5:$E$6,0)),0)</f>
        <v>0</v>
      </c>
      <c r="E95" s="187">
        <f>C95*D95*12</f>
        <v>0</v>
      </c>
      <c r="G95" s="111" t="s">
        <v>204</v>
      </c>
      <c r="H95" s="314">
        <f>IFERROR(IF(H$92=G95,$D$40,0),0)</f>
        <v>0</v>
      </c>
      <c r="I95" s="215">
        <f>IFERROR(H95*INDEX(Assumptions!$C$46:$C$47,MATCH(G95,Assumptions!$A$46:$A$47,0)),0)</f>
        <v>0</v>
      </c>
      <c r="J95" s="315">
        <f>IF(I95&gt;0,INDEX(Assumptions!$F$5:$F$6,MATCH(G95,Assumptions!$E$5:$E$6,0)),0)</f>
        <v>0</v>
      </c>
      <c r="K95" s="187">
        <f>I95*J95*12</f>
        <v>0</v>
      </c>
      <c r="L95" s="332"/>
      <c r="M95" s="111" t="s">
        <v>204</v>
      </c>
      <c r="N95" s="314">
        <f>IFERROR(IF(N$92=M95,$D$40,0),0)</f>
        <v>0</v>
      </c>
      <c r="O95" s="215">
        <f>IFERROR(N95*INDEX(Assumptions!$C$46:$C$47,MATCH(M95,Assumptions!$A$46:$A$47,0)),0)</f>
        <v>0</v>
      </c>
      <c r="P95" s="315">
        <f>IF(O95&gt;0,INDEX(Assumptions!$F$5:$F$6,MATCH(M95,Assumptions!$E$5:$E$6,0)),0)</f>
        <v>0</v>
      </c>
      <c r="Q95" s="187">
        <f>O95*P95*12</f>
        <v>0</v>
      </c>
      <c r="R95" s="332"/>
      <c r="S95" s="111" t="s">
        <v>204</v>
      </c>
      <c r="T95" s="314">
        <f>IFERROR(IF(T$92=S95,$D$40,0),0)</f>
        <v>0</v>
      </c>
      <c r="U95" s="215">
        <f>IFERROR(T95*INDEX(Assumptions!$C$46:$C$47,MATCH(S95,Assumptions!$A$46:$A$47,0)),0)</f>
        <v>0</v>
      </c>
      <c r="V95" s="315">
        <f>IF(U95&gt;0,INDEX(Assumptions!$F$5:$F$6,MATCH(S95,Assumptions!$E$5:$E$6,0)),0)</f>
        <v>0</v>
      </c>
      <c r="W95" s="187">
        <f>U95*V95*12</f>
        <v>0</v>
      </c>
      <c r="Y95" s="111" t="s">
        <v>204</v>
      </c>
      <c r="Z95" s="314">
        <f>IFERROR(IF(Z$92=Y95,$D$40,0),0)</f>
        <v>0</v>
      </c>
      <c r="AA95" s="215">
        <f>IFERROR(Z95*INDEX(Assumptions!$C$46:$C$47,MATCH(Y95,Assumptions!$A$46:$A$47,0)),0)</f>
        <v>0</v>
      </c>
      <c r="AB95" s="315">
        <f>IF(AA95&gt;0,INDEX(Assumptions!$F$5:$F$6,MATCH(Y95,Assumptions!$E$5:$E$6,0)),0)</f>
        <v>0</v>
      </c>
      <c r="AC95" s="187">
        <f>AA95*AB95*12</f>
        <v>0</v>
      </c>
    </row>
    <row r="96" spans="1:29" ht="15" customHeight="1" thickTop="1" thickBot="1">
      <c r="A96" s="12" t="s">
        <v>76</v>
      </c>
      <c r="B96" s="191">
        <f>SUM(B94:B95)</f>
        <v>0</v>
      </c>
      <c r="C96" s="191">
        <f>SUM(C94:C95)</f>
        <v>0</v>
      </c>
      <c r="D96" s="188">
        <f>IF(B96=0,0,E96/B96)</f>
        <v>0</v>
      </c>
      <c r="E96" s="189">
        <f>SUM(E94:E95)</f>
        <v>0</v>
      </c>
      <c r="G96" s="12" t="s">
        <v>76</v>
      </c>
      <c r="H96" s="191">
        <f>SUM(H94:H95)</f>
        <v>0</v>
      </c>
      <c r="I96" s="191">
        <f>SUM(I94:I95)</f>
        <v>0</v>
      </c>
      <c r="J96" s="188">
        <f>IF(H96=0,0,K96/H96)</f>
        <v>0</v>
      </c>
      <c r="K96" s="189">
        <f>SUM(K94:K95)</f>
        <v>0</v>
      </c>
      <c r="L96" s="332"/>
      <c r="M96" s="12" t="s">
        <v>76</v>
      </c>
      <c r="N96" s="191">
        <f>SUM(N94:N95)</f>
        <v>0</v>
      </c>
      <c r="O96" s="191">
        <f>SUM(O94:O95)</f>
        <v>0</v>
      </c>
      <c r="P96" s="188">
        <f>IF(N96=0,0,Q96/N96)</f>
        <v>0</v>
      </c>
      <c r="Q96" s="189">
        <f>SUM(Q94:Q95)</f>
        <v>0</v>
      </c>
      <c r="R96" s="332"/>
      <c r="S96" s="12" t="s">
        <v>76</v>
      </c>
      <c r="T96" s="191">
        <f>SUM(T94:T95)</f>
        <v>0</v>
      </c>
      <c r="U96" s="191">
        <f>SUM(U94:U95)</f>
        <v>0</v>
      </c>
      <c r="V96" s="188">
        <f>IF(T96=0,0,W96/T96)</f>
        <v>0</v>
      </c>
      <c r="W96" s="189">
        <f>SUM(W94:W95)</f>
        <v>0</v>
      </c>
      <c r="Y96" s="12" t="s">
        <v>76</v>
      </c>
      <c r="Z96" s="191">
        <f>SUM(Z94:Z95)</f>
        <v>0</v>
      </c>
      <c r="AA96" s="191">
        <f>SUM(AA94:AA95)</f>
        <v>0</v>
      </c>
      <c r="AB96" s="188">
        <f>IF(Z96=0,0,AC96/Z96)</f>
        <v>0</v>
      </c>
      <c r="AC96" s="189">
        <f>SUM(AC94:AC95)</f>
        <v>0</v>
      </c>
    </row>
    <row r="97" spans="1:29" ht="15" customHeight="1">
      <c r="A97" s="301" t="s">
        <v>302</v>
      </c>
      <c r="B97" s="313" t="str">
        <f>B$42</f>
        <v>-</v>
      </c>
      <c r="C97" s="311"/>
      <c r="D97" s="312"/>
      <c r="E97" s="326"/>
      <c r="G97" s="301" t="s">
        <v>302</v>
      </c>
      <c r="H97" s="313" t="str">
        <f>H$42</f>
        <v>-</v>
      </c>
      <c r="I97" s="311"/>
      <c r="J97" s="312"/>
      <c r="K97" s="326"/>
      <c r="L97" s="331"/>
      <c r="M97" s="301" t="s">
        <v>302</v>
      </c>
      <c r="N97" s="313" t="str">
        <f>N$42</f>
        <v>-</v>
      </c>
      <c r="O97" s="311"/>
      <c r="P97" s="312"/>
      <c r="Q97" s="326"/>
      <c r="R97" s="331"/>
      <c r="S97" s="301" t="s">
        <v>302</v>
      </c>
      <c r="T97" s="313" t="str">
        <f>T$42</f>
        <v>-</v>
      </c>
      <c r="U97" s="311"/>
      <c r="V97" s="312"/>
      <c r="W97" s="326"/>
      <c r="Y97" s="301" t="s">
        <v>302</v>
      </c>
      <c r="Z97" s="313" t="str">
        <f>Z$42</f>
        <v>-</v>
      </c>
      <c r="AA97" s="311"/>
      <c r="AB97" s="312"/>
      <c r="AC97" s="326"/>
    </row>
    <row r="98" spans="1:29" ht="15" customHeight="1">
      <c r="A98" s="304" t="s">
        <v>242</v>
      </c>
      <c r="B98" s="305" t="s">
        <v>301</v>
      </c>
      <c r="C98" s="306" t="s">
        <v>296</v>
      </c>
      <c r="D98" s="305" t="s">
        <v>78</v>
      </c>
      <c r="E98" s="307" t="s">
        <v>71</v>
      </c>
      <c r="G98" s="304" t="s">
        <v>242</v>
      </c>
      <c r="H98" s="305" t="s">
        <v>301</v>
      </c>
      <c r="I98" s="306" t="s">
        <v>296</v>
      </c>
      <c r="J98" s="305" t="s">
        <v>78</v>
      </c>
      <c r="K98" s="307" t="s">
        <v>71</v>
      </c>
      <c r="L98" s="329"/>
      <c r="M98" s="304" t="s">
        <v>242</v>
      </c>
      <c r="N98" s="305" t="s">
        <v>301</v>
      </c>
      <c r="O98" s="306" t="s">
        <v>296</v>
      </c>
      <c r="P98" s="305" t="s">
        <v>78</v>
      </c>
      <c r="Q98" s="307" t="s">
        <v>71</v>
      </c>
      <c r="R98" s="329"/>
      <c r="S98" s="304" t="s">
        <v>242</v>
      </c>
      <c r="T98" s="305" t="s">
        <v>301</v>
      </c>
      <c r="U98" s="306" t="s">
        <v>296</v>
      </c>
      <c r="V98" s="305" t="s">
        <v>78</v>
      </c>
      <c r="W98" s="307" t="s">
        <v>71</v>
      </c>
      <c r="Y98" s="304" t="s">
        <v>242</v>
      </c>
      <c r="Z98" s="305" t="s">
        <v>301</v>
      </c>
      <c r="AA98" s="306" t="s">
        <v>296</v>
      </c>
      <c r="AB98" s="305" t="s">
        <v>78</v>
      </c>
      <c r="AC98" s="307" t="s">
        <v>71</v>
      </c>
    </row>
    <row r="99" spans="1:29" ht="15" customHeight="1">
      <c r="A99" s="316" t="s">
        <v>285</v>
      </c>
      <c r="B99" s="194">
        <f>IFERROR(IF(B$97=A99,D$42,0),0)</f>
        <v>0</v>
      </c>
      <c r="C99" s="218">
        <f>IFERROR(B99*INDEX(Assumptions!$C$48:$C$50,MATCH(A99,Assumptions!$A$48:$A$50,0)),0)</f>
        <v>0</v>
      </c>
      <c r="D99" s="219">
        <f>IF(C99&gt;0,INDEX(Assumptions!$F$7:$F$8,MATCH(A99,Assumptions!$E$7:$E$8,0)),0)</f>
        <v>0</v>
      </c>
      <c r="E99" s="186">
        <f>C99*D99*12</f>
        <v>0</v>
      </c>
      <c r="G99" s="316" t="s">
        <v>285</v>
      </c>
      <c r="H99" s="194">
        <f>IFERROR(IF(H$97=G99,J$42,0),0)</f>
        <v>0</v>
      </c>
      <c r="I99" s="218">
        <f>IFERROR(H99*INDEX(Assumptions!$C$48:$C$50,MATCH(G99,Assumptions!$A$48:$A$50,0)),0)</f>
        <v>0</v>
      </c>
      <c r="J99" s="219">
        <f>IF(I99&gt;0,INDEX(Assumptions!$F$7:$F$8,MATCH(G99,Assumptions!$E$7:$E$8,0)),0)</f>
        <v>0</v>
      </c>
      <c r="K99" s="186">
        <f>I99*J99*12</f>
        <v>0</v>
      </c>
      <c r="L99" s="332"/>
      <c r="M99" s="316" t="s">
        <v>285</v>
      </c>
      <c r="N99" s="194">
        <f>IFERROR(IF(N$97=M99,P$42,0),0)</f>
        <v>0</v>
      </c>
      <c r="O99" s="218">
        <f>IFERROR(N99*INDEX(Assumptions!$C$48:$C$50,MATCH(M99,Assumptions!$A$48:$A$50,0)),0)</f>
        <v>0</v>
      </c>
      <c r="P99" s="219">
        <f>IF(O99&gt;0,INDEX(Assumptions!$F$7:$F$8,MATCH(M99,Assumptions!$E$7:$E$8,0)),0)</f>
        <v>0</v>
      </c>
      <c r="Q99" s="186">
        <f>O99*P99*12</f>
        <v>0</v>
      </c>
      <c r="R99" s="332"/>
      <c r="S99" s="316" t="s">
        <v>285</v>
      </c>
      <c r="T99" s="194">
        <f>IFERROR(IF(T$97=S99,V$42,0),0)</f>
        <v>0</v>
      </c>
      <c r="U99" s="218">
        <f>IFERROR(T99*INDEX(Assumptions!$C$48:$C$50,MATCH(S99,Assumptions!$A$48:$A$50,0)),0)</f>
        <v>0</v>
      </c>
      <c r="V99" s="219">
        <f>IF(U99&gt;0,INDEX(Assumptions!$F$7:$F$8,MATCH(S99,Assumptions!$E$7:$E$8,0)),0)</f>
        <v>0</v>
      </c>
      <c r="W99" s="186">
        <f>U99*V99*12</f>
        <v>0</v>
      </c>
      <c r="Y99" s="316" t="s">
        <v>285</v>
      </c>
      <c r="Z99" s="194">
        <f>IFERROR(IF(Z$97=Y99,AB$42,0),0)</f>
        <v>0</v>
      </c>
      <c r="AA99" s="218">
        <f>IFERROR(Z99*INDEX(Assumptions!$C$48:$C$50,MATCH(Y99,Assumptions!$A$48:$A$50,0)),0)</f>
        <v>0</v>
      </c>
      <c r="AB99" s="219">
        <f>IF(AA99&gt;0,INDEX(Assumptions!$F$7:$F$8,MATCH(Y99,Assumptions!$E$7:$E$8,0)),0)</f>
        <v>0</v>
      </c>
      <c r="AC99" s="186">
        <f>AA99*AB99*12</f>
        <v>0</v>
      </c>
    </row>
    <row r="100" spans="1:29" ht="15" customHeight="1" thickBot="1">
      <c r="A100" s="111" t="s">
        <v>190</v>
      </c>
      <c r="B100" s="192">
        <f>IFERROR(IF(B$97=A100,D$42,0),0)</f>
        <v>0</v>
      </c>
      <c r="C100" s="215">
        <f>IFERROR(B100*INDEX(Assumptions!$C$48:$C$50,MATCH(A100,Assumptions!$A$48:$A$50,0)),0)</f>
        <v>0</v>
      </c>
      <c r="D100" s="315">
        <f>IF(C100&gt;0,INDEX(Assumptions!$F$7:$F$8,MATCH(A100,Assumptions!$E$7:$E$8,0)),0)</f>
        <v>0</v>
      </c>
      <c r="E100" s="187">
        <f>C100*D100*12</f>
        <v>0</v>
      </c>
      <c r="G100" s="111" t="s">
        <v>190</v>
      </c>
      <c r="H100" s="192">
        <f>IFERROR(IF(H$97=G100,J$42,0),0)</f>
        <v>0</v>
      </c>
      <c r="I100" s="215">
        <f>IFERROR(H100*INDEX(Assumptions!$C$48:$C$50,MATCH(G100,Assumptions!$A$48:$A$50,0)),0)</f>
        <v>0</v>
      </c>
      <c r="J100" s="315">
        <f>IF(I100&gt;0,INDEX(Assumptions!$F$7:$F$8,MATCH(G100,Assumptions!$E$7:$E$8,0)),0)</f>
        <v>0</v>
      </c>
      <c r="K100" s="187">
        <f>I100*J100*12</f>
        <v>0</v>
      </c>
      <c r="L100" s="332"/>
      <c r="M100" s="111" t="s">
        <v>190</v>
      </c>
      <c r="N100" s="192">
        <f>IFERROR(IF(N$97=M100,P$42,0),0)</f>
        <v>0</v>
      </c>
      <c r="O100" s="215">
        <f>IFERROR(N100*INDEX(Assumptions!$C$48:$C$50,MATCH(M100,Assumptions!$A$48:$A$50,0)),0)</f>
        <v>0</v>
      </c>
      <c r="P100" s="315">
        <f>IF(O100&gt;0,INDEX(Assumptions!$F$7:$F$8,MATCH(M100,Assumptions!$E$7:$E$8,0)),0)</f>
        <v>0</v>
      </c>
      <c r="Q100" s="187">
        <f>O100*P100*12</f>
        <v>0</v>
      </c>
      <c r="R100" s="332"/>
      <c r="S100" s="111" t="s">
        <v>190</v>
      </c>
      <c r="T100" s="192">
        <f>IFERROR(IF(T$97=S100,V$42,0),0)</f>
        <v>0</v>
      </c>
      <c r="U100" s="215">
        <f>IFERROR(T100*INDEX(Assumptions!$C$48:$C$50,MATCH(S100,Assumptions!$A$48:$A$50,0)),0)</f>
        <v>0</v>
      </c>
      <c r="V100" s="315">
        <f>IF(U100&gt;0,INDEX(Assumptions!$F$7:$F$8,MATCH(S100,Assumptions!$E$7:$E$8,0)),0)</f>
        <v>0</v>
      </c>
      <c r="W100" s="187">
        <f>U100*V100*12</f>
        <v>0</v>
      </c>
      <c r="Y100" s="111" t="s">
        <v>190</v>
      </c>
      <c r="Z100" s="192">
        <f>IFERROR(IF(Z$97=Y100,AB$42,0),0)</f>
        <v>0</v>
      </c>
      <c r="AA100" s="215">
        <f>IFERROR(Z100*INDEX(Assumptions!$C$48:$C$50,MATCH(Y100,Assumptions!$A$48:$A$50,0)),0)</f>
        <v>0</v>
      </c>
      <c r="AB100" s="315">
        <f>IF(AA100&gt;0,INDEX(Assumptions!$F$7:$F$8,MATCH(Y100,Assumptions!$E$7:$E$8,0)),0)</f>
        <v>0</v>
      </c>
      <c r="AC100" s="187">
        <f>AA100*AB100*12</f>
        <v>0</v>
      </c>
    </row>
    <row r="101" spans="1:29" ht="15" customHeight="1" thickTop="1" thickBot="1">
      <c r="A101" s="12" t="s">
        <v>76</v>
      </c>
      <c r="B101" s="191">
        <f>SUM(B99:B100)</f>
        <v>0</v>
      </c>
      <c r="C101" s="191">
        <f>SUM(C99:C100)</f>
        <v>0</v>
      </c>
      <c r="D101" s="188">
        <f>IF(B101=0,0,E101/B101)</f>
        <v>0</v>
      </c>
      <c r="E101" s="189">
        <f>SUM(E99:E100)</f>
        <v>0</v>
      </c>
      <c r="G101" s="12" t="s">
        <v>76</v>
      </c>
      <c r="H101" s="191">
        <f>SUM(H99:H100)</f>
        <v>0</v>
      </c>
      <c r="I101" s="191">
        <f>SUM(I99:I100)</f>
        <v>0</v>
      </c>
      <c r="J101" s="188">
        <f>IF(H101=0,0,K101/H101)</f>
        <v>0</v>
      </c>
      <c r="K101" s="189">
        <f>SUM(K99:K100)</f>
        <v>0</v>
      </c>
      <c r="L101" s="332"/>
      <c r="M101" s="12" t="s">
        <v>76</v>
      </c>
      <c r="N101" s="191">
        <f>SUM(N99:N100)</f>
        <v>0</v>
      </c>
      <c r="O101" s="191">
        <f>SUM(O99:O100)</f>
        <v>0</v>
      </c>
      <c r="P101" s="188">
        <f>IF(N101=0,0,Q101/N101)</f>
        <v>0</v>
      </c>
      <c r="Q101" s="189">
        <f>SUM(Q99:Q100)</f>
        <v>0</v>
      </c>
      <c r="R101" s="332"/>
      <c r="S101" s="12" t="s">
        <v>76</v>
      </c>
      <c r="T101" s="191">
        <f>SUM(T99:T100)</f>
        <v>0</v>
      </c>
      <c r="U101" s="191">
        <f>SUM(U99:U100)</f>
        <v>0</v>
      </c>
      <c r="V101" s="188">
        <f>IF(T101=0,0,W101/T101)</f>
        <v>0</v>
      </c>
      <c r="W101" s="189">
        <f>SUM(W99:W100)</f>
        <v>0</v>
      </c>
      <c r="Y101" s="12" t="s">
        <v>76</v>
      </c>
      <c r="Z101" s="191">
        <f>SUM(Z99:Z100)</f>
        <v>0</v>
      </c>
      <c r="AA101" s="191">
        <f>SUM(AA99:AA100)</f>
        <v>0</v>
      </c>
      <c r="AB101" s="188">
        <f>IF(Z101=0,0,AC101/Z101)</f>
        <v>0</v>
      </c>
      <c r="AC101" s="189">
        <f>SUM(AC99:AC100)</f>
        <v>0</v>
      </c>
    </row>
    <row r="102" spans="1:29" ht="15" customHeight="1">
      <c r="A102" s="337" t="s">
        <v>315</v>
      </c>
      <c r="B102" s="338" t="s">
        <v>301</v>
      </c>
      <c r="C102" s="339" t="s">
        <v>207</v>
      </c>
      <c r="D102" s="339" t="s">
        <v>272</v>
      </c>
      <c r="E102" s="340" t="s">
        <v>71</v>
      </c>
      <c r="G102" s="337" t="s">
        <v>315</v>
      </c>
      <c r="H102" s="338" t="s">
        <v>301</v>
      </c>
      <c r="I102" s="339" t="s">
        <v>207</v>
      </c>
      <c r="J102" s="339" t="s">
        <v>272</v>
      </c>
      <c r="K102" s="340" t="s">
        <v>71</v>
      </c>
      <c r="M102" s="337" t="s">
        <v>315</v>
      </c>
      <c r="N102" s="338" t="s">
        <v>301</v>
      </c>
      <c r="O102" s="339" t="s">
        <v>207</v>
      </c>
      <c r="P102" s="339" t="s">
        <v>272</v>
      </c>
      <c r="Q102" s="340" t="s">
        <v>71</v>
      </c>
      <c r="S102" s="337" t="s">
        <v>315</v>
      </c>
      <c r="T102" s="338" t="s">
        <v>301</v>
      </c>
      <c r="U102" s="339" t="s">
        <v>207</v>
      </c>
      <c r="V102" s="339" t="s">
        <v>272</v>
      </c>
      <c r="W102" s="340" t="s">
        <v>71</v>
      </c>
      <c r="Y102" s="337" t="s">
        <v>315</v>
      </c>
      <c r="Z102" s="338" t="s">
        <v>301</v>
      </c>
      <c r="AA102" s="339" t="s">
        <v>207</v>
      </c>
      <c r="AB102" s="339" t="s">
        <v>272</v>
      </c>
      <c r="AC102" s="340" t="s">
        <v>71</v>
      </c>
    </row>
    <row r="103" spans="1:29" ht="15" customHeight="1" thickBot="1">
      <c r="A103" s="341"/>
      <c r="B103" s="335">
        <f>D43</f>
        <v>10002.6</v>
      </c>
      <c r="C103" s="295">
        <f>IF(B103=0,0,IFERROR((B103/Assumptions!$C$82)-1,0))</f>
        <v>60.744444444444447</v>
      </c>
      <c r="D103" s="334"/>
      <c r="E103" s="187"/>
      <c r="G103" s="341"/>
      <c r="H103" s="335">
        <f>J43</f>
        <v>10280</v>
      </c>
      <c r="I103" s="295">
        <f>IF(H103=0,0,IFERROR((H103/Assumptions!$C$82)-1,0))</f>
        <v>62.456790123456791</v>
      </c>
      <c r="J103" s="334"/>
      <c r="K103" s="187"/>
      <c r="M103" s="341"/>
      <c r="N103" s="335">
        <f>P43</f>
        <v>14761</v>
      </c>
      <c r="O103" s="295">
        <f>IF(N103=0,0,IFERROR((N103/Assumptions!$C$82)-1,0))</f>
        <v>90.117283950617278</v>
      </c>
      <c r="P103" s="334"/>
      <c r="Q103" s="187"/>
      <c r="S103" s="341"/>
      <c r="T103" s="335">
        <f>V43</f>
        <v>52370</v>
      </c>
      <c r="U103" s="295">
        <f>IF(T103=0,0,IFERROR((T103/Assumptions!$C$82)-1,0))</f>
        <v>322.27160493827159</v>
      </c>
      <c r="V103" s="334"/>
      <c r="W103" s="187"/>
      <c r="Y103" s="341"/>
      <c r="Z103" s="335">
        <f>AB43</f>
        <v>107645.5</v>
      </c>
      <c r="AA103" s="295">
        <f>IF(Z103=0,0,IFERROR((Z103/Assumptions!$C$82)-1,0))</f>
        <v>663.47839506172841</v>
      </c>
      <c r="AB103" s="334"/>
      <c r="AC103" s="187"/>
    </row>
    <row r="104" spans="1:29" ht="15" customHeight="1" thickTop="1">
      <c r="A104" s="461" t="s">
        <v>79</v>
      </c>
      <c r="B104" s="336">
        <f>B$103*B44</f>
        <v>10002.6</v>
      </c>
      <c r="C104" s="333">
        <f>IF(B104=0,0,IFERROR((B104/Assumptions!$C$82)-1,0))</f>
        <v>60.744444444444447</v>
      </c>
      <c r="D104" s="118">
        <f>Assumptions!$C85</f>
        <v>250</v>
      </c>
      <c r="E104" s="220">
        <f>IF(B$56&gt;0,0,IF(C104&lt;0,0,C104*D104*12))</f>
        <v>182233.33333333334</v>
      </c>
      <c r="G104" s="461" t="s">
        <v>79</v>
      </c>
      <c r="H104" s="336">
        <f>H$103*H44</f>
        <v>10280</v>
      </c>
      <c r="I104" s="333">
        <f>IF(H104=0,0,IFERROR((H104/Assumptions!$C$82)-1,0))</f>
        <v>62.456790123456791</v>
      </c>
      <c r="J104" s="118">
        <f>Assumptions!$C85</f>
        <v>250</v>
      </c>
      <c r="K104" s="220">
        <f>IF(H$56&gt;0,0,IF(I104&lt;0,0,I104*J104*12))</f>
        <v>187370.37037037036</v>
      </c>
      <c r="M104" s="461" t="s">
        <v>79</v>
      </c>
      <c r="N104" s="336">
        <f>N$103*N44</f>
        <v>14761</v>
      </c>
      <c r="O104" s="333">
        <f>IF(N104=0,0,IFERROR((N104/Assumptions!$C$82)-1,0))</f>
        <v>90.117283950617278</v>
      </c>
      <c r="P104" s="118">
        <f>Assumptions!$C85</f>
        <v>250</v>
      </c>
      <c r="Q104" s="220">
        <f>IF(N$56&gt;0,0,IF(O104&lt;0,0,O104*P104*12))</f>
        <v>270351.8518518518</v>
      </c>
      <c r="S104" s="461" t="s">
        <v>79</v>
      </c>
      <c r="T104" s="336">
        <f>T$103*T44</f>
        <v>52370</v>
      </c>
      <c r="U104" s="333">
        <f>IF(T104=0,0,IFERROR((T104/Assumptions!$C$82)-1,0))</f>
        <v>322.27160493827159</v>
      </c>
      <c r="V104" s="118">
        <f>Assumptions!$C85</f>
        <v>250</v>
      </c>
      <c r="W104" s="220">
        <f>IF(T$56&gt;0,0,IF(U104&lt;0,0,U104*V104*12))</f>
        <v>966814.81481481472</v>
      </c>
      <c r="Y104" s="461" t="s">
        <v>79</v>
      </c>
      <c r="Z104" s="336">
        <f>Z$103*Z44</f>
        <v>64587.299999999996</v>
      </c>
      <c r="AA104" s="333">
        <f>IF(Z104=0,0,IFERROR((Z104/Assumptions!$C$82)-1,0))</f>
        <v>397.68703703703699</v>
      </c>
      <c r="AB104" s="118">
        <f>Assumptions!$C85</f>
        <v>250</v>
      </c>
      <c r="AC104" s="220">
        <f>IF(Z$56&gt;0,0,IF(AA104&lt;0,0,AA104*AB104*12))</f>
        <v>1193061.111111111</v>
      </c>
    </row>
    <row r="105" spans="1:29" ht="15" customHeight="1" thickBot="1">
      <c r="A105" s="462" t="s">
        <v>269</v>
      </c>
      <c r="B105" s="342">
        <f>B$103*C44</f>
        <v>0</v>
      </c>
      <c r="C105" s="343">
        <f>IF(B105=0,0,IFERROR((B105/Assumptions!$C$82)-1,0))</f>
        <v>0</v>
      </c>
      <c r="D105" s="344">
        <f>Assumptions!$C86</f>
        <v>200</v>
      </c>
      <c r="E105" s="345">
        <f>IF(B$56&gt;0,0,IF(C105&lt;0,0,C105*D105*12))</f>
        <v>0</v>
      </c>
      <c r="G105" s="462" t="s">
        <v>269</v>
      </c>
      <c r="H105" s="342">
        <f>H$103*I44</f>
        <v>0</v>
      </c>
      <c r="I105" s="343">
        <f>IF(H105=0,0,IFERROR((H105/Assumptions!$C$82)-1,0))</f>
        <v>0</v>
      </c>
      <c r="J105" s="344">
        <f>Assumptions!$C86</f>
        <v>200</v>
      </c>
      <c r="K105" s="345">
        <f>IF(H$56&gt;0,0,IF(I105&lt;0,0,I105*J105*12))</f>
        <v>0</v>
      </c>
      <c r="M105" s="462" t="s">
        <v>269</v>
      </c>
      <c r="N105" s="342">
        <f>N$103*O44</f>
        <v>0</v>
      </c>
      <c r="O105" s="343">
        <f>IF(N105=0,0,IFERROR((N105/Assumptions!$C$82)-1,0))</f>
        <v>0</v>
      </c>
      <c r="P105" s="344">
        <f>Assumptions!$C86</f>
        <v>200</v>
      </c>
      <c r="Q105" s="345">
        <f>IF(N$56&gt;0,0,IF(O105&lt;0,0,O105*P105*12))</f>
        <v>0</v>
      </c>
      <c r="S105" s="462" t="s">
        <v>269</v>
      </c>
      <c r="T105" s="342">
        <f>T$103*U44</f>
        <v>0</v>
      </c>
      <c r="U105" s="343">
        <f>IF(T105=0,0,IFERROR((T105/Assumptions!$C$82)-1,0))</f>
        <v>0</v>
      </c>
      <c r="V105" s="344">
        <f>Assumptions!$C86</f>
        <v>200</v>
      </c>
      <c r="W105" s="345">
        <f>IF(T$56&gt;0,0,IF(U105&lt;0,0,U105*V105*12))</f>
        <v>0</v>
      </c>
      <c r="Y105" s="462" t="s">
        <v>269</v>
      </c>
      <c r="Z105" s="342">
        <f>Z$103*AA44</f>
        <v>43058.200000000004</v>
      </c>
      <c r="AA105" s="343">
        <f>IF(Z105=0,0,IFERROR((Z105/Assumptions!$C$82)-1,0))</f>
        <v>264.79135802469136</v>
      </c>
      <c r="AB105" s="344">
        <f>Assumptions!$C86</f>
        <v>200</v>
      </c>
      <c r="AC105" s="345">
        <f>IF(Z$56&gt;0,0,IF(AA105&lt;0,0,AA105*AB105*12))</f>
        <v>635499.25925925933</v>
      </c>
    </row>
    <row r="106" spans="1:29" ht="10" customHeight="1" thickBot="1"/>
    <row r="107" spans="1:29" ht="15" customHeight="1" thickBot="1">
      <c r="A107" s="259" t="s">
        <v>81</v>
      </c>
      <c r="B107" s="260"/>
      <c r="C107" s="256" t="str">
        <f>B34</f>
        <v>Student Housing 1</v>
      </c>
      <c r="D107" s="256"/>
      <c r="E107" s="281"/>
      <c r="F107" s="13"/>
      <c r="G107" s="259" t="s">
        <v>81</v>
      </c>
      <c r="H107" s="260"/>
      <c r="I107" s="256" t="str">
        <f>H34</f>
        <v>Student Housing 2</v>
      </c>
      <c r="J107" s="256"/>
      <c r="K107" s="281"/>
      <c r="L107" s="13"/>
      <c r="M107" s="259" t="s">
        <v>81</v>
      </c>
      <c r="N107" s="260"/>
      <c r="O107" s="256" t="str">
        <f>N34</f>
        <v>Student Housing 3</v>
      </c>
      <c r="P107" s="256"/>
      <c r="Q107" s="281"/>
      <c r="R107" s="13"/>
      <c r="S107" s="259" t="s">
        <v>81</v>
      </c>
      <c r="T107" s="260"/>
      <c r="U107" s="256" t="str">
        <f>T34</f>
        <v>Multifamily 5</v>
      </c>
      <c r="V107" s="256"/>
      <c r="W107" s="281"/>
      <c r="Y107" s="259" t="s">
        <v>81</v>
      </c>
      <c r="Z107" s="260"/>
      <c r="AA107" s="256" t="str">
        <f>Z34</f>
        <v>Parking lot</v>
      </c>
      <c r="AB107" s="256"/>
      <c r="AC107" s="281"/>
    </row>
    <row r="108" spans="1:29" ht="13.5" thickBot="1">
      <c r="A108" s="282" t="s">
        <v>353</v>
      </c>
      <c r="B108" s="257" t="s">
        <v>276</v>
      </c>
      <c r="C108" s="257" t="s">
        <v>277</v>
      </c>
      <c r="D108" s="257" t="s">
        <v>278</v>
      </c>
      <c r="E108" s="283" t="s">
        <v>83</v>
      </c>
      <c r="F108" s="13"/>
      <c r="G108" s="282" t="s">
        <v>353</v>
      </c>
      <c r="H108" s="257" t="s">
        <v>276</v>
      </c>
      <c r="I108" s="257" t="s">
        <v>277</v>
      </c>
      <c r="J108" s="257" t="s">
        <v>278</v>
      </c>
      <c r="K108" s="283" t="s">
        <v>83</v>
      </c>
      <c r="L108" s="13"/>
      <c r="M108" s="282" t="s">
        <v>353</v>
      </c>
      <c r="N108" s="257" t="s">
        <v>276</v>
      </c>
      <c r="O108" s="257" t="s">
        <v>277</v>
      </c>
      <c r="P108" s="257" t="s">
        <v>278</v>
      </c>
      <c r="Q108" s="283" t="s">
        <v>83</v>
      </c>
      <c r="R108" s="13"/>
      <c r="S108" s="282" t="s">
        <v>353</v>
      </c>
      <c r="T108" s="257" t="s">
        <v>276</v>
      </c>
      <c r="U108" s="257" t="s">
        <v>277</v>
      </c>
      <c r="V108" s="257" t="s">
        <v>278</v>
      </c>
      <c r="W108" s="283" t="s">
        <v>83</v>
      </c>
      <c r="Y108" s="282" t="s">
        <v>353</v>
      </c>
      <c r="Z108" s="257" t="s">
        <v>276</v>
      </c>
      <c r="AA108" s="257" t="s">
        <v>277</v>
      </c>
      <c r="AB108" s="257" t="s">
        <v>278</v>
      </c>
      <c r="AC108" s="283" t="s">
        <v>83</v>
      </c>
    </row>
    <row r="109" spans="1:29" ht="12.5">
      <c r="A109" s="112" t="s">
        <v>268</v>
      </c>
      <c r="B109" s="113"/>
      <c r="C109" s="114"/>
      <c r="D109" s="262"/>
      <c r="E109" s="14">
        <f>SUM(E53,E69,E85)</f>
        <v>603511.72200000007</v>
      </c>
      <c r="F109" s="13"/>
      <c r="G109" s="112" t="s">
        <v>268</v>
      </c>
      <c r="H109" s="113"/>
      <c r="I109" s="114"/>
      <c r="J109" s="262"/>
      <c r="K109" s="14">
        <f>SUM(K53,K69,K85)</f>
        <v>1426482.2519999999</v>
      </c>
      <c r="L109" s="13"/>
      <c r="M109" s="112" t="s">
        <v>268</v>
      </c>
      <c r="N109" s="113"/>
      <c r="O109" s="114"/>
      <c r="P109" s="262"/>
      <c r="Q109" s="14">
        <f>SUM(Q53,Q69,Q85)</f>
        <v>1371617.55</v>
      </c>
      <c r="R109" s="13"/>
      <c r="S109" s="112" t="s">
        <v>268</v>
      </c>
      <c r="T109" s="113"/>
      <c r="U109" s="114"/>
      <c r="V109" s="262"/>
      <c r="W109" s="14">
        <f>SUM(W53,W69,W85)</f>
        <v>2724568.4977333331</v>
      </c>
      <c r="Y109" s="112" t="s">
        <v>268</v>
      </c>
      <c r="Z109" s="113"/>
      <c r="AA109" s="114"/>
      <c r="AB109" s="262"/>
      <c r="AC109" s="14">
        <f>SUM(AC53,AC69,AC85)</f>
        <v>0</v>
      </c>
    </row>
    <row r="110" spans="1:29" ht="12.5">
      <c r="A110" s="275" t="s">
        <v>313</v>
      </c>
      <c r="B110" s="113"/>
      <c r="C110" s="114"/>
      <c r="D110" s="277"/>
      <c r="E110" s="276">
        <f>SUM(E91,E96)</f>
        <v>0</v>
      </c>
      <c r="F110" s="13"/>
      <c r="G110" s="275" t="s">
        <v>313</v>
      </c>
      <c r="H110" s="113"/>
      <c r="I110" s="114"/>
      <c r="J110" s="277"/>
      <c r="K110" s="276">
        <f>SUM(K91,K96)</f>
        <v>0</v>
      </c>
      <c r="L110" s="13"/>
      <c r="M110" s="275" t="s">
        <v>313</v>
      </c>
      <c r="N110" s="113"/>
      <c r="O110" s="114"/>
      <c r="P110" s="277"/>
      <c r="Q110" s="276">
        <f>SUM(Q91,Q96)</f>
        <v>0</v>
      </c>
      <c r="R110" s="13"/>
      <c r="S110" s="275" t="s">
        <v>313</v>
      </c>
      <c r="T110" s="113"/>
      <c r="U110" s="114"/>
      <c r="V110" s="277"/>
      <c r="W110" s="276">
        <f>SUM(W91,W96)</f>
        <v>0</v>
      </c>
      <c r="Y110" s="275" t="s">
        <v>313</v>
      </c>
      <c r="Z110" s="113"/>
      <c r="AA110" s="114"/>
      <c r="AB110" s="277"/>
      <c r="AC110" s="276">
        <f>SUM(AC91,AC96)</f>
        <v>0</v>
      </c>
    </row>
    <row r="111" spans="1:29" ht="12.5">
      <c r="A111" s="266" t="s">
        <v>314</v>
      </c>
      <c r="B111" s="694"/>
      <c r="C111" s="694"/>
      <c r="D111" s="116"/>
      <c r="E111" s="252">
        <f>E101</f>
        <v>0</v>
      </c>
      <c r="F111" s="13"/>
      <c r="G111" s="266" t="s">
        <v>314</v>
      </c>
      <c r="H111" s="694"/>
      <c r="I111" s="694"/>
      <c r="J111" s="116"/>
      <c r="K111" s="252">
        <f>K101</f>
        <v>0</v>
      </c>
      <c r="L111" s="13"/>
      <c r="M111" s="266" t="s">
        <v>314</v>
      </c>
      <c r="N111" s="694"/>
      <c r="O111" s="694"/>
      <c r="P111" s="116"/>
      <c r="Q111" s="252">
        <f>Q101</f>
        <v>0</v>
      </c>
      <c r="R111" s="13"/>
      <c r="S111" s="266" t="s">
        <v>314</v>
      </c>
      <c r="T111" s="694"/>
      <c r="U111" s="694"/>
      <c r="V111" s="116"/>
      <c r="W111" s="252">
        <f>W101</f>
        <v>0</v>
      </c>
      <c r="Y111" s="266" t="s">
        <v>314</v>
      </c>
      <c r="Z111" s="694"/>
      <c r="AA111" s="694"/>
      <c r="AB111" s="116"/>
      <c r="AC111" s="252">
        <f>AC101</f>
        <v>0</v>
      </c>
    </row>
    <row r="112" spans="1:29" ht="13">
      <c r="A112" s="284" t="s">
        <v>275</v>
      </c>
      <c r="B112" s="273"/>
      <c r="C112" s="273"/>
      <c r="D112" s="267"/>
      <c r="E112" s="285">
        <f>SUM(E109:E111)</f>
        <v>603511.72200000007</v>
      </c>
      <c r="F112" s="13"/>
      <c r="G112" s="284" t="s">
        <v>275</v>
      </c>
      <c r="H112" s="273"/>
      <c r="I112" s="273"/>
      <c r="J112" s="267"/>
      <c r="K112" s="285">
        <f>SUM(K109:K111)</f>
        <v>1426482.2519999999</v>
      </c>
      <c r="L112" s="13"/>
      <c r="M112" s="284" t="s">
        <v>275</v>
      </c>
      <c r="N112" s="273"/>
      <c r="O112" s="273"/>
      <c r="P112" s="267"/>
      <c r="Q112" s="285">
        <f>SUM(Q109:Q111)</f>
        <v>1371617.55</v>
      </c>
      <c r="R112" s="13"/>
      <c r="S112" s="284" t="s">
        <v>275</v>
      </c>
      <c r="T112" s="273"/>
      <c r="U112" s="273"/>
      <c r="V112" s="267"/>
      <c r="W112" s="285">
        <f>SUM(W109:W111)</f>
        <v>2724568.4977333331</v>
      </c>
      <c r="Y112" s="284" t="s">
        <v>275</v>
      </c>
      <c r="Z112" s="273"/>
      <c r="AA112" s="273"/>
      <c r="AB112" s="267"/>
      <c r="AC112" s="285">
        <f>SUM(AC109:AC111)</f>
        <v>0</v>
      </c>
    </row>
    <row r="113" spans="1:29" ht="13">
      <c r="A113" s="695"/>
      <c r="B113" s="696"/>
      <c r="C113" s="696"/>
      <c r="D113" s="696"/>
      <c r="E113" s="697"/>
      <c r="F113" s="13"/>
      <c r="G113" s="695"/>
      <c r="H113" s="696"/>
      <c r="I113" s="696"/>
      <c r="J113" s="696"/>
      <c r="K113" s="697"/>
      <c r="L113" s="13"/>
      <c r="M113" s="695"/>
      <c r="N113" s="696"/>
      <c r="O113" s="696"/>
      <c r="P113" s="696"/>
      <c r="Q113" s="697"/>
      <c r="R113" s="13"/>
      <c r="S113" s="695"/>
      <c r="T113" s="696"/>
      <c r="U113" s="696"/>
      <c r="V113" s="696"/>
      <c r="W113" s="697"/>
      <c r="Y113" s="695"/>
      <c r="Z113" s="696"/>
      <c r="AA113" s="696"/>
      <c r="AB113" s="696"/>
      <c r="AC113" s="697"/>
    </row>
    <row r="114" spans="1:29" ht="13">
      <c r="A114" s="286" t="s">
        <v>84</v>
      </c>
      <c r="B114" s="265"/>
      <c r="C114" s="265"/>
      <c r="D114" s="265"/>
      <c r="E114" s="287"/>
      <c r="F114" s="13"/>
      <c r="G114" s="286" t="s">
        <v>84</v>
      </c>
      <c r="H114" s="265"/>
      <c r="I114" s="265"/>
      <c r="J114" s="265"/>
      <c r="K114" s="287"/>
      <c r="L114" s="13"/>
      <c r="M114" s="286" t="s">
        <v>84</v>
      </c>
      <c r="N114" s="265"/>
      <c r="O114" s="265"/>
      <c r="P114" s="265"/>
      <c r="Q114" s="287"/>
      <c r="R114" s="13"/>
      <c r="S114" s="286" t="s">
        <v>84</v>
      </c>
      <c r="T114" s="265"/>
      <c r="U114" s="265"/>
      <c r="V114" s="265"/>
      <c r="W114" s="287"/>
      <c r="Y114" s="286" t="s">
        <v>84</v>
      </c>
      <c r="Z114" s="265"/>
      <c r="AA114" s="265"/>
      <c r="AB114" s="265"/>
      <c r="AC114" s="287"/>
    </row>
    <row r="115" spans="1:29" ht="12.5">
      <c r="A115" s="288" t="s">
        <v>270</v>
      </c>
      <c r="B115" s="659"/>
      <c r="C115" s="116"/>
      <c r="D115" s="116"/>
      <c r="E115" s="289">
        <f>E104</f>
        <v>182233.33333333334</v>
      </c>
      <c r="F115" s="13"/>
      <c r="G115" s="288" t="s">
        <v>270</v>
      </c>
      <c r="H115" s="659"/>
      <c r="I115" s="116"/>
      <c r="J115" s="116"/>
      <c r="K115" s="289">
        <f>K104</f>
        <v>187370.37037037036</v>
      </c>
      <c r="L115" s="13"/>
      <c r="M115" s="288" t="s">
        <v>270</v>
      </c>
      <c r="N115" s="659"/>
      <c r="O115" s="116"/>
      <c r="P115" s="116"/>
      <c r="Q115" s="289">
        <f>Q104</f>
        <v>270351.8518518518</v>
      </c>
      <c r="R115" s="13"/>
      <c r="S115" s="288" t="s">
        <v>270</v>
      </c>
      <c r="T115" s="659"/>
      <c r="U115" s="116"/>
      <c r="V115" s="116"/>
      <c r="W115" s="289">
        <f>W104</f>
        <v>966814.81481481472</v>
      </c>
      <c r="Y115" s="288" t="s">
        <v>270</v>
      </c>
      <c r="Z115" s="679"/>
      <c r="AA115" s="116"/>
      <c r="AB115" s="116"/>
      <c r="AC115" s="289">
        <f>AC104</f>
        <v>1193061.111111111</v>
      </c>
    </row>
    <row r="116" spans="1:29" ht="12.5">
      <c r="A116" s="288" t="s">
        <v>271</v>
      </c>
      <c r="B116" s="659"/>
      <c r="C116" s="116"/>
      <c r="D116" s="116"/>
      <c r="E116" s="289">
        <f>E105</f>
        <v>0</v>
      </c>
      <c r="F116" s="13"/>
      <c r="G116" s="288" t="s">
        <v>271</v>
      </c>
      <c r="H116" s="659"/>
      <c r="I116" s="116"/>
      <c r="J116" s="116"/>
      <c r="K116" s="289">
        <f>K105</f>
        <v>0</v>
      </c>
      <c r="L116" s="13"/>
      <c r="M116" s="288" t="s">
        <v>271</v>
      </c>
      <c r="N116" s="659"/>
      <c r="O116" s="116"/>
      <c r="P116" s="116"/>
      <c r="Q116" s="289">
        <f>Q105</f>
        <v>0</v>
      </c>
      <c r="R116" s="13"/>
      <c r="S116" s="288" t="s">
        <v>271</v>
      </c>
      <c r="T116" s="659"/>
      <c r="U116" s="116"/>
      <c r="V116" s="116"/>
      <c r="W116" s="289">
        <f>W105</f>
        <v>0</v>
      </c>
      <c r="Y116" s="288" t="s">
        <v>271</v>
      </c>
      <c r="Z116" s="679"/>
      <c r="AA116" s="116"/>
      <c r="AB116" s="116"/>
      <c r="AC116" s="289">
        <f>AC105</f>
        <v>635499.25925925933</v>
      </c>
    </row>
    <row r="117" spans="1:29" ht="12.5">
      <c r="A117" s="288" t="s">
        <v>85</v>
      </c>
      <c r="B117" s="116"/>
      <c r="C117" s="116"/>
      <c r="D117" s="116"/>
      <c r="E117" s="289">
        <f>Assumptions!$H$17*E112</f>
        <v>42245.820540000008</v>
      </c>
      <c r="F117" s="13"/>
      <c r="G117" s="288" t="s">
        <v>85</v>
      </c>
      <c r="H117" s="116"/>
      <c r="I117" s="116"/>
      <c r="J117" s="116"/>
      <c r="K117" s="289">
        <f>Assumptions!$H$17*K112</f>
        <v>99853.757639999996</v>
      </c>
      <c r="L117" s="13"/>
      <c r="M117" s="288" t="s">
        <v>85</v>
      </c>
      <c r="N117" s="116"/>
      <c r="O117" s="116"/>
      <c r="P117" s="116"/>
      <c r="Q117" s="289">
        <f>Assumptions!$H$17*Q112</f>
        <v>96013.228500000012</v>
      </c>
      <c r="R117" s="13"/>
      <c r="S117" s="288" t="s">
        <v>85</v>
      </c>
      <c r="T117" s="116"/>
      <c r="U117" s="116"/>
      <c r="V117" s="116"/>
      <c r="W117" s="289">
        <f>Assumptions!$H$17*W112</f>
        <v>190719.79484133335</v>
      </c>
      <c r="Y117" s="288" t="s">
        <v>85</v>
      </c>
      <c r="Z117" s="116"/>
      <c r="AA117" s="116"/>
      <c r="AB117" s="116"/>
      <c r="AC117" s="289">
        <f>Assumptions!$H$17*AC112</f>
        <v>0</v>
      </c>
    </row>
    <row r="118" spans="1:29" ht="13.5" thickBot="1">
      <c r="A118" s="264" t="s">
        <v>86</v>
      </c>
      <c r="B118" s="249"/>
      <c r="C118" s="268"/>
      <c r="D118" s="280"/>
      <c r="E118" s="250">
        <f>SUM(E115:E117)</f>
        <v>224479.15387333336</v>
      </c>
      <c r="F118" s="13"/>
      <c r="G118" s="264" t="s">
        <v>86</v>
      </c>
      <c r="H118" s="249"/>
      <c r="I118" s="268"/>
      <c r="J118" s="280"/>
      <c r="K118" s="250">
        <f>SUM(K115:K117)</f>
        <v>287224.12801037036</v>
      </c>
      <c r="L118" s="13"/>
      <c r="M118" s="264" t="s">
        <v>86</v>
      </c>
      <c r="N118" s="249"/>
      <c r="O118" s="268"/>
      <c r="P118" s="280"/>
      <c r="Q118" s="250">
        <f>SUM(Q115:Q117)</f>
        <v>366365.08035185182</v>
      </c>
      <c r="R118" s="13"/>
      <c r="S118" s="264" t="s">
        <v>86</v>
      </c>
      <c r="T118" s="249"/>
      <c r="U118" s="268"/>
      <c r="V118" s="280"/>
      <c r="W118" s="250">
        <f>SUM(W115:W117)</f>
        <v>1157534.6096561481</v>
      </c>
      <c r="Y118" s="264" t="s">
        <v>86</v>
      </c>
      <c r="Z118" s="249"/>
      <c r="AA118" s="268"/>
      <c r="AB118" s="280"/>
      <c r="AC118" s="250">
        <f>SUM(AC115:AC117)</f>
        <v>1828560.3703703703</v>
      </c>
    </row>
    <row r="119" spans="1:29" ht="14" thickTop="1" thickBot="1">
      <c r="A119" s="70">
        <v>0.05</v>
      </c>
      <c r="B119" s="251"/>
      <c r="C119" s="269"/>
      <c r="D119" s="279"/>
      <c r="E119" s="258">
        <f>-A119*E112</f>
        <v>-30175.586100000004</v>
      </c>
      <c r="F119" s="13"/>
      <c r="G119" s="70">
        <v>0.05</v>
      </c>
      <c r="H119" s="251"/>
      <c r="I119" s="269"/>
      <c r="J119" s="279"/>
      <c r="K119" s="258">
        <f>-G119*K112</f>
        <v>-71324.112599999993</v>
      </c>
      <c r="L119" s="13"/>
      <c r="M119" s="70">
        <v>0.05</v>
      </c>
      <c r="N119" s="251"/>
      <c r="O119" s="269"/>
      <c r="P119" s="279"/>
      <c r="Q119" s="258">
        <f>-M119*Q112</f>
        <v>-68580.877500000002</v>
      </c>
      <c r="R119" s="13"/>
      <c r="S119" s="70">
        <v>0.05</v>
      </c>
      <c r="T119" s="251"/>
      <c r="U119" s="269"/>
      <c r="V119" s="279"/>
      <c r="W119" s="258">
        <f>-S119*W112</f>
        <v>-136228.42488666667</v>
      </c>
      <c r="Y119" s="70">
        <v>0.05</v>
      </c>
      <c r="Z119" s="251"/>
      <c r="AA119" s="269"/>
      <c r="AB119" s="279"/>
      <c r="AC119" s="258">
        <f>-Y119*AC112</f>
        <v>0</v>
      </c>
    </row>
    <row r="120" spans="1:29" ht="14" thickTop="1" thickBot="1">
      <c r="A120" s="117" t="s">
        <v>87</v>
      </c>
      <c r="B120" s="15"/>
      <c r="C120" s="270"/>
      <c r="D120" s="278"/>
      <c r="E120" s="271">
        <f>E112+E118+E119</f>
        <v>797815.28977333347</v>
      </c>
      <c r="F120" s="13"/>
      <c r="G120" s="117" t="s">
        <v>87</v>
      </c>
      <c r="H120" s="15"/>
      <c r="I120" s="270"/>
      <c r="J120" s="278"/>
      <c r="K120" s="271">
        <f>K112+K118+K119</f>
        <v>1642382.2674103701</v>
      </c>
      <c r="L120" s="13"/>
      <c r="M120" s="117" t="s">
        <v>87</v>
      </c>
      <c r="N120" s="15"/>
      <c r="O120" s="270"/>
      <c r="P120" s="278"/>
      <c r="Q120" s="271">
        <f>Q112+Q118+Q119</f>
        <v>1669401.752851852</v>
      </c>
      <c r="R120" s="13"/>
      <c r="S120" s="117" t="s">
        <v>87</v>
      </c>
      <c r="T120" s="15"/>
      <c r="U120" s="270"/>
      <c r="V120" s="278"/>
      <c r="W120" s="271">
        <f>W112+W118+W119</f>
        <v>3745874.6825028146</v>
      </c>
      <c r="Y120" s="117" t="s">
        <v>87</v>
      </c>
      <c r="Z120" s="15"/>
      <c r="AA120" s="270"/>
      <c r="AB120" s="278"/>
      <c r="AC120" s="271">
        <f>AC112+AC118+AC119</f>
        <v>1828560.3703703703</v>
      </c>
    </row>
    <row r="121" spans="1:29" ht="13.5" thickBot="1">
      <c r="A121" s="6" t="s">
        <v>88</v>
      </c>
      <c r="B121" s="257" t="s">
        <v>279</v>
      </c>
      <c r="C121" s="257"/>
      <c r="D121" s="257"/>
      <c r="E121" s="16" t="s">
        <v>83</v>
      </c>
      <c r="F121" s="13"/>
      <c r="G121" s="6" t="s">
        <v>88</v>
      </c>
      <c r="H121" s="257" t="s">
        <v>279</v>
      </c>
      <c r="I121" s="257"/>
      <c r="J121" s="257"/>
      <c r="K121" s="16" t="s">
        <v>83</v>
      </c>
      <c r="L121" s="13"/>
      <c r="M121" s="6" t="s">
        <v>88</v>
      </c>
      <c r="N121" s="257" t="s">
        <v>279</v>
      </c>
      <c r="O121" s="257"/>
      <c r="P121" s="257"/>
      <c r="Q121" s="16" t="s">
        <v>83</v>
      </c>
      <c r="R121" s="13"/>
      <c r="S121" s="6" t="s">
        <v>88</v>
      </c>
      <c r="T121" s="257" t="s">
        <v>279</v>
      </c>
      <c r="U121" s="257"/>
      <c r="V121" s="257"/>
      <c r="W121" s="16" t="s">
        <v>83</v>
      </c>
      <c r="Y121" s="6" t="s">
        <v>88</v>
      </c>
      <c r="Z121" s="257" t="s">
        <v>279</v>
      </c>
      <c r="AA121" s="257"/>
      <c r="AB121" s="257"/>
      <c r="AC121" s="16" t="s">
        <v>83</v>
      </c>
    </row>
    <row r="122" spans="1:29" ht="13.5" thickBot="1">
      <c r="A122" s="290" t="s">
        <v>89</v>
      </c>
      <c r="B122" s="274"/>
      <c r="C122" s="17"/>
      <c r="D122" s="17"/>
      <c r="E122" s="291">
        <f>-0.3*E112</f>
        <v>-181053.5166</v>
      </c>
      <c r="F122" s="13"/>
      <c r="G122" s="290" t="s">
        <v>89</v>
      </c>
      <c r="H122" s="274"/>
      <c r="I122" s="17"/>
      <c r="J122" s="17"/>
      <c r="K122" s="291">
        <f>-0.3*K112</f>
        <v>-427944.67559999996</v>
      </c>
      <c r="L122" s="13"/>
      <c r="M122" s="290" t="s">
        <v>89</v>
      </c>
      <c r="N122" s="274"/>
      <c r="O122" s="17"/>
      <c r="P122" s="17"/>
      <c r="Q122" s="291">
        <f>-0.3*Q112</f>
        <v>-411485.26500000001</v>
      </c>
      <c r="R122" s="13"/>
      <c r="S122" s="290" t="s">
        <v>89</v>
      </c>
      <c r="T122" s="274"/>
      <c r="U122" s="17"/>
      <c r="V122" s="17"/>
      <c r="W122" s="291">
        <f>-0.3*W112</f>
        <v>-817370.54931999987</v>
      </c>
      <c r="Y122" s="290" t="s">
        <v>89</v>
      </c>
      <c r="Z122" s="274"/>
      <c r="AA122" s="17"/>
      <c r="AB122" s="17"/>
      <c r="AC122" s="291">
        <f>-0.3*AC112</f>
        <v>0</v>
      </c>
    </row>
    <row r="123" spans="1:29" ht="13.5" thickBot="1">
      <c r="A123" s="292" t="s">
        <v>90</v>
      </c>
      <c r="B123" s="261"/>
      <c r="C123" s="261"/>
      <c r="D123" s="261"/>
      <c r="E123" s="293">
        <f>E120+E122</f>
        <v>616761.77317333349</v>
      </c>
      <c r="F123" s="13"/>
      <c r="G123" s="292" t="s">
        <v>90</v>
      </c>
      <c r="H123" s="261"/>
      <c r="I123" s="261"/>
      <c r="J123" s="261"/>
      <c r="K123" s="293">
        <f>K120+K122</f>
        <v>1214437.5918103701</v>
      </c>
      <c r="L123" s="13"/>
      <c r="M123" s="292" t="s">
        <v>90</v>
      </c>
      <c r="N123" s="261"/>
      <c r="O123" s="261"/>
      <c r="P123" s="261"/>
      <c r="Q123" s="293">
        <f>Q120+Q122</f>
        <v>1257916.4878518521</v>
      </c>
      <c r="R123" s="13"/>
      <c r="S123" s="292" t="s">
        <v>90</v>
      </c>
      <c r="T123" s="261"/>
      <c r="U123" s="261"/>
      <c r="V123" s="261"/>
      <c r="W123" s="293">
        <f>W120+W122</f>
        <v>2928504.1331828148</v>
      </c>
      <c r="Y123" s="292" t="s">
        <v>90</v>
      </c>
      <c r="Z123" s="261"/>
      <c r="AA123" s="261"/>
      <c r="AB123" s="261"/>
      <c r="AC123" s="293">
        <f>AC120+AC122</f>
        <v>1828560.3703703703</v>
      </c>
    </row>
    <row r="124" spans="1:29" ht="13" thickBot="1">
      <c r="F124" s="13"/>
      <c r="L124" s="13"/>
      <c r="R124" s="13"/>
    </row>
    <row r="125" spans="1:29" ht="13.5" thickBot="1">
      <c r="A125" s="259" t="s">
        <v>355</v>
      </c>
      <c r="B125" s="260"/>
      <c r="C125" s="256" t="str">
        <f>B34</f>
        <v>Student Housing 1</v>
      </c>
      <c r="D125" s="256"/>
      <c r="E125" s="281"/>
      <c r="F125" s="13"/>
      <c r="G125" s="259" t="s">
        <v>355</v>
      </c>
      <c r="H125" s="260"/>
      <c r="I125" s="256" t="str">
        <f>H34</f>
        <v>Student Housing 2</v>
      </c>
      <c r="J125" s="256"/>
      <c r="K125" s="281"/>
      <c r="L125" s="13"/>
      <c r="M125" s="259" t="s">
        <v>355</v>
      </c>
      <c r="N125" s="260"/>
      <c r="O125" s="256" t="str">
        <f>N34</f>
        <v>Student Housing 3</v>
      </c>
      <c r="P125" s="256"/>
      <c r="Q125" s="281"/>
      <c r="R125" s="13"/>
      <c r="S125" s="259" t="s">
        <v>355</v>
      </c>
      <c r="T125" s="260"/>
      <c r="U125" s="256" t="str">
        <f>T34</f>
        <v>Multifamily 5</v>
      </c>
      <c r="V125" s="256"/>
      <c r="W125" s="281"/>
      <c r="Y125" s="259" t="s">
        <v>355</v>
      </c>
      <c r="Z125" s="260"/>
      <c r="AA125" s="256" t="str">
        <f>Z34</f>
        <v>Parking lot</v>
      </c>
      <c r="AB125" s="256"/>
      <c r="AC125" s="281"/>
    </row>
    <row r="126" spans="1:29" ht="13">
      <c r="A126" s="229" t="s">
        <v>354</v>
      </c>
      <c r="B126" s="232" t="s">
        <v>276</v>
      </c>
      <c r="C126" s="232" t="s">
        <v>277</v>
      </c>
      <c r="D126" s="232" t="s">
        <v>278</v>
      </c>
      <c r="E126" s="481" t="s">
        <v>83</v>
      </c>
      <c r="F126" s="263"/>
      <c r="G126" s="229" t="s">
        <v>354</v>
      </c>
      <c r="H126" s="232" t="s">
        <v>276</v>
      </c>
      <c r="I126" s="232" t="s">
        <v>277</v>
      </c>
      <c r="J126" s="232" t="s">
        <v>278</v>
      </c>
      <c r="K126" s="481" t="s">
        <v>83</v>
      </c>
      <c r="L126" s="263"/>
      <c r="M126" s="229" t="s">
        <v>354</v>
      </c>
      <c r="N126" s="232" t="s">
        <v>276</v>
      </c>
      <c r="O126" s="232" t="s">
        <v>277</v>
      </c>
      <c r="P126" s="232" t="s">
        <v>278</v>
      </c>
      <c r="Q126" s="481" t="s">
        <v>83</v>
      </c>
      <c r="R126" s="263"/>
      <c r="S126" s="229" t="s">
        <v>354</v>
      </c>
      <c r="T126" s="232" t="s">
        <v>276</v>
      </c>
      <c r="U126" s="232" t="s">
        <v>277</v>
      </c>
      <c r="V126" s="232" t="s">
        <v>278</v>
      </c>
      <c r="W126" s="481" t="s">
        <v>83</v>
      </c>
      <c r="Y126" s="229" t="s">
        <v>354</v>
      </c>
      <c r="Z126" s="232" t="s">
        <v>276</v>
      </c>
      <c r="AA126" s="232" t="s">
        <v>277</v>
      </c>
      <c r="AB126" s="232" t="s">
        <v>278</v>
      </c>
      <c r="AC126" s="481" t="s">
        <v>83</v>
      </c>
    </row>
    <row r="127" spans="1:29" ht="13">
      <c r="A127" s="482" t="s">
        <v>108</v>
      </c>
      <c r="B127" s="483"/>
      <c r="C127" s="483"/>
      <c r="D127" s="484"/>
      <c r="E127" s="484">
        <f>E60+E76</f>
        <v>0</v>
      </c>
      <c r="F127" s="13"/>
      <c r="G127" s="482" t="s">
        <v>108</v>
      </c>
      <c r="H127" s="483"/>
      <c r="I127" s="483"/>
      <c r="J127" s="484"/>
      <c r="K127" s="484">
        <f>K60+K76</f>
        <v>0</v>
      </c>
      <c r="L127" s="13"/>
      <c r="M127" s="482" t="s">
        <v>108</v>
      </c>
      <c r="N127" s="483"/>
      <c r="O127" s="483"/>
      <c r="P127" s="484"/>
      <c r="Q127" s="484">
        <f>Q60+Q76</f>
        <v>0</v>
      </c>
      <c r="R127" s="13"/>
      <c r="S127" s="482" t="s">
        <v>108</v>
      </c>
      <c r="T127" s="483"/>
      <c r="U127" s="483"/>
      <c r="V127" s="484"/>
      <c r="W127" s="484">
        <f>W60+W76</f>
        <v>0</v>
      </c>
      <c r="Y127" s="482" t="s">
        <v>108</v>
      </c>
      <c r="Z127" s="483"/>
      <c r="AA127" s="483"/>
      <c r="AB127" s="484"/>
      <c r="AC127" s="484">
        <f>AC60+AC76</f>
        <v>0</v>
      </c>
    </row>
    <row r="128" spans="1:29" ht="13">
      <c r="A128" s="486">
        <v>0.04</v>
      </c>
      <c r="B128" s="487"/>
      <c r="C128" s="487"/>
      <c r="D128" s="487"/>
      <c r="E128" s="488">
        <f>E127*A128</f>
        <v>0</v>
      </c>
      <c r="F128" s="13"/>
      <c r="G128" s="486">
        <v>0.04</v>
      </c>
      <c r="H128" s="487"/>
      <c r="I128" s="487"/>
      <c r="J128" s="487"/>
      <c r="K128" s="488">
        <f>K127*G128</f>
        <v>0</v>
      </c>
      <c r="L128" s="13"/>
      <c r="M128" s="486">
        <v>0.04</v>
      </c>
      <c r="N128" s="487"/>
      <c r="O128" s="487"/>
      <c r="P128" s="487"/>
      <c r="Q128" s="488">
        <f>Q127*M128</f>
        <v>0</v>
      </c>
      <c r="R128" s="13"/>
      <c r="S128" s="486">
        <v>0.04</v>
      </c>
      <c r="T128" s="487"/>
      <c r="U128" s="487"/>
      <c r="V128" s="487"/>
      <c r="W128" s="488">
        <f>W127*S128</f>
        <v>0</v>
      </c>
      <c r="Y128" s="486">
        <v>0.04</v>
      </c>
      <c r="Z128" s="487"/>
      <c r="AA128" s="487"/>
      <c r="AB128" s="487"/>
      <c r="AC128" s="488">
        <f>AC127*Y128</f>
        <v>0</v>
      </c>
    </row>
    <row r="129" spans="1:29" ht="13" thickBot="1">
      <c r="F129" s="13"/>
      <c r="L129" s="13"/>
      <c r="R129" s="13"/>
    </row>
    <row r="130" spans="1:29" ht="13.5" thickBot="1">
      <c r="A130" s="522" t="s">
        <v>317</v>
      </c>
      <c r="B130" s="523" t="s">
        <v>91</v>
      </c>
      <c r="C130" s="524">
        <f>Assumptions!H10</f>
        <v>9.5000000000000001E-2</v>
      </c>
      <c r="D130" s="521" t="s">
        <v>356</v>
      </c>
      <c r="E130" s="346">
        <f>E123/C130</f>
        <v>6492229.1912982473</v>
      </c>
      <c r="F130" s="13"/>
      <c r="G130" s="522" t="s">
        <v>317</v>
      </c>
      <c r="H130" s="523" t="s">
        <v>91</v>
      </c>
      <c r="I130" s="524">
        <f>Assumptions!H10</f>
        <v>9.5000000000000001E-2</v>
      </c>
      <c r="J130" s="521" t="s">
        <v>356</v>
      </c>
      <c r="K130" s="346">
        <f>K123/I130</f>
        <v>12783553.598003896</v>
      </c>
      <c r="L130" s="13"/>
      <c r="M130" s="522" t="s">
        <v>317</v>
      </c>
      <c r="N130" s="523" t="s">
        <v>91</v>
      </c>
      <c r="O130" s="524">
        <f>Assumptions!H10</f>
        <v>9.5000000000000001E-2</v>
      </c>
      <c r="P130" s="521" t="s">
        <v>356</v>
      </c>
      <c r="Q130" s="346">
        <f>Q123/O130</f>
        <v>13241226.187914232</v>
      </c>
      <c r="R130" s="13"/>
      <c r="S130" s="522" t="s">
        <v>317</v>
      </c>
      <c r="T130" s="523" t="s">
        <v>91</v>
      </c>
      <c r="U130" s="524">
        <f>Assumptions!H6</f>
        <v>8.5000000000000006E-2</v>
      </c>
      <c r="V130" s="521" t="s">
        <v>356</v>
      </c>
      <c r="W130" s="346">
        <f>W123/U130</f>
        <v>34452989.802150764</v>
      </c>
      <c r="Y130" s="522" t="s">
        <v>317</v>
      </c>
      <c r="Z130" s="523" t="s">
        <v>91</v>
      </c>
      <c r="AA130" s="524">
        <f>Assumptions!H11</f>
        <v>0.11</v>
      </c>
      <c r="AB130" s="521" t="s">
        <v>356</v>
      </c>
      <c r="AC130" s="346">
        <f>AC123/AA130</f>
        <v>16623276.094276095</v>
      </c>
    </row>
    <row r="131" spans="1:29" ht="13.5" thickBot="1">
      <c r="A131" s="525" t="s">
        <v>319</v>
      </c>
      <c r="B131" s="526"/>
      <c r="C131" s="527"/>
      <c r="D131" s="18" t="s">
        <v>109</v>
      </c>
      <c r="E131" s="485">
        <f>E127-E128</f>
        <v>0</v>
      </c>
      <c r="F131" s="13"/>
      <c r="G131" s="525" t="s">
        <v>319</v>
      </c>
      <c r="H131" s="526"/>
      <c r="I131" s="527"/>
      <c r="J131" s="18" t="s">
        <v>109</v>
      </c>
      <c r="K131" s="485">
        <f>K127-K128</f>
        <v>0</v>
      </c>
      <c r="L131" s="13"/>
      <c r="M131" s="525" t="s">
        <v>319</v>
      </c>
      <c r="N131" s="526"/>
      <c r="O131" s="527"/>
      <c r="P131" s="18" t="s">
        <v>109</v>
      </c>
      <c r="Q131" s="485">
        <f>Q127-Q128</f>
        <v>0</v>
      </c>
      <c r="R131" s="13"/>
      <c r="S131" s="525" t="s">
        <v>319</v>
      </c>
      <c r="T131" s="526"/>
      <c r="U131" s="527"/>
      <c r="V131" s="18" t="s">
        <v>109</v>
      </c>
      <c r="W131" s="485">
        <f>W127-W128</f>
        <v>0</v>
      </c>
      <c r="Y131" s="525" t="s">
        <v>319</v>
      </c>
      <c r="Z131" s="526"/>
      <c r="AA131" s="527"/>
      <c r="AB131" s="18" t="s">
        <v>109</v>
      </c>
      <c r="AC131" s="485">
        <f>AC127-AC128</f>
        <v>0</v>
      </c>
    </row>
    <row r="132" spans="1:29" ht="13.5" thickBot="1">
      <c r="A132" s="528"/>
      <c r="B132" s="529" t="s">
        <v>92</v>
      </c>
      <c r="C132" s="530" t="s">
        <v>93</v>
      </c>
      <c r="F132" s="13"/>
      <c r="G132" s="528"/>
      <c r="H132" s="529" t="s">
        <v>92</v>
      </c>
      <c r="I132" s="530" t="s">
        <v>93</v>
      </c>
      <c r="L132" s="13"/>
      <c r="M132" s="528"/>
      <c r="N132" s="529" t="s">
        <v>92</v>
      </c>
      <c r="O132" s="530" t="s">
        <v>93</v>
      </c>
      <c r="R132" s="13"/>
      <c r="S132" s="528"/>
      <c r="T132" s="529" t="s">
        <v>92</v>
      </c>
      <c r="U132" s="530" t="s">
        <v>93</v>
      </c>
      <c r="Y132" s="528"/>
      <c r="Z132" s="529" t="s">
        <v>92</v>
      </c>
      <c r="AA132" s="530" t="s">
        <v>93</v>
      </c>
    </row>
    <row r="133" spans="1:29" ht="12.5">
      <c r="A133" s="88" t="s">
        <v>94</v>
      </c>
      <c r="B133" s="531">
        <f>Assumptions!$F$12</f>
        <v>330</v>
      </c>
      <c r="C133" s="395">
        <f>B133*D34</f>
        <v>13764333</v>
      </c>
      <c r="F133" s="13"/>
      <c r="G133" s="88" t="s">
        <v>94</v>
      </c>
      <c r="H133" s="531">
        <f>Assumptions!$F$13</f>
        <v>300</v>
      </c>
      <c r="I133" s="395">
        <f>H133*J34</f>
        <v>25430280</v>
      </c>
      <c r="L133" s="13"/>
      <c r="M133" s="88" t="s">
        <v>94</v>
      </c>
      <c r="N133" s="531">
        <f>Assumptions!$F$13</f>
        <v>300</v>
      </c>
      <c r="O133" s="395">
        <f>N133*P34</f>
        <v>25880610</v>
      </c>
      <c r="R133" s="13"/>
      <c r="S133" s="88" t="s">
        <v>94</v>
      </c>
      <c r="T133" s="531">
        <f>Assumptions!$F$13</f>
        <v>300</v>
      </c>
      <c r="U133" s="395">
        <f>T133*V34</f>
        <v>54907200</v>
      </c>
      <c r="Y133" s="88" t="s">
        <v>94</v>
      </c>
      <c r="Z133" s="531">
        <f>Assumptions!$F$13</f>
        <v>300</v>
      </c>
      <c r="AA133" s="395">
        <f>Z133*AB34</f>
        <v>32293650</v>
      </c>
    </row>
    <row r="134" spans="1:29" ht="26" customHeight="1">
      <c r="A134" s="19" t="s">
        <v>34</v>
      </c>
      <c r="B134" s="624">
        <f>Assumptions!$F$22</f>
        <v>0.1</v>
      </c>
      <c r="C134" s="532">
        <f>B134*C133</f>
        <v>1376433.3</v>
      </c>
      <c r="E134" s="211"/>
      <c r="G134" s="19" t="s">
        <v>34</v>
      </c>
      <c r="H134" s="624">
        <f>Assumptions!$F$22</f>
        <v>0.1</v>
      </c>
      <c r="I134" s="532">
        <f>H134*I133</f>
        <v>2543028</v>
      </c>
      <c r="K134" s="211"/>
      <c r="L134" s="13"/>
      <c r="M134" s="19" t="s">
        <v>34</v>
      </c>
      <c r="N134" s="624">
        <f>Assumptions!$F$22</f>
        <v>0.1</v>
      </c>
      <c r="O134" s="532">
        <f>N134*O133</f>
        <v>2588061</v>
      </c>
      <c r="Q134" s="211"/>
      <c r="R134" s="13"/>
      <c r="S134" s="19" t="s">
        <v>34</v>
      </c>
      <c r="T134" s="624">
        <f>Assumptions!$F$22</f>
        <v>0.1</v>
      </c>
      <c r="U134" s="532">
        <f>T134*U133</f>
        <v>5490720</v>
      </c>
      <c r="W134" s="211"/>
      <c r="Y134" s="19" t="s">
        <v>34</v>
      </c>
      <c r="Z134" s="624">
        <f>Assumptions!$F$22</f>
        <v>0.1</v>
      </c>
      <c r="AA134" s="532">
        <f>Z134*AA133</f>
        <v>3229365</v>
      </c>
      <c r="AC134" s="211"/>
    </row>
    <row r="135" spans="1:29" ht="13">
      <c r="A135" s="19" t="s">
        <v>1</v>
      </c>
      <c r="B135" s="625" t="s">
        <v>42</v>
      </c>
      <c r="C135" s="398">
        <v>0</v>
      </c>
      <c r="G135" s="19" t="s">
        <v>1</v>
      </c>
      <c r="H135" s="625" t="s">
        <v>42</v>
      </c>
      <c r="I135" s="398">
        <v>0</v>
      </c>
      <c r="M135" s="19" t="s">
        <v>1</v>
      </c>
      <c r="N135" s="625" t="s">
        <v>42</v>
      </c>
      <c r="O135" s="398">
        <v>0</v>
      </c>
      <c r="S135" s="19" t="s">
        <v>1</v>
      </c>
      <c r="T135" s="625" t="s">
        <v>42</v>
      </c>
      <c r="U135" s="398">
        <v>0</v>
      </c>
      <c r="Y135" s="19" t="s">
        <v>1</v>
      </c>
      <c r="Z135" s="625" t="s">
        <v>42</v>
      </c>
      <c r="AA135" s="398">
        <v>0</v>
      </c>
    </row>
    <row r="136" spans="1:29" ht="16" customHeight="1">
      <c r="A136" s="19" t="s">
        <v>384</v>
      </c>
      <c r="B136" s="533"/>
      <c r="C136" s="534"/>
      <c r="D136" s="603"/>
      <c r="G136" s="19" t="s">
        <v>384</v>
      </c>
      <c r="H136" s="533"/>
      <c r="I136" s="534"/>
      <c r="M136" s="19" t="s">
        <v>384</v>
      </c>
      <c r="N136" s="533"/>
      <c r="O136" s="534"/>
      <c r="S136" s="19" t="s">
        <v>384</v>
      </c>
      <c r="T136" s="533"/>
      <c r="U136" s="534"/>
      <c r="Y136" s="19" t="s">
        <v>384</v>
      </c>
      <c r="Z136" s="533"/>
      <c r="AA136" s="534"/>
    </row>
    <row r="137" spans="1:29" ht="25">
      <c r="A137" s="605" t="s">
        <v>187</v>
      </c>
      <c r="B137" s="606"/>
      <c r="C137" s="604"/>
      <c r="D137" s="603"/>
      <c r="G137" s="605" t="s">
        <v>187</v>
      </c>
      <c r="H137" s="606"/>
      <c r="I137" s="604"/>
      <c r="M137" s="605" t="s">
        <v>187</v>
      </c>
      <c r="N137" s="606"/>
      <c r="O137" s="604"/>
      <c r="S137" s="19" t="s">
        <v>36</v>
      </c>
      <c r="T137" s="606"/>
      <c r="U137" s="604"/>
      <c r="Y137" s="19" t="s">
        <v>36</v>
      </c>
      <c r="Z137" s="606"/>
      <c r="AA137" s="604"/>
    </row>
    <row r="138" spans="1:29" ht="13">
      <c r="A138" s="19" t="s">
        <v>36</v>
      </c>
      <c r="B138" s="626">
        <f>Assumptions!$F$23</f>
        <v>0.05</v>
      </c>
      <c r="C138" s="398">
        <f>B138*(C$133+C$134)</f>
        <v>757038.31500000006</v>
      </c>
      <c r="D138" s="603"/>
      <c r="G138" s="19" t="s">
        <v>36</v>
      </c>
      <c r="H138" s="626">
        <f>Assumptions!$F$23</f>
        <v>0.05</v>
      </c>
      <c r="I138" s="398">
        <f>H138*(I$133+I$134)</f>
        <v>1398665.4000000001</v>
      </c>
      <c r="M138" s="19" t="s">
        <v>36</v>
      </c>
      <c r="N138" s="626">
        <f>Assumptions!$F$23</f>
        <v>0.05</v>
      </c>
      <c r="O138" s="398">
        <f>N138*(O$133+O$134)</f>
        <v>1423433.55</v>
      </c>
      <c r="S138" s="19" t="s">
        <v>95</v>
      </c>
      <c r="T138" s="626">
        <f>Assumptions!$F$23</f>
        <v>0.05</v>
      </c>
      <c r="U138" s="398">
        <f>T138*(U$133+U$134)</f>
        <v>3019896</v>
      </c>
      <c r="Y138" s="19" t="s">
        <v>95</v>
      </c>
      <c r="Z138" s="626">
        <f>Assumptions!$F$23</f>
        <v>0.05</v>
      </c>
      <c r="AA138" s="398">
        <f>Z138*(AA$133+AA$134)</f>
        <v>1776150.75</v>
      </c>
    </row>
    <row r="139" spans="1:29" ht="13">
      <c r="A139" s="397" t="s">
        <v>41</v>
      </c>
      <c r="B139" s="626">
        <f>Assumptions!$F$25</f>
        <v>0.02</v>
      </c>
      <c r="C139" s="398">
        <f>B139*(C$133+C$134)</f>
        <v>302815.326</v>
      </c>
      <c r="G139" s="397" t="s">
        <v>41</v>
      </c>
      <c r="H139" s="626">
        <f>Assumptions!$F$25</f>
        <v>0.02</v>
      </c>
      <c r="I139" s="398">
        <f>H139*(I$133+I$134)</f>
        <v>559466.16</v>
      </c>
      <c r="M139" s="397" t="s">
        <v>41</v>
      </c>
      <c r="N139" s="626">
        <f>Assumptions!$F$25</f>
        <v>0.02</v>
      </c>
      <c r="O139" s="398">
        <f>N139*(O$133+O$134)</f>
        <v>569373.42000000004</v>
      </c>
      <c r="S139" s="397" t="s">
        <v>41</v>
      </c>
      <c r="T139" s="626">
        <f>Assumptions!$F$25</f>
        <v>0.02</v>
      </c>
      <c r="U139" s="398">
        <f>T139*(U$133+U$134)</f>
        <v>1207958.4000000001</v>
      </c>
      <c r="Y139" s="397" t="s">
        <v>41</v>
      </c>
      <c r="Z139" s="626">
        <f>Assumptions!$F$25</f>
        <v>0.02</v>
      </c>
      <c r="AA139" s="398">
        <f>Z139*(AA$133+AA$134)</f>
        <v>710460.3</v>
      </c>
    </row>
    <row r="140" spans="1:29" ht="13">
      <c r="A140" s="397" t="s">
        <v>43</v>
      </c>
      <c r="B140" s="621" t="s">
        <v>42</v>
      </c>
      <c r="C140" s="623">
        <v>0</v>
      </c>
      <c r="D140" s="20"/>
      <c r="G140" s="397" t="s">
        <v>43</v>
      </c>
      <c r="H140" s="621" t="s">
        <v>42</v>
      </c>
      <c r="I140" s="623">
        <v>0</v>
      </c>
      <c r="J140" s="20"/>
      <c r="M140" s="397" t="s">
        <v>43</v>
      </c>
      <c r="N140" s="621" t="s">
        <v>42</v>
      </c>
      <c r="O140" s="623">
        <v>0</v>
      </c>
      <c r="P140" s="20"/>
      <c r="S140" s="397" t="s">
        <v>43</v>
      </c>
      <c r="T140" s="621" t="s">
        <v>42</v>
      </c>
      <c r="U140" s="623">
        <v>0</v>
      </c>
      <c r="V140" s="20"/>
      <c r="Y140" s="397" t="s">
        <v>43</v>
      </c>
      <c r="Z140" s="621" t="s">
        <v>42</v>
      </c>
      <c r="AA140" s="623">
        <v>0</v>
      </c>
      <c r="AB140" s="20"/>
    </row>
    <row r="141" spans="1:29" ht="13">
      <c r="A141" s="397" t="s">
        <v>45</v>
      </c>
      <c r="B141" s="626">
        <f>Assumptions!$F$27</f>
        <v>0.04</v>
      </c>
      <c r="C141" s="398">
        <f>B141*(C$133+C$134)</f>
        <v>605630.652</v>
      </c>
      <c r="G141" s="397" t="s">
        <v>45</v>
      </c>
      <c r="H141" s="626">
        <f>Assumptions!$F$27</f>
        <v>0.04</v>
      </c>
      <c r="I141" s="398">
        <f>H141*(I$133+I$134)</f>
        <v>1118932.32</v>
      </c>
      <c r="M141" s="397" t="s">
        <v>45</v>
      </c>
      <c r="N141" s="626">
        <f>Assumptions!$F$27</f>
        <v>0.04</v>
      </c>
      <c r="O141" s="398">
        <f>N141*(O$133+O$134)</f>
        <v>1138746.8400000001</v>
      </c>
      <c r="S141" s="397" t="s">
        <v>45</v>
      </c>
      <c r="T141" s="626">
        <f>Assumptions!$F$27</f>
        <v>0.04</v>
      </c>
      <c r="U141" s="398">
        <f>T141*(U$133+U$134)</f>
        <v>2415916.8000000003</v>
      </c>
      <c r="Y141" s="397" t="s">
        <v>45</v>
      </c>
      <c r="Z141" s="626">
        <f>Assumptions!$F$27</f>
        <v>0.04</v>
      </c>
      <c r="AA141" s="398">
        <f>Z141*(AA$133+AA$134)</f>
        <v>1420920.6</v>
      </c>
    </row>
    <row r="142" spans="1:29" ht="13">
      <c r="A142" s="397" t="s">
        <v>47</v>
      </c>
      <c r="B142" s="626">
        <f>Assumptions!$F$28</f>
        <v>0.03</v>
      </c>
      <c r="C142" s="398">
        <f>B142*(C$133+C$134)</f>
        <v>454222.989</v>
      </c>
      <c r="G142" s="397" t="s">
        <v>47</v>
      </c>
      <c r="H142" s="626">
        <f>Assumptions!$F$28</f>
        <v>0.03</v>
      </c>
      <c r="I142" s="398">
        <f>H142*(I$133+I$134)</f>
        <v>839199.24</v>
      </c>
      <c r="M142" s="397" t="s">
        <v>47</v>
      </c>
      <c r="N142" s="626">
        <f>Assumptions!$F$28</f>
        <v>0.03</v>
      </c>
      <c r="O142" s="398">
        <f>N142*(O$133+O$134)</f>
        <v>854060.13</v>
      </c>
      <c r="S142" s="397" t="s">
        <v>47</v>
      </c>
      <c r="T142" s="626">
        <f>Assumptions!$F$28</f>
        <v>0.03</v>
      </c>
      <c r="U142" s="398">
        <f>T142*(U$133+U$134)</f>
        <v>1811937.5999999999</v>
      </c>
      <c r="Y142" s="397" t="s">
        <v>47</v>
      </c>
      <c r="Z142" s="626">
        <f>Assumptions!$F$28</f>
        <v>0.03</v>
      </c>
      <c r="AA142" s="398">
        <f>Z142*(AA$133+AA$134)</f>
        <v>1065690.45</v>
      </c>
    </row>
    <row r="143" spans="1:29" ht="13">
      <c r="A143" s="397" t="s">
        <v>48</v>
      </c>
      <c r="B143" s="626">
        <f>Assumptions!$F$29</f>
        <v>0.05</v>
      </c>
      <c r="C143" s="398">
        <f>B143*(C$133+C$134)</f>
        <v>757038.31500000006</v>
      </c>
      <c r="G143" s="397" t="s">
        <v>48</v>
      </c>
      <c r="H143" s="626">
        <f>Assumptions!$F$29</f>
        <v>0.05</v>
      </c>
      <c r="I143" s="398">
        <f>H143*(I$133+I$134)</f>
        <v>1398665.4000000001</v>
      </c>
      <c r="M143" s="397" t="s">
        <v>48</v>
      </c>
      <c r="N143" s="626">
        <f>Assumptions!$F$29</f>
        <v>0.05</v>
      </c>
      <c r="O143" s="398">
        <f>N143*(O$133+O$134)</f>
        <v>1423433.55</v>
      </c>
      <c r="S143" s="397" t="s">
        <v>48</v>
      </c>
      <c r="T143" s="626">
        <f>Assumptions!$F$29</f>
        <v>0.05</v>
      </c>
      <c r="U143" s="398">
        <f>T143*(U$133+U$134)</f>
        <v>3019896</v>
      </c>
      <c r="Y143" s="397" t="s">
        <v>48</v>
      </c>
      <c r="Z143" s="626">
        <f>Assumptions!$F$29</f>
        <v>0.05</v>
      </c>
      <c r="AA143" s="398">
        <f>Z143*(AA$133+AA$134)</f>
        <v>1776150.75</v>
      </c>
    </row>
    <row r="144" spans="1:29" ht="13">
      <c r="A144" s="397" t="s">
        <v>96</v>
      </c>
      <c r="B144" s="627">
        <f>Assumptions!$F$30*Assumptions!$F$31</f>
        <v>1.35E-2</v>
      </c>
      <c r="C144" s="398">
        <f>B144*E130</f>
        <v>87645.094082526339</v>
      </c>
      <c r="G144" s="397" t="s">
        <v>96</v>
      </c>
      <c r="H144" s="627">
        <f>Assumptions!$F$30*Assumptions!$F$31</f>
        <v>1.35E-2</v>
      </c>
      <c r="I144" s="398">
        <f>H144*K130</f>
        <v>172577.97357305259</v>
      </c>
      <c r="M144" s="397" t="s">
        <v>96</v>
      </c>
      <c r="N144" s="627">
        <f>Assumptions!$F$30*Assumptions!$F$31</f>
        <v>1.35E-2</v>
      </c>
      <c r="O144" s="398">
        <f>N144*Q130</f>
        <v>178756.55353684214</v>
      </c>
      <c r="S144" s="397" t="s">
        <v>96</v>
      </c>
      <c r="T144" s="627">
        <f>Assumptions!$F$30*Assumptions!$F$31</f>
        <v>1.35E-2</v>
      </c>
      <c r="U144" s="398">
        <f>T144*W130</f>
        <v>465115.3623290353</v>
      </c>
      <c r="Y144" s="397" t="s">
        <v>96</v>
      </c>
      <c r="Z144" s="627">
        <f>Assumptions!$F$30*Assumptions!$F$31</f>
        <v>1.35E-2</v>
      </c>
      <c r="AA144" s="398">
        <f>Z144*AC130</f>
        <v>224414.22727272726</v>
      </c>
    </row>
    <row r="145" spans="1:29" ht="13">
      <c r="A145" s="397" t="s">
        <v>51</v>
      </c>
      <c r="B145" s="626">
        <f>Assumptions!$F$32</f>
        <v>1.4999999999999999E-2</v>
      </c>
      <c r="C145" s="398">
        <f>B145*SUM(C133:C134)</f>
        <v>227111.4945</v>
      </c>
      <c r="E145" s="20"/>
      <c r="F145" s="20"/>
      <c r="G145" s="397" t="s">
        <v>51</v>
      </c>
      <c r="H145" s="626">
        <f>Assumptions!$F$32</f>
        <v>1.4999999999999999E-2</v>
      </c>
      <c r="I145" s="398">
        <f>H145*SUM(I133:I134)</f>
        <v>419599.62</v>
      </c>
      <c r="K145" s="20"/>
      <c r="L145" s="20"/>
      <c r="M145" s="397" t="s">
        <v>51</v>
      </c>
      <c r="N145" s="626">
        <f>Assumptions!$F$32</f>
        <v>1.4999999999999999E-2</v>
      </c>
      <c r="O145" s="398">
        <f>N145*SUM(O133:O134)</f>
        <v>427030.065</v>
      </c>
      <c r="Q145" s="20"/>
      <c r="R145" s="20"/>
      <c r="S145" s="397" t="s">
        <v>51</v>
      </c>
      <c r="T145" s="626">
        <f>Assumptions!$F$32</f>
        <v>1.4999999999999999E-2</v>
      </c>
      <c r="U145" s="398">
        <f>T145*SUM(U133:U134)</f>
        <v>905968.79999999993</v>
      </c>
      <c r="W145" s="20"/>
      <c r="Y145" s="397" t="s">
        <v>51</v>
      </c>
      <c r="Z145" s="626">
        <f>Assumptions!$F$32</f>
        <v>1.4999999999999999E-2</v>
      </c>
      <c r="AA145" s="398">
        <f>Z145*SUM(AA133:AA134)</f>
        <v>532845.22499999998</v>
      </c>
      <c r="AC145" s="20"/>
    </row>
    <row r="146" spans="1:29" ht="13">
      <c r="A146" s="397" t="s">
        <v>53</v>
      </c>
      <c r="B146" s="621" t="s">
        <v>42</v>
      </c>
      <c r="C146" s="623">
        <v>800000</v>
      </c>
      <c r="G146" s="397" t="s">
        <v>53</v>
      </c>
      <c r="H146" s="621" t="s">
        <v>42</v>
      </c>
      <c r="I146" s="623">
        <v>800000</v>
      </c>
      <c r="M146" s="397" t="s">
        <v>53</v>
      </c>
      <c r="N146" s="621" t="s">
        <v>42</v>
      </c>
      <c r="O146" s="623">
        <v>0</v>
      </c>
      <c r="S146" s="397" t="s">
        <v>53</v>
      </c>
      <c r="T146" s="621" t="s">
        <v>42</v>
      </c>
      <c r="U146" s="623">
        <v>0</v>
      </c>
      <c r="Y146" s="397" t="s">
        <v>53</v>
      </c>
      <c r="Z146" s="621" t="s">
        <v>42</v>
      </c>
      <c r="AA146" s="623">
        <v>0</v>
      </c>
    </row>
    <row r="147" spans="1:29" ht="13">
      <c r="A147" s="397" t="s">
        <v>54</v>
      </c>
      <c r="B147" s="628">
        <v>6</v>
      </c>
      <c r="C147" s="398">
        <f>-B147*(E122/12)</f>
        <v>90526.758300000001</v>
      </c>
      <c r="G147" s="397" t="s">
        <v>54</v>
      </c>
      <c r="H147" s="628">
        <v>6</v>
      </c>
      <c r="I147" s="398">
        <f>-H147*(K122/12)</f>
        <v>213972.33779999998</v>
      </c>
      <c r="M147" s="397" t="s">
        <v>54</v>
      </c>
      <c r="N147" s="628">
        <v>6</v>
      </c>
      <c r="O147" s="398">
        <f>-N147*(Q122/12)</f>
        <v>205742.63250000001</v>
      </c>
      <c r="S147" s="397" t="s">
        <v>54</v>
      </c>
      <c r="T147" s="628">
        <v>6</v>
      </c>
      <c r="U147" s="398">
        <f>-T147*(W122/12)</f>
        <v>408685.27465999994</v>
      </c>
      <c r="Y147" s="397" t="s">
        <v>54</v>
      </c>
      <c r="Z147" s="628">
        <v>6</v>
      </c>
      <c r="AA147" s="398">
        <f>-Z147*(AC122/12)</f>
        <v>0</v>
      </c>
    </row>
    <row r="148" spans="1:29" ht="13">
      <c r="A148" s="397" t="s">
        <v>55</v>
      </c>
      <c r="B148" s="629">
        <v>70</v>
      </c>
      <c r="C148" s="398">
        <f>B148*SUM(C91,C96)</f>
        <v>0</v>
      </c>
      <c r="G148" s="397" t="s">
        <v>55</v>
      </c>
      <c r="H148" s="629">
        <v>70</v>
      </c>
      <c r="I148" s="398">
        <f>H148*SUM(I91,I96)</f>
        <v>0</v>
      </c>
      <c r="M148" s="397" t="s">
        <v>55</v>
      </c>
      <c r="N148" s="629">
        <v>70</v>
      </c>
      <c r="O148" s="398">
        <f>N148*SUM(O91,O96)</f>
        <v>0</v>
      </c>
      <c r="S148" s="397" t="s">
        <v>55</v>
      </c>
      <c r="T148" s="629">
        <v>100</v>
      </c>
      <c r="U148" s="398">
        <f>T148*SUM(U91,U96)</f>
        <v>0</v>
      </c>
      <c r="Y148" s="397" t="s">
        <v>55</v>
      </c>
      <c r="Z148" s="629">
        <v>100</v>
      </c>
      <c r="AA148" s="398">
        <f>Z148*SUM(AA91,AA96)</f>
        <v>0</v>
      </c>
    </row>
    <row r="149" spans="1:29" ht="13">
      <c r="A149" s="397" t="s">
        <v>316</v>
      </c>
      <c r="B149" s="630">
        <v>0.05</v>
      </c>
      <c r="C149" s="399">
        <f>B149*SUM(E91,E96)</f>
        <v>0</v>
      </c>
      <c r="G149" s="397" t="s">
        <v>316</v>
      </c>
      <c r="H149" s="630">
        <v>0.05</v>
      </c>
      <c r="I149" s="399">
        <f>H149*SUM(K91,K96)</f>
        <v>0</v>
      </c>
      <c r="J149" s="223"/>
      <c r="M149" s="397" t="s">
        <v>316</v>
      </c>
      <c r="N149" s="630">
        <v>0.05</v>
      </c>
      <c r="O149" s="399">
        <f>N149*SUM(Q91,Q96)</f>
        <v>0</v>
      </c>
      <c r="S149" s="397" t="s">
        <v>316</v>
      </c>
      <c r="T149" s="630">
        <v>0.05</v>
      </c>
      <c r="U149" s="399">
        <f>T149*SUM(W91,W96)</f>
        <v>0</v>
      </c>
      <c r="Y149" s="397" t="s">
        <v>316</v>
      </c>
      <c r="Z149" s="630">
        <v>0.05</v>
      </c>
      <c r="AA149" s="399">
        <f>Z149*SUM(AC91,AC96)</f>
        <v>0</v>
      </c>
    </row>
    <row r="150" spans="1:29" ht="13">
      <c r="A150" s="397" t="s">
        <v>57</v>
      </c>
      <c r="B150" s="631">
        <v>1.4999999999999999E-2</v>
      </c>
      <c r="C150" s="399">
        <v>185711.08958842931</v>
      </c>
      <c r="D150" s="635"/>
      <c r="G150" s="397" t="s">
        <v>57</v>
      </c>
      <c r="H150" s="631">
        <v>1.4999999999999999E-2</v>
      </c>
      <c r="I150" s="399">
        <v>348119.93550022453</v>
      </c>
      <c r="J150" s="635"/>
      <c r="M150" s="397" t="s">
        <v>57</v>
      </c>
      <c r="N150" s="631">
        <v>1.4999999999999999E-2</v>
      </c>
      <c r="O150" s="399">
        <v>333977.36862744775</v>
      </c>
      <c r="P150" s="635"/>
      <c r="S150" s="397" t="s">
        <v>57</v>
      </c>
      <c r="T150" s="631">
        <v>1.4999999999999999E-2</v>
      </c>
      <c r="U150" s="399">
        <v>708409.73850911739</v>
      </c>
      <c r="V150" s="635"/>
      <c r="Y150" s="397" t="s">
        <v>57</v>
      </c>
      <c r="Z150" s="631">
        <v>1.4999999999999999E-2</v>
      </c>
      <c r="AA150" s="399">
        <v>708409.73850911739</v>
      </c>
      <c r="AB150" s="635"/>
    </row>
    <row r="151" spans="1:29" ht="13">
      <c r="A151" s="536" t="s">
        <v>58</v>
      </c>
      <c r="B151" s="632">
        <v>7.0000000000000007E-2</v>
      </c>
      <c r="C151" s="622">
        <v>866651.75141267024</v>
      </c>
      <c r="D151" s="635"/>
      <c r="G151" s="536" t="s">
        <v>58</v>
      </c>
      <c r="H151" s="632">
        <v>7.0000000000000007E-2</v>
      </c>
      <c r="I151" s="622">
        <v>1624559.6990010482</v>
      </c>
      <c r="J151" s="635"/>
      <c r="M151" s="536" t="s">
        <v>58</v>
      </c>
      <c r="N151" s="632">
        <v>7.0000000000000007E-2</v>
      </c>
      <c r="O151" s="622">
        <v>1558561.0535947564</v>
      </c>
      <c r="P151" s="635"/>
      <c r="S151" s="536" t="s">
        <v>58</v>
      </c>
      <c r="T151" s="632">
        <v>7.0000000000000007E-2</v>
      </c>
      <c r="U151" s="622">
        <v>3305912.1130425488</v>
      </c>
      <c r="V151" s="635"/>
      <c r="Y151" s="536" t="s">
        <v>58</v>
      </c>
      <c r="Z151" s="632">
        <v>7.0000000000000007E-2</v>
      </c>
      <c r="AA151" s="622">
        <v>3305912.1130425488</v>
      </c>
      <c r="AB151" s="635"/>
    </row>
    <row r="152" spans="1:29" ht="13.5" thickBot="1">
      <c r="A152" s="105" t="s">
        <v>97</v>
      </c>
      <c r="B152" s="633">
        <f>7%</f>
        <v>7.0000000000000007E-2</v>
      </c>
      <c r="C152" s="399">
        <f>B152*SUM(C138:C151)</f>
        <v>359407.42494185385</v>
      </c>
      <c r="D152" s="634"/>
      <c r="G152" s="105" t="s">
        <v>97</v>
      </c>
      <c r="H152" s="633">
        <f>7%</f>
        <v>7.0000000000000007E-2</v>
      </c>
      <c r="I152" s="399">
        <f>H152*SUM(I138:I151)</f>
        <v>622563.06601120275</v>
      </c>
      <c r="J152" s="223"/>
      <c r="M152" s="105" t="s">
        <v>97</v>
      </c>
      <c r="N152" s="633">
        <f>7%</f>
        <v>7.0000000000000007E-2</v>
      </c>
      <c r="O152" s="399">
        <f>N152*SUM(O138:O151)</f>
        <v>567918.0614281334</v>
      </c>
      <c r="S152" s="105" t="s">
        <v>97</v>
      </c>
      <c r="T152" s="633">
        <f>7%</f>
        <v>7.0000000000000007E-2</v>
      </c>
      <c r="U152" s="399">
        <f>T152*SUM(U138:U151)</f>
        <v>1208878.7261978493</v>
      </c>
      <c r="Y152" s="105" t="s">
        <v>97</v>
      </c>
      <c r="Z152" s="633">
        <f>7%</f>
        <v>7.0000000000000007E-2</v>
      </c>
      <c r="AA152" s="399">
        <f>Z152*SUM(AA138:AA151)</f>
        <v>806466.79076770751</v>
      </c>
    </row>
    <row r="153" spans="1:29" ht="14" thickTop="1" thickBot="1">
      <c r="A153" s="538" t="s">
        <v>98</v>
      </c>
      <c r="B153" s="539"/>
      <c r="C153" s="540">
        <f>SUM(C133:C152)</f>
        <v>20634565.509825479</v>
      </c>
      <c r="G153" s="538" t="s">
        <v>98</v>
      </c>
      <c r="H153" s="539"/>
      <c r="I153" s="540">
        <f>SUM(I133:I152)</f>
        <v>37489629.151885532</v>
      </c>
      <c r="M153" s="538" t="s">
        <v>98</v>
      </c>
      <c r="N153" s="539"/>
      <c r="O153" s="540">
        <f>SUM(O133:O152)</f>
        <v>37149704.224687174</v>
      </c>
      <c r="S153" s="538" t="s">
        <v>98</v>
      </c>
      <c r="T153" s="539"/>
      <c r="U153" s="540">
        <f>SUM(U133:U152)</f>
        <v>78876494.814738557</v>
      </c>
      <c r="Y153" s="538" t="s">
        <v>98</v>
      </c>
      <c r="Z153" s="539"/>
      <c r="AA153" s="540">
        <f>SUM(AA133:AA152)</f>
        <v>47850435.944592103</v>
      </c>
    </row>
    <row r="154" spans="1:29" ht="13">
      <c r="A154" s="537" t="s">
        <v>99</v>
      </c>
      <c r="B154" s="401">
        <f>E123/C153</f>
        <v>2.9889738791914592E-2</v>
      </c>
      <c r="C154" s="535"/>
      <c r="G154" s="537" t="s">
        <v>99</v>
      </c>
      <c r="H154" s="401">
        <f>K123/I153</f>
        <v>3.2393961190978871E-2</v>
      </c>
      <c r="I154" s="535"/>
      <c r="M154" s="537" t="s">
        <v>99</v>
      </c>
      <c r="N154" s="401">
        <f>Q123/O153</f>
        <v>3.3860740323631594E-2</v>
      </c>
      <c r="O154" s="535"/>
      <c r="S154" s="537" t="s">
        <v>99</v>
      </c>
      <c r="T154" s="401"/>
      <c r="U154" s="535"/>
      <c r="Y154" s="537" t="s">
        <v>99</v>
      </c>
      <c r="Z154" s="401"/>
      <c r="AA154" s="535"/>
    </row>
    <row r="155" spans="1:29" ht="13">
      <c r="A155" s="400" t="s">
        <v>100</v>
      </c>
      <c r="B155" s="401">
        <f>((E130+E131)/C153)-1</f>
        <v>-0.68537117061142538</v>
      </c>
      <c r="C155" s="535"/>
      <c r="G155" s="400" t="s">
        <v>100</v>
      </c>
      <c r="H155" s="401">
        <f>((K130+K131)/I153)-1</f>
        <v>-0.6590109348318014</v>
      </c>
      <c r="I155" s="535"/>
      <c r="M155" s="400" t="s">
        <v>100</v>
      </c>
      <c r="N155" s="401">
        <f>((Q130+Q131)/O153)-1</f>
        <v>-0.64357115448808844</v>
      </c>
      <c r="O155" s="535"/>
      <c r="S155" s="400" t="s">
        <v>100</v>
      </c>
      <c r="T155" s="401">
        <f>((W130+W131)/U153)-1</f>
        <v>-0.56320333601192163</v>
      </c>
      <c r="U155" s="535"/>
      <c r="Y155" s="400" t="s">
        <v>100</v>
      </c>
      <c r="Z155" s="401">
        <f>((AC130+AC131)/AA153)-1</f>
        <v>-0.65259927592875355</v>
      </c>
      <c r="AA155" s="535"/>
    </row>
    <row r="156" spans="1:29" ht="13.5" thickBot="1">
      <c r="A156" s="119">
        <v>0.25</v>
      </c>
      <c r="B156" s="120">
        <f>((E130+E131)/(1+A156))</f>
        <v>5193783.3530385979</v>
      </c>
      <c r="C156" s="535"/>
      <c r="G156" s="119">
        <v>0.25</v>
      </c>
      <c r="H156" s="120">
        <f>((K130+K131)/(1+G156))</f>
        <v>10226842.878403116</v>
      </c>
      <c r="I156" s="535"/>
      <c r="M156" s="119">
        <v>0.25</v>
      </c>
      <c r="N156" s="120">
        <f>((Q130+Q131)/(1+M156))</f>
        <v>10592980.950331386</v>
      </c>
      <c r="O156" s="535"/>
      <c r="S156" s="119">
        <v>0.25</v>
      </c>
      <c r="T156" s="120">
        <f>((W130+W131)/(1+S156))</f>
        <v>27562391.841720611</v>
      </c>
      <c r="U156" s="535"/>
      <c r="Y156" s="119">
        <v>0.25</v>
      </c>
      <c r="Z156" s="120">
        <f>((AC130+AC131)/(1+Y156))</f>
        <v>13298620.875420876</v>
      </c>
      <c r="AA156" s="535"/>
    </row>
    <row r="157" spans="1:29" ht="13.5" thickBot="1">
      <c r="A157" s="402">
        <v>0.25</v>
      </c>
      <c r="B157" s="120">
        <f>ROUND(((E130+E131)/(1+A157))-C153,0)</f>
        <v>-15440782</v>
      </c>
      <c r="C157" s="535"/>
      <c r="G157" s="402">
        <v>0.25</v>
      </c>
      <c r="H157" s="120">
        <f>ROUND(((K130+K131)/(1+G157))-I153,0)</f>
        <v>-27262786</v>
      </c>
      <c r="I157" s="535"/>
      <c r="M157" s="402">
        <v>0.25</v>
      </c>
      <c r="N157" s="120">
        <f>ROUND(((Q130+Q131)/(1+M157))-O153,0)</f>
        <v>-26556723</v>
      </c>
      <c r="O157" s="535"/>
      <c r="S157" s="402">
        <v>0.25</v>
      </c>
      <c r="T157" s="120">
        <f>ROUND(((W130+W131)/(1+S157))-U153,0)</f>
        <v>-51314103</v>
      </c>
      <c r="U157" s="535"/>
      <c r="Y157" s="402">
        <v>0.25</v>
      </c>
      <c r="Z157" s="120">
        <f>ROUND(((AC130+AC131)/(1+Y157))-AA153,0)</f>
        <v>-34551815</v>
      </c>
      <c r="AA157" s="535"/>
    </row>
    <row r="158" spans="1:29" ht="13.5" thickBot="1">
      <c r="A158" s="644" t="s">
        <v>265</v>
      </c>
      <c r="B158" s="645"/>
      <c r="C158" s="646" t="str">
        <f>B34</f>
        <v>Student Housing 1</v>
      </c>
      <c r="G158" s="644" t="s">
        <v>101</v>
      </c>
      <c r="H158" s="645"/>
      <c r="I158" s="646" t="str">
        <f>H34</f>
        <v>Student Housing 2</v>
      </c>
      <c r="M158" s="660" t="s">
        <v>101</v>
      </c>
      <c r="N158" s="661"/>
      <c r="O158" s="121" t="str">
        <f>N34</f>
        <v>Student Housing 3</v>
      </c>
      <c r="S158" s="644" t="s">
        <v>101</v>
      </c>
      <c r="T158" s="645"/>
      <c r="U158" s="646" t="str">
        <f>T34</f>
        <v>Multifamily 5</v>
      </c>
      <c r="Y158" s="644" t="s">
        <v>101</v>
      </c>
      <c r="Z158" s="645"/>
      <c r="AA158" s="646" t="str">
        <f>Z34</f>
        <v>Parking lot</v>
      </c>
    </row>
    <row r="159" spans="1:29" ht="13.5" thickBot="1">
      <c r="A159" s="122"/>
      <c r="B159" s="123" t="s">
        <v>102</v>
      </c>
      <c r="C159" s="124" t="s">
        <v>82</v>
      </c>
      <c r="G159" s="122"/>
      <c r="H159" s="123" t="s">
        <v>102</v>
      </c>
      <c r="I159" s="124" t="s">
        <v>82</v>
      </c>
      <c r="M159" s="122"/>
      <c r="N159" s="123" t="s">
        <v>102</v>
      </c>
      <c r="O159" s="124" t="s">
        <v>82</v>
      </c>
      <c r="S159" s="122"/>
      <c r="T159" s="123" t="s">
        <v>102</v>
      </c>
      <c r="U159" s="124" t="s">
        <v>82</v>
      </c>
      <c r="Y159" s="122"/>
      <c r="Z159" s="123" t="s">
        <v>102</v>
      </c>
      <c r="AA159" s="124" t="s">
        <v>82</v>
      </c>
    </row>
    <row r="160" spans="1:29" ht="13">
      <c r="A160" s="647" t="s">
        <v>103</v>
      </c>
      <c r="B160" s="91">
        <f>IF(B157&lt;0,B157,0)</f>
        <v>-15440782</v>
      </c>
      <c r="C160" s="648">
        <f>IFERROR(B160/#REF!,0)</f>
        <v>0</v>
      </c>
      <c r="G160" s="647" t="s">
        <v>103</v>
      </c>
      <c r="H160" s="91">
        <f>IF(H157&lt;0,H157,0)</f>
        <v>-27262786</v>
      </c>
      <c r="I160" s="648">
        <f>IFERROR(H160/#REF!,0)</f>
        <v>0</v>
      </c>
      <c r="M160" s="24" t="s">
        <v>103</v>
      </c>
      <c r="N160" s="91">
        <f>IF(N157&lt;0,N157,0)</f>
        <v>-26556723</v>
      </c>
      <c r="O160" s="125">
        <f>IFERROR(N160/#REF!,0)</f>
        <v>0</v>
      </c>
      <c r="S160" s="647" t="s">
        <v>103</v>
      </c>
      <c r="T160" s="91">
        <f>IF(T157&lt;0,T157,0)</f>
        <v>-51314103</v>
      </c>
      <c r="U160" s="648">
        <f>IFERROR(T160/#REF!,0)</f>
        <v>0</v>
      </c>
      <c r="Y160" s="647" t="s">
        <v>103</v>
      </c>
      <c r="Z160" s="91">
        <f>IF(Z157&lt;0,Z157,0)</f>
        <v>-34551815</v>
      </c>
      <c r="AA160" s="648">
        <f>IFERROR(Z160/#REF!,0)</f>
        <v>0</v>
      </c>
    </row>
    <row r="161" spans="1:29" ht="13">
      <c r="A161" s="647" t="s">
        <v>104</v>
      </c>
      <c r="B161" s="91">
        <f>C153+B160</f>
        <v>5193783.5098254792</v>
      </c>
      <c r="C161" s="648">
        <f>IFERROR(B161/#REF!,0)</f>
        <v>0</v>
      </c>
      <c r="G161" s="647" t="s">
        <v>104</v>
      </c>
      <c r="H161" s="91">
        <f>I153+H160</f>
        <v>10226843.151885532</v>
      </c>
      <c r="I161" s="648">
        <f>IFERROR(H161/#REF!,0)</f>
        <v>0</v>
      </c>
      <c r="M161" s="25" t="s">
        <v>104</v>
      </c>
      <c r="N161" s="91">
        <f>O153+N160</f>
        <v>10592981.224687174</v>
      </c>
      <c r="O161" s="125">
        <f>IFERROR(N161/#REF!,0)</f>
        <v>0</v>
      </c>
      <c r="S161" s="647" t="s">
        <v>104</v>
      </c>
      <c r="T161" s="91">
        <f>U153+T160</f>
        <v>27562391.814738557</v>
      </c>
      <c r="U161" s="648">
        <f>IFERROR(T161/#REF!,0)</f>
        <v>0</v>
      </c>
      <c r="Y161" s="647" t="s">
        <v>104</v>
      </c>
      <c r="Z161" s="91">
        <f>AA153+Z160</f>
        <v>13298620.944592103</v>
      </c>
      <c r="AA161" s="648">
        <f>IFERROR(Z161/#REF!,0)</f>
        <v>0</v>
      </c>
    </row>
    <row r="162" spans="1:29" s="223" customFormat="1" ht="13.5" customHeight="1">
      <c r="A162" s="126">
        <f>Assumptions!$H$14</f>
        <v>0.5</v>
      </c>
      <c r="B162" s="92">
        <f>A162*C$153</f>
        <v>10317282.75491274</v>
      </c>
      <c r="C162" s="648">
        <f>IFERROR(B162/#REF!,0)</f>
        <v>0</v>
      </c>
      <c r="D162" s="21"/>
      <c r="E162" s="347"/>
      <c r="F162" s="347"/>
      <c r="G162" s="126">
        <f>Assumptions!$H$14</f>
        <v>0.5</v>
      </c>
      <c r="H162" s="92">
        <f>G162*I$153</f>
        <v>18744814.575942766</v>
      </c>
      <c r="I162" s="648">
        <f>IFERROR(H162/#REF!,0)</f>
        <v>0</v>
      </c>
      <c r="J162" s="21"/>
      <c r="K162" s="347"/>
      <c r="L162" s="347"/>
      <c r="M162" s="126">
        <f>Assumptions!$H$14</f>
        <v>0.5</v>
      </c>
      <c r="N162" s="92">
        <f>M162*O$153</f>
        <v>18574852.112343587</v>
      </c>
      <c r="O162" s="125">
        <f>IFERROR(N162/#REF!,0)</f>
        <v>0</v>
      </c>
      <c r="P162" s="21"/>
      <c r="Q162" s="347"/>
      <c r="R162" s="347"/>
      <c r="S162" s="126">
        <f>Assumptions!$H$14</f>
        <v>0.5</v>
      </c>
      <c r="T162" s="92">
        <f>S162*U$153</f>
        <v>39438247.407369278</v>
      </c>
      <c r="U162" s="648">
        <f>IFERROR(T162/#REF!,0)</f>
        <v>0</v>
      </c>
      <c r="V162" s="21"/>
      <c r="W162" s="347"/>
      <c r="Y162" s="126">
        <f>Assumptions!$H$14</f>
        <v>0.5</v>
      </c>
      <c r="Z162" s="92">
        <f>Y162*AA$153</f>
        <v>23925217.972296052</v>
      </c>
      <c r="AA162" s="648">
        <f>IFERROR(Z162/#REF!,0)</f>
        <v>0</v>
      </c>
      <c r="AB162" s="21"/>
      <c r="AC162" s="347"/>
    </row>
    <row r="163" spans="1:29" s="223" customFormat="1" ht="13" customHeight="1" thickBot="1">
      <c r="A163" s="127">
        <f>1-A162</f>
        <v>0.5</v>
      </c>
      <c r="B163" s="240">
        <f>A163*C$153</f>
        <v>10317282.75491274</v>
      </c>
      <c r="C163" s="649">
        <f>IFERROR(B163/#REF!,0)</f>
        <v>0</v>
      </c>
      <c r="D163" s="5"/>
      <c r="E163" s="347"/>
      <c r="F163" s="347"/>
      <c r="G163" s="127">
        <f>1-G162</f>
        <v>0.5</v>
      </c>
      <c r="H163" s="240">
        <f>G163*I$153</f>
        <v>18744814.575942766</v>
      </c>
      <c r="I163" s="649">
        <f>IFERROR(H163/#REF!,0)</f>
        <v>0</v>
      </c>
      <c r="J163" s="5"/>
      <c r="K163" s="347"/>
      <c r="L163" s="347"/>
      <c r="M163" s="127">
        <f>1-M162</f>
        <v>0.5</v>
      </c>
      <c r="N163" s="240">
        <f>M163*O$153</f>
        <v>18574852.112343587</v>
      </c>
      <c r="O163" s="241">
        <f>IFERROR(N163/#REF!,0)</f>
        <v>0</v>
      </c>
      <c r="P163" s="5"/>
      <c r="Q163" s="347"/>
      <c r="R163" s="347"/>
      <c r="S163" s="127">
        <f>1-S162</f>
        <v>0.5</v>
      </c>
      <c r="T163" s="240">
        <f>S163*U$153</f>
        <v>39438247.407369278</v>
      </c>
      <c r="U163" s="649">
        <f>IFERROR(T163/#REF!,0)</f>
        <v>0</v>
      </c>
      <c r="V163" s="5"/>
      <c r="W163" s="347"/>
      <c r="Y163" s="127">
        <f>1-Y162</f>
        <v>0.5</v>
      </c>
      <c r="Z163" s="240">
        <f>Y163*AA$153</f>
        <v>23925217.972296052</v>
      </c>
      <c r="AA163" s="649">
        <f>IFERROR(Z163/#REF!,0)</f>
        <v>0</v>
      </c>
      <c r="AB163" s="5"/>
      <c r="AC163" s="347"/>
    </row>
    <row r="164" spans="1:29" ht="14" thickTop="1" thickBot="1">
      <c r="A164" s="650" t="s">
        <v>105</v>
      </c>
      <c r="B164" s="651">
        <f>B162+B163</f>
        <v>20634565.509825479</v>
      </c>
      <c r="C164" s="652">
        <f>ROUND((C163+C162),-3)</f>
        <v>0</v>
      </c>
      <c r="D164" s="23"/>
      <c r="G164" s="650" t="s">
        <v>105</v>
      </c>
      <c r="H164" s="651">
        <f>H162+H163</f>
        <v>37489629.151885532</v>
      </c>
      <c r="I164" s="652">
        <f>ROUND((I163+I162),-3)</f>
        <v>0</v>
      </c>
      <c r="J164" s="23"/>
      <c r="M164" s="54" t="s">
        <v>105</v>
      </c>
      <c r="N164" s="128">
        <f>N162+N163</f>
        <v>37149704.224687174</v>
      </c>
      <c r="O164" s="93">
        <f>ROUND((O163+O162),-3)</f>
        <v>0</v>
      </c>
      <c r="P164" s="23"/>
      <c r="S164" s="650" t="s">
        <v>105</v>
      </c>
      <c r="T164" s="651">
        <f>T162+T163</f>
        <v>78876494.814738557</v>
      </c>
      <c r="U164" s="652">
        <f>ROUND((U163+U162),-3)</f>
        <v>0</v>
      </c>
      <c r="V164" s="23"/>
      <c r="Y164" s="650" t="s">
        <v>105</v>
      </c>
      <c r="Z164" s="651">
        <f>Z162+Z163</f>
        <v>47850435.944592103</v>
      </c>
      <c r="AA164" s="652">
        <f>ROUND((AA163+AA162),-3)</f>
        <v>0</v>
      </c>
      <c r="AB164" s="23"/>
    </row>
  </sheetData>
  <mergeCells count="11">
    <mergeCell ref="Z111:AA111"/>
    <mergeCell ref="Y113:AC113"/>
    <mergeCell ref="A113:E113"/>
    <mergeCell ref="G113:K113"/>
    <mergeCell ref="M113:Q113"/>
    <mergeCell ref="S113:W113"/>
    <mergeCell ref="D2:E2"/>
    <mergeCell ref="B111:C111"/>
    <mergeCell ref="H111:I111"/>
    <mergeCell ref="N111:O111"/>
    <mergeCell ref="T111:U111"/>
  </mergeCells>
  <conditionalFormatting sqref="C47">
    <cfRule type="expression" dxfId="80" priority="24">
      <formula>C53&gt;D46</formula>
    </cfRule>
  </conditionalFormatting>
  <conditionalFormatting sqref="C63">
    <cfRule type="expression" dxfId="79" priority="23">
      <formula>C69&gt;D62</formula>
    </cfRule>
  </conditionalFormatting>
  <conditionalFormatting sqref="C79">
    <cfRule type="expression" dxfId="78" priority="22">
      <formula>C85&gt;D78</formula>
    </cfRule>
  </conditionalFormatting>
  <conditionalFormatting sqref="I79">
    <cfRule type="expression" dxfId="77" priority="17">
      <formula>I85&gt;J78</formula>
    </cfRule>
  </conditionalFormatting>
  <conditionalFormatting sqref="C56">
    <cfRule type="expression" dxfId="76" priority="25">
      <formula>C60&gt;D55</formula>
    </cfRule>
  </conditionalFormatting>
  <conditionalFormatting sqref="I47">
    <cfRule type="expression" dxfId="75" priority="19">
      <formula>I53&gt;J46</formula>
    </cfRule>
  </conditionalFormatting>
  <conditionalFormatting sqref="I63">
    <cfRule type="expression" dxfId="74" priority="18">
      <formula>I69&gt;J62</formula>
    </cfRule>
  </conditionalFormatting>
  <conditionalFormatting sqref="I56">
    <cfRule type="expression" dxfId="73" priority="20">
      <formula>I60&gt;J55</formula>
    </cfRule>
  </conditionalFormatting>
  <conditionalFormatting sqref="C72">
    <cfRule type="expression" dxfId="72" priority="21">
      <formula>C76&gt;D71</formula>
    </cfRule>
  </conditionalFormatting>
  <conditionalFormatting sqref="I72">
    <cfRule type="expression" dxfId="71" priority="16">
      <formula>I76&gt;J71</formula>
    </cfRule>
  </conditionalFormatting>
  <conditionalFormatting sqref="O47">
    <cfRule type="expression" dxfId="70" priority="14">
      <formula>O53&gt;P46</formula>
    </cfRule>
  </conditionalFormatting>
  <conditionalFormatting sqref="O63">
    <cfRule type="expression" dxfId="69" priority="13">
      <formula>O69&gt;P62</formula>
    </cfRule>
  </conditionalFormatting>
  <conditionalFormatting sqref="O79">
    <cfRule type="expression" dxfId="68" priority="12">
      <formula>O85&gt;P78</formula>
    </cfRule>
  </conditionalFormatting>
  <conditionalFormatting sqref="O56">
    <cfRule type="expression" dxfId="67" priority="15">
      <formula>O60&gt;P55</formula>
    </cfRule>
  </conditionalFormatting>
  <conditionalFormatting sqref="O72">
    <cfRule type="expression" dxfId="66" priority="11">
      <formula>O76&gt;P71</formula>
    </cfRule>
  </conditionalFormatting>
  <conditionalFormatting sqref="U47">
    <cfRule type="expression" dxfId="65" priority="9">
      <formula>U53&gt;V46</formula>
    </cfRule>
  </conditionalFormatting>
  <conditionalFormatting sqref="U63">
    <cfRule type="expression" dxfId="64" priority="8">
      <formula>U69&gt;V62</formula>
    </cfRule>
  </conditionalFormatting>
  <conditionalFormatting sqref="U79">
    <cfRule type="expression" dxfId="63" priority="7">
      <formula>U85&gt;V78</formula>
    </cfRule>
  </conditionalFormatting>
  <conditionalFormatting sqref="U56">
    <cfRule type="expression" dxfId="62" priority="10">
      <formula>U60&gt;V55</formula>
    </cfRule>
  </conditionalFormatting>
  <conditionalFormatting sqref="U72">
    <cfRule type="expression" dxfId="61" priority="6">
      <formula>U76&gt;V71</formula>
    </cfRule>
  </conditionalFormatting>
  <conditionalFormatting sqref="AA47">
    <cfRule type="expression" dxfId="60" priority="4">
      <formula>AA53&gt;AB46</formula>
    </cfRule>
  </conditionalFormatting>
  <conditionalFormatting sqref="AA63">
    <cfRule type="expression" dxfId="59" priority="3">
      <formula>AA69&gt;AB62</formula>
    </cfRule>
  </conditionalFormatting>
  <conditionalFormatting sqref="AA79">
    <cfRule type="expression" dxfId="58" priority="2">
      <formula>AA85&gt;AB78</formula>
    </cfRule>
  </conditionalFormatting>
  <conditionalFormatting sqref="AA56">
    <cfRule type="expression" dxfId="57" priority="5">
      <formula>AA60&gt;AB55</formula>
    </cfRule>
  </conditionalFormatting>
  <conditionalFormatting sqref="AA72">
    <cfRule type="expression" dxfId="56" priority="1">
      <formula>AA76&gt;AB71</formula>
    </cfRule>
  </conditionalFormatting>
  <printOptions horizontalCentered="1" verticalCentered="1"/>
  <pageMargins left="0.7" right="0.7" top="0.75" bottom="0.75" header="0.3" footer="0.3"/>
  <pageSetup fitToHeight="0" orientation="landscape" horizontalDpi="4294967292" verticalDpi="4294967292" r:id="rId1"/>
  <headerFooter>
    <oddHeader>&amp;C&amp;"Times New Roman Bold,Bold"&amp;14&amp;K000000INVESTOR SHEET</oddHeader>
    <oddFooter>&amp;CPage &amp;P of &amp;N</oddFooter>
  </headerFooter>
  <rowBreaks count="1" manualBreakCount="1">
    <brk id="106" max="4" man="1"/>
  </rowBreaks>
  <drawing r:id="rId2"/>
  <legacy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207B6C-3991-4D6B-8A30-2F0B7605176E}">
  <sheetPr>
    <tabColor rgb="FF0070C0"/>
  </sheetPr>
  <dimension ref="A1:BX608"/>
  <sheetViews>
    <sheetView zoomScale="70" zoomScaleNormal="70" zoomScalePageLayoutView="125" workbookViewId="0">
      <pane xSplit="1" ySplit="3" topLeftCell="B4" activePane="bottomRight" state="frozen"/>
      <selection activeCell="B12" sqref="B12"/>
      <selection pane="topRight" activeCell="B12" sqref="B12"/>
      <selection pane="bottomLeft" activeCell="B12" sqref="B12"/>
      <selection pane="bottomRight" activeCell="AA47" sqref="AA47"/>
    </sheetView>
  </sheetViews>
  <sheetFormatPr defaultColWidth="8.81640625" defaultRowHeight="14.5"/>
  <cols>
    <col min="1" max="1" width="39.7265625" style="5" customWidth="1"/>
    <col min="2" max="2" width="18.1796875" style="5" customWidth="1"/>
    <col min="3" max="3" width="25.1796875" style="5" customWidth="1"/>
    <col min="4" max="4" width="19.54296875" style="5" customWidth="1"/>
    <col min="5" max="5" width="17.6328125" style="5" customWidth="1"/>
    <col min="6" max="6" width="17.6328125" style="5" hidden="1" customWidth="1"/>
    <col min="7" max="7" width="17.6328125" style="55" hidden="1" customWidth="1"/>
    <col min="8" max="19" width="17.6328125" style="5" hidden="1" customWidth="1"/>
    <col min="20" max="20" width="19.7265625" style="5" bestFit="1" customWidth="1"/>
    <col min="21" max="23" width="17.6328125" style="5" customWidth="1"/>
    <col min="24" max="24" width="19.1796875" style="5" bestFit="1" customWidth="1"/>
    <col min="25" max="25" width="17.36328125" style="5" bestFit="1" customWidth="1"/>
    <col min="26" max="47" width="17.6328125" style="5" customWidth="1"/>
    <col min="48" max="48" width="20.453125" style="5" customWidth="1"/>
    <col min="49" max="73" width="17" style="5" customWidth="1"/>
    <col min="74" max="74" width="16.54296875" style="5" customWidth="1"/>
    <col min="75" max="75" width="15" customWidth="1"/>
    <col min="76" max="76" width="17.81640625" bestFit="1" customWidth="1"/>
    <col min="77" max="77" width="9.54296875" style="5" bestFit="1" customWidth="1"/>
    <col min="78" max="78" width="11.81640625" style="5" bestFit="1" customWidth="1"/>
    <col min="79" max="80" width="9.54296875" style="5" bestFit="1" customWidth="1"/>
    <col min="81" max="16384" width="8.81640625" style="5"/>
  </cols>
  <sheetData>
    <row r="1" spans="1:74" ht="15" customHeight="1" thickBot="1">
      <c r="A1" s="700" t="s">
        <v>266</v>
      </c>
      <c r="B1" s="519" t="s">
        <v>119</v>
      </c>
      <c r="C1" s="81" t="str">
        <f>'Development Program'!C62</f>
        <v>Pre-Development</v>
      </c>
      <c r="D1" s="81" t="str">
        <f>'Development Program'!E62</f>
        <v>Construction</v>
      </c>
      <c r="E1" s="81" t="str">
        <f>'Development Program'!G62</f>
        <v>Close-out</v>
      </c>
      <c r="G1" s="22"/>
    </row>
    <row r="2" spans="1:74" ht="41.5" customHeight="1" thickBot="1">
      <c r="A2" s="701"/>
      <c r="B2" s="520" t="s">
        <v>120</v>
      </c>
      <c r="C2" s="518" t="str">
        <f>INDEX('Development Program'!$B$62:$H$71,MATCH($A$1,'Development Program'!$B$62:$B$71,0),MATCH(C1,'Development Program'!$B$62:$H$62,0))</f>
        <v>10/1/29 to 12/31/30</v>
      </c>
      <c r="D2" s="518" t="str">
        <f>INDEX('Development Program'!$B$62:$H$71,MATCH($A$1,'Development Program'!$B$62:$B$71,0),MATCH(D1,'Development Program'!$B$62:$H$62,0))</f>
        <v>1/1/31 to 12/31/32</v>
      </c>
      <c r="E2" s="518" t="str">
        <f>INDEX('Development Program'!$B$62:$H$71,MATCH($A$1,'Development Program'!$B$62:$B$71,0),MATCH(E1,'Development Program'!$B$62:$H$62,0))</f>
        <v>1/1/33 to 6/30/33</v>
      </c>
      <c r="G2" s="5"/>
      <c r="T2" s="101" t="s">
        <v>421</v>
      </c>
      <c r="W2" s="99"/>
      <c r="X2" s="101" t="s">
        <v>121</v>
      </c>
      <c r="Y2" s="101" t="s">
        <v>122</v>
      </c>
      <c r="AB2" s="99"/>
      <c r="AC2" s="99"/>
      <c r="AD2" s="99"/>
      <c r="AE2" s="99"/>
      <c r="AF2" s="601" t="s">
        <v>123</v>
      </c>
      <c r="AG2" s="601" t="s">
        <v>124</v>
      </c>
      <c r="AH2" s="601" t="s">
        <v>125</v>
      </c>
      <c r="AL2" s="99"/>
      <c r="AM2" s="99"/>
      <c r="AN2" s="99"/>
      <c r="AO2" s="99"/>
      <c r="AP2" s="99"/>
      <c r="AV2" s="703" t="s">
        <v>126</v>
      </c>
      <c r="AW2" s="703"/>
      <c r="AX2" s="703"/>
    </row>
    <row r="3" spans="1:74" ht="29.5" customHeight="1" thickBot="1">
      <c r="A3" s="702"/>
      <c r="B3" s="59" t="s">
        <v>62</v>
      </c>
      <c r="C3" s="82"/>
      <c r="D3" s="82">
        <v>46023</v>
      </c>
      <c r="E3" s="83">
        <f t="shared" ref="E3:AK3" si="0">EOMONTH(D3,3)</f>
        <v>46142</v>
      </c>
      <c r="F3" s="602">
        <f t="shared" si="0"/>
        <v>46234</v>
      </c>
      <c r="G3" s="602">
        <f t="shared" si="0"/>
        <v>46326</v>
      </c>
      <c r="H3" s="602">
        <v>46387</v>
      </c>
      <c r="I3" s="602">
        <v>46388</v>
      </c>
      <c r="J3" s="602">
        <f t="shared" si="0"/>
        <v>46507</v>
      </c>
      <c r="K3" s="602">
        <f t="shared" si="0"/>
        <v>46599</v>
      </c>
      <c r="L3" s="602">
        <f t="shared" si="0"/>
        <v>46691</v>
      </c>
      <c r="M3" s="602">
        <f t="shared" si="0"/>
        <v>46783</v>
      </c>
      <c r="N3" s="602">
        <f t="shared" si="0"/>
        <v>46873</v>
      </c>
      <c r="O3" s="602">
        <f t="shared" si="0"/>
        <v>46965</v>
      </c>
      <c r="P3" s="602">
        <f t="shared" si="0"/>
        <v>47057</v>
      </c>
      <c r="Q3" s="602">
        <f t="shared" si="0"/>
        <v>47149</v>
      </c>
      <c r="R3" s="602">
        <f t="shared" si="0"/>
        <v>47238</v>
      </c>
      <c r="S3" s="602">
        <f t="shared" si="0"/>
        <v>47330</v>
      </c>
      <c r="T3" s="602">
        <f t="shared" si="0"/>
        <v>47422</v>
      </c>
      <c r="U3" s="602">
        <f t="shared" si="0"/>
        <v>47514</v>
      </c>
      <c r="V3" s="602">
        <f t="shared" si="0"/>
        <v>47603</v>
      </c>
      <c r="W3" s="602">
        <f t="shared" si="0"/>
        <v>47695</v>
      </c>
      <c r="X3" s="602">
        <f t="shared" si="0"/>
        <v>47787</v>
      </c>
      <c r="Y3" s="602">
        <f t="shared" si="0"/>
        <v>47879</v>
      </c>
      <c r="Z3" s="602">
        <f t="shared" si="0"/>
        <v>47968</v>
      </c>
      <c r="AA3" s="102">
        <f t="shared" si="0"/>
        <v>48060</v>
      </c>
      <c r="AB3" s="102">
        <f t="shared" si="0"/>
        <v>48152</v>
      </c>
      <c r="AC3" s="102">
        <f t="shared" si="0"/>
        <v>48244</v>
      </c>
      <c r="AD3" s="102">
        <f t="shared" si="0"/>
        <v>48334</v>
      </c>
      <c r="AE3" s="102">
        <f t="shared" si="0"/>
        <v>48426</v>
      </c>
      <c r="AF3" s="102">
        <f t="shared" si="0"/>
        <v>48518</v>
      </c>
      <c r="AG3" s="102">
        <f t="shared" si="0"/>
        <v>48610</v>
      </c>
      <c r="AH3" s="102">
        <f t="shared" si="0"/>
        <v>48699</v>
      </c>
      <c r="AI3" s="102">
        <f t="shared" si="0"/>
        <v>48791</v>
      </c>
      <c r="AJ3" s="102">
        <f t="shared" si="0"/>
        <v>48883</v>
      </c>
      <c r="AK3" s="102">
        <f t="shared" si="0"/>
        <v>48975</v>
      </c>
      <c r="AL3" s="102">
        <f>EOMONTH(AK3,3)</f>
        <v>49064</v>
      </c>
      <c r="AM3" s="102">
        <f t="shared" ref="AM3:AU3" si="1">EOMONTH(AL3,3)</f>
        <v>49156</v>
      </c>
      <c r="AN3" s="102">
        <f t="shared" si="1"/>
        <v>49248</v>
      </c>
      <c r="AO3" s="102">
        <f t="shared" si="1"/>
        <v>49340</v>
      </c>
      <c r="AP3" s="102">
        <f t="shared" si="1"/>
        <v>49429</v>
      </c>
      <c r="AQ3" s="102">
        <f t="shared" si="1"/>
        <v>49521</v>
      </c>
      <c r="AR3" s="102">
        <f t="shared" si="1"/>
        <v>49613</v>
      </c>
      <c r="AS3" s="102">
        <f>EOMONTH(AR3,3)</f>
        <v>49705</v>
      </c>
      <c r="AT3" s="102">
        <f t="shared" si="1"/>
        <v>49795</v>
      </c>
      <c r="AU3" s="102">
        <f t="shared" si="1"/>
        <v>49887</v>
      </c>
      <c r="AV3" s="133" t="s">
        <v>127</v>
      </c>
      <c r="AW3" s="134" t="s">
        <v>128</v>
      </c>
      <c r="AX3" s="13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</row>
    <row r="4" spans="1:74" ht="15" thickBot="1">
      <c r="A4" s="135" t="s">
        <v>129</v>
      </c>
      <c r="B4" s="136">
        <v>1</v>
      </c>
      <c r="C4" s="97"/>
      <c r="D4" s="97"/>
      <c r="E4" s="97"/>
      <c r="F4" s="96"/>
      <c r="G4" s="96"/>
      <c r="H4" s="96"/>
      <c r="I4" s="96"/>
      <c r="J4" s="96"/>
      <c r="K4" s="96"/>
      <c r="L4" s="96"/>
      <c r="M4" s="96"/>
      <c r="N4" s="96"/>
      <c r="O4" s="96"/>
      <c r="P4" s="96"/>
      <c r="Q4" s="96"/>
      <c r="R4" s="96"/>
      <c r="S4" s="96"/>
      <c r="T4" s="96"/>
      <c r="U4" s="96"/>
      <c r="V4" s="96"/>
      <c r="W4" s="96"/>
      <c r="X4" s="96"/>
      <c r="Y4" s="96">
        <v>0.05</v>
      </c>
      <c r="Z4" s="96">
        <v>0.1</v>
      </c>
      <c r="AA4" s="96">
        <v>0.15</v>
      </c>
      <c r="AB4" s="96">
        <v>0.25</v>
      </c>
      <c r="AC4" s="97">
        <v>0.15</v>
      </c>
      <c r="AD4" s="97">
        <v>0.13</v>
      </c>
      <c r="AE4" s="97">
        <v>0.12</v>
      </c>
      <c r="AF4" s="97">
        <v>0.05</v>
      </c>
      <c r="AG4" s="97"/>
      <c r="AH4" s="97"/>
      <c r="AI4" s="97"/>
      <c r="AJ4" s="97"/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/>
      <c r="AV4" s="137">
        <f>SUM(C4:AU4)</f>
        <v>1</v>
      </c>
      <c r="AW4" s="138"/>
      <c r="AX4" s="84" t="s">
        <v>130</v>
      </c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</row>
    <row r="5" spans="1:74">
      <c r="A5" s="139" t="str">
        <f>'I Financial'!$A7</f>
        <v>Hard Costs for Construction</v>
      </c>
      <c r="B5" s="140">
        <f>'I Financial'!$B7</f>
        <v>119982423</v>
      </c>
      <c r="C5" s="141"/>
      <c r="D5" s="141"/>
      <c r="E5" s="141"/>
      <c r="F5" s="141"/>
      <c r="G5" s="141"/>
      <c r="H5" s="141"/>
      <c r="I5" s="141"/>
      <c r="J5" s="141"/>
      <c r="K5" s="141"/>
      <c r="L5" s="141"/>
      <c r="M5" s="141"/>
      <c r="N5" s="141"/>
      <c r="O5" s="141"/>
      <c r="P5" s="141"/>
      <c r="Q5" s="141"/>
      <c r="R5" s="141"/>
      <c r="S5" s="141"/>
      <c r="T5" s="141">
        <f t="shared" ref="T5:AG5" si="2">$B$5*T4</f>
        <v>0</v>
      </c>
      <c r="U5" s="141">
        <f t="shared" si="2"/>
        <v>0</v>
      </c>
      <c r="V5" s="141">
        <f t="shared" si="2"/>
        <v>0</v>
      </c>
      <c r="W5" s="141">
        <f t="shared" si="2"/>
        <v>0</v>
      </c>
      <c r="X5" s="141">
        <f t="shared" si="2"/>
        <v>0</v>
      </c>
      <c r="Y5" s="141">
        <f t="shared" si="2"/>
        <v>5999121.1500000004</v>
      </c>
      <c r="Z5" s="141">
        <f t="shared" si="2"/>
        <v>11998242.300000001</v>
      </c>
      <c r="AA5" s="141">
        <f t="shared" si="2"/>
        <v>17997363.449999999</v>
      </c>
      <c r="AB5" s="141">
        <f t="shared" si="2"/>
        <v>29995605.75</v>
      </c>
      <c r="AC5" s="141">
        <f t="shared" si="2"/>
        <v>17997363.449999999</v>
      </c>
      <c r="AD5" s="141">
        <f t="shared" si="2"/>
        <v>15597714.99</v>
      </c>
      <c r="AE5" s="141">
        <f t="shared" si="2"/>
        <v>14397890.76</v>
      </c>
      <c r="AF5" s="141">
        <f t="shared" si="2"/>
        <v>5999121.1500000004</v>
      </c>
      <c r="AG5" s="141">
        <f t="shared" si="2"/>
        <v>0</v>
      </c>
      <c r="AH5" s="142"/>
      <c r="AI5" s="142"/>
      <c r="AJ5" s="142"/>
      <c r="AK5" s="142"/>
      <c r="AL5" s="142"/>
      <c r="AM5" s="142"/>
      <c r="AN5" s="142"/>
      <c r="AO5" s="142"/>
      <c r="AP5" s="142"/>
      <c r="AQ5" s="142"/>
      <c r="AR5" s="142"/>
      <c r="AS5" s="142"/>
      <c r="AT5" s="142"/>
      <c r="AU5" s="142"/>
      <c r="AV5" s="142">
        <f>SUM(C5:AU5)</f>
        <v>119982423.00000001</v>
      </c>
      <c r="AW5" s="142">
        <f t="shared" ref="AW5:AW24" si="3">B5</f>
        <v>119982423</v>
      </c>
      <c r="AX5" s="142">
        <f>AW5-AV5</f>
        <v>0</v>
      </c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</row>
    <row r="6" spans="1:74">
      <c r="A6" s="139" t="str">
        <f>'I Financial'!$A8</f>
        <v>Hard Cost Contingency</v>
      </c>
      <c r="B6" s="140">
        <f>'I Financial'!$B8</f>
        <v>11998242.300000001</v>
      </c>
      <c r="C6" s="141"/>
      <c r="D6" s="141"/>
      <c r="E6" s="141"/>
      <c r="F6" s="141"/>
      <c r="G6" s="141"/>
      <c r="H6" s="141"/>
      <c r="I6" s="141"/>
      <c r="J6" s="141"/>
      <c r="K6" s="141"/>
      <c r="L6" s="141"/>
      <c r="M6" s="141"/>
      <c r="N6" s="141"/>
      <c r="O6" s="141"/>
      <c r="P6" s="141"/>
      <c r="Q6" s="141"/>
      <c r="R6" s="141"/>
      <c r="S6" s="141"/>
      <c r="T6" s="141">
        <f t="shared" ref="T6:AG6" si="4">$B$6*T4</f>
        <v>0</v>
      </c>
      <c r="U6" s="141">
        <f t="shared" si="4"/>
        <v>0</v>
      </c>
      <c r="V6" s="141">
        <f t="shared" si="4"/>
        <v>0</v>
      </c>
      <c r="W6" s="141">
        <f t="shared" si="4"/>
        <v>0</v>
      </c>
      <c r="X6" s="141">
        <f t="shared" si="4"/>
        <v>0</v>
      </c>
      <c r="Y6" s="141">
        <f t="shared" si="4"/>
        <v>599912.11500000011</v>
      </c>
      <c r="Z6" s="141">
        <f t="shared" si="4"/>
        <v>1199824.2300000002</v>
      </c>
      <c r="AA6" s="141">
        <f t="shared" si="4"/>
        <v>1799736.345</v>
      </c>
      <c r="AB6" s="141">
        <f t="shared" si="4"/>
        <v>2999560.5750000002</v>
      </c>
      <c r="AC6" s="141">
        <f t="shared" si="4"/>
        <v>1799736.345</v>
      </c>
      <c r="AD6" s="141">
        <f t="shared" si="4"/>
        <v>1559771.4990000001</v>
      </c>
      <c r="AE6" s="141">
        <f t="shared" si="4"/>
        <v>1439789.0760000001</v>
      </c>
      <c r="AF6" s="141">
        <f t="shared" si="4"/>
        <v>599912.11500000011</v>
      </c>
      <c r="AG6" s="141">
        <f t="shared" si="4"/>
        <v>0</v>
      </c>
      <c r="AH6" s="142"/>
      <c r="AI6" s="142"/>
      <c r="AJ6" s="142"/>
      <c r="AK6" s="142"/>
      <c r="AL6" s="142"/>
      <c r="AM6" s="142"/>
      <c r="AN6" s="142"/>
      <c r="AO6" s="142"/>
      <c r="AP6" s="142"/>
      <c r="AQ6" s="142"/>
      <c r="AR6" s="142"/>
      <c r="AS6" s="142"/>
      <c r="AT6" s="142"/>
      <c r="AU6" s="142"/>
      <c r="AV6" s="142">
        <f>SUM(C6:AU6)</f>
        <v>11998242.300000001</v>
      </c>
      <c r="AW6" s="142">
        <f t="shared" si="3"/>
        <v>11998242.300000001</v>
      </c>
      <c r="AX6" s="142">
        <f t="shared" ref="AX6:AX24" si="5">AW6-AV6</f>
        <v>0</v>
      </c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  <c r="BP6"/>
      <c r="BQ6"/>
      <c r="BR6"/>
      <c r="BS6"/>
      <c r="BT6"/>
      <c r="BU6"/>
      <c r="BV6"/>
    </row>
    <row r="7" spans="1:74">
      <c r="A7" s="139" t="str">
        <f>'I Financial'!$A9</f>
        <v>Demolition</v>
      </c>
      <c r="B7" s="140">
        <f>'I Financial'!$B9</f>
        <v>0</v>
      </c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1"/>
      <c r="X7" s="141"/>
      <c r="Y7" s="141"/>
      <c r="Z7" s="141"/>
      <c r="AA7" s="142"/>
      <c r="AB7" s="142"/>
      <c r="AC7" s="142"/>
      <c r="AD7" s="142"/>
      <c r="AE7" s="142"/>
      <c r="AF7" s="142"/>
      <c r="AG7" s="142"/>
      <c r="AH7" s="142"/>
      <c r="AI7" s="142"/>
      <c r="AJ7" s="142"/>
      <c r="AK7" s="142"/>
      <c r="AL7" s="142"/>
      <c r="AM7" s="142"/>
      <c r="AN7" s="142"/>
      <c r="AO7" s="142"/>
      <c r="AP7" s="142"/>
      <c r="AQ7" s="142"/>
      <c r="AR7" s="142"/>
      <c r="AS7" s="142"/>
      <c r="AT7" s="142"/>
      <c r="AU7" s="142"/>
      <c r="AV7" s="142">
        <f>SUM(C7:AU7)</f>
        <v>0</v>
      </c>
      <c r="AW7" s="142">
        <f t="shared" si="3"/>
        <v>0</v>
      </c>
      <c r="AX7" s="142">
        <f t="shared" si="5"/>
        <v>0</v>
      </c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</row>
    <row r="8" spans="1:74">
      <c r="A8" s="139" t="str">
        <f>'I Financial'!$A10</f>
        <v>Land Cost</v>
      </c>
      <c r="B8" s="140">
        <f>'I Financial'!$B10</f>
        <v>550000</v>
      </c>
      <c r="C8" s="98"/>
      <c r="D8" s="143"/>
      <c r="E8" s="141"/>
      <c r="F8" s="141"/>
      <c r="G8" s="144"/>
      <c r="H8" s="144"/>
      <c r="I8" s="141"/>
      <c r="J8" s="145"/>
      <c r="K8" s="143"/>
      <c r="L8" s="143"/>
      <c r="M8" s="141"/>
      <c r="N8" s="141"/>
      <c r="O8" s="141"/>
      <c r="P8" s="141"/>
      <c r="Q8" s="141"/>
      <c r="R8" s="141"/>
      <c r="S8" s="141"/>
      <c r="T8" s="141"/>
      <c r="U8" s="141"/>
      <c r="V8" s="141"/>
      <c r="W8" s="141">
        <f>B8</f>
        <v>550000</v>
      </c>
      <c r="X8" s="141"/>
      <c r="Y8" s="141"/>
      <c r="Z8" s="141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/>
      <c r="AT8" s="147"/>
      <c r="AU8" s="147"/>
      <c r="AV8" s="142">
        <f>SUM(D8:AU8)</f>
        <v>550000</v>
      </c>
      <c r="AW8" s="142">
        <f t="shared" si="3"/>
        <v>550000</v>
      </c>
      <c r="AX8" s="142">
        <f t="shared" si="5"/>
        <v>0</v>
      </c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</row>
    <row r="9" spans="1:74">
      <c r="A9" s="139" t="str">
        <f>'I Financial'!$A11</f>
        <v>Infrastructure Cost less Subsidy</v>
      </c>
      <c r="B9" s="140">
        <f>'I Financial'!$B11</f>
        <v>-1452380.9523809524</v>
      </c>
      <c r="C9" s="146"/>
      <c r="D9" s="143"/>
      <c r="E9" s="141"/>
      <c r="F9" s="141"/>
      <c r="G9" s="141"/>
      <c r="H9" s="144"/>
      <c r="I9" s="141"/>
      <c r="J9" s="141"/>
      <c r="K9" s="143"/>
      <c r="L9" s="141"/>
      <c r="M9" s="141"/>
      <c r="N9" s="141"/>
      <c r="O9" s="141"/>
      <c r="P9" s="141"/>
      <c r="Q9" s="141"/>
      <c r="R9" s="141"/>
      <c r="S9" s="141"/>
      <c r="T9" s="141"/>
      <c r="U9" s="141"/>
      <c r="V9" s="141"/>
      <c r="W9" s="141"/>
      <c r="X9" s="141"/>
      <c r="Y9" s="141"/>
      <c r="Z9" s="141"/>
      <c r="AA9" s="147"/>
      <c r="AB9" s="147"/>
      <c r="AC9" s="147"/>
      <c r="AD9" s="147"/>
      <c r="AE9" s="141">
        <f>$B$9/2</f>
        <v>-726190.47619047621</v>
      </c>
      <c r="AF9" s="141">
        <f>$B$9/2</f>
        <v>-726190.47619047621</v>
      </c>
      <c r="AG9" s="147"/>
      <c r="AH9" s="147"/>
      <c r="AI9" s="147"/>
      <c r="AJ9" s="147"/>
      <c r="AK9" s="147"/>
      <c r="AL9" s="147"/>
      <c r="AM9" s="147"/>
      <c r="AN9" s="147"/>
      <c r="AO9" s="147"/>
      <c r="AP9" s="147"/>
      <c r="AQ9" s="147"/>
      <c r="AR9" s="147"/>
      <c r="AS9" s="147"/>
      <c r="AT9" s="147"/>
      <c r="AU9" s="147"/>
      <c r="AV9" s="142">
        <f t="shared" ref="AV9:AV24" si="6">SUM(C9:AU9)</f>
        <v>-1452380.9523809524</v>
      </c>
      <c r="AW9" s="142">
        <f t="shared" si="3"/>
        <v>-1452380.9523809524</v>
      </c>
      <c r="AX9" s="142">
        <f t="shared" si="5"/>
        <v>0</v>
      </c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</row>
    <row r="10" spans="1:74" ht="19" customHeight="1">
      <c r="A10" s="139" t="str">
        <f>'I Financial'!$A12</f>
        <v>Municipal Fees and Allowances</v>
      </c>
      <c r="B10" s="140">
        <f>'I Financial'!$B12</f>
        <v>6599033.2650000006</v>
      </c>
      <c r="C10" s="148"/>
      <c r="D10" s="147"/>
      <c r="E10" s="149"/>
      <c r="F10" s="149"/>
      <c r="G10" s="149"/>
      <c r="H10" s="149"/>
      <c r="I10" s="149"/>
      <c r="J10" s="141"/>
      <c r="K10" s="147"/>
      <c r="L10" s="147"/>
      <c r="M10" s="141"/>
      <c r="N10" s="141"/>
      <c r="O10" s="141"/>
      <c r="P10" s="141"/>
      <c r="Q10" s="141"/>
      <c r="S10" s="141"/>
      <c r="T10" s="141"/>
      <c r="U10" s="141">
        <f>$B$10</f>
        <v>6599033.2650000006</v>
      </c>
      <c r="V10" s="141"/>
      <c r="W10" s="141"/>
      <c r="X10" s="141"/>
      <c r="Y10" s="141"/>
      <c r="Z10" s="141"/>
      <c r="AA10" s="150"/>
      <c r="AB10" s="150"/>
      <c r="AC10" s="150"/>
      <c r="AD10" s="150"/>
      <c r="AE10" s="150"/>
      <c r="AF10" s="150"/>
      <c r="AG10" s="150"/>
      <c r="AH10" s="150"/>
      <c r="AI10" s="150"/>
      <c r="AJ10" s="150"/>
      <c r="AK10" s="150"/>
      <c r="AL10" s="150"/>
      <c r="AM10" s="150"/>
      <c r="AN10" s="150"/>
      <c r="AO10" s="150"/>
      <c r="AP10" s="150"/>
      <c r="AQ10" s="147"/>
      <c r="AR10" s="147"/>
      <c r="AS10" s="147"/>
      <c r="AT10" s="147"/>
      <c r="AU10" s="147"/>
      <c r="AV10" s="142">
        <f t="shared" si="6"/>
        <v>6599033.2650000006</v>
      </c>
      <c r="AW10" s="142">
        <f t="shared" si="3"/>
        <v>6599033.2650000006</v>
      </c>
      <c r="AX10" s="142">
        <f t="shared" si="5"/>
        <v>0</v>
      </c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</row>
    <row r="11" spans="1:74">
      <c r="A11" s="139" t="str">
        <f>'I Financial'!$A13</f>
        <v>Legal</v>
      </c>
      <c r="B11" s="140">
        <f>'I Financial'!$B13</f>
        <v>2639613.3059999999</v>
      </c>
      <c r="C11" s="148"/>
      <c r="D11" s="148"/>
      <c r="E11" s="141"/>
      <c r="F11" s="141"/>
      <c r="G11" s="141"/>
      <c r="H11" s="141"/>
      <c r="I11" s="141"/>
      <c r="J11" s="141"/>
      <c r="K11" s="147"/>
      <c r="L11" s="147"/>
      <c r="M11" s="141"/>
      <c r="N11" s="141"/>
      <c r="O11" s="141"/>
      <c r="P11" s="141"/>
      <c r="Q11" s="141"/>
      <c r="R11" s="141"/>
      <c r="S11" s="141"/>
      <c r="T11" s="141">
        <f>$B$11/5</f>
        <v>527922.66119999997</v>
      </c>
      <c r="U11" s="141">
        <f t="shared" ref="U11:X11" si="7">$B$11/5</f>
        <v>527922.66119999997</v>
      </c>
      <c r="V11" s="141">
        <f t="shared" si="7"/>
        <v>527922.66119999997</v>
      </c>
      <c r="W11" s="141">
        <f t="shared" si="7"/>
        <v>527922.66119999997</v>
      </c>
      <c r="X11" s="141">
        <f t="shared" si="7"/>
        <v>527922.66119999997</v>
      </c>
      <c r="Y11" s="141"/>
      <c r="Z11" s="141"/>
      <c r="AA11" s="147"/>
      <c r="AB11" s="147"/>
      <c r="AC11" s="147"/>
      <c r="AD11" s="147"/>
      <c r="AE11" s="147"/>
      <c r="AF11" s="147"/>
      <c r="AG11" s="147"/>
      <c r="AH11" s="147"/>
      <c r="AI11" s="147"/>
      <c r="AJ11" s="147"/>
      <c r="AK11" s="147"/>
      <c r="AL11" s="147"/>
      <c r="AM11" s="147"/>
      <c r="AN11" s="147"/>
      <c r="AO11" s="147"/>
      <c r="AP11" s="147"/>
      <c r="AQ11" s="147"/>
      <c r="AR11" s="147"/>
      <c r="AS11" s="147"/>
      <c r="AT11" s="147"/>
      <c r="AU11" s="147"/>
      <c r="AV11" s="142">
        <f t="shared" si="6"/>
        <v>2639613.3059999999</v>
      </c>
      <c r="AW11" s="142">
        <f t="shared" si="3"/>
        <v>2639613.3059999999</v>
      </c>
      <c r="AX11" s="142">
        <f t="shared" si="5"/>
        <v>0</v>
      </c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</row>
    <row r="12" spans="1:74">
      <c r="A12" s="139" t="str">
        <f>'I Financial'!$A14</f>
        <v>Land Closing Costs/commissions</v>
      </c>
      <c r="B12" s="140">
        <f>'I Financial'!$B14</f>
        <v>0</v>
      </c>
      <c r="C12" s="145"/>
      <c r="D12" s="141"/>
      <c r="E12" s="141"/>
      <c r="F12" s="141"/>
      <c r="G12" s="98"/>
      <c r="H12" s="141"/>
      <c r="I12" s="141"/>
      <c r="J12" s="141"/>
      <c r="K12" s="141"/>
      <c r="L12" s="141"/>
      <c r="M12" s="141"/>
      <c r="N12" s="141"/>
      <c r="O12" s="141"/>
      <c r="P12" s="141"/>
      <c r="Q12" s="141"/>
      <c r="R12" s="141"/>
      <c r="S12" s="141"/>
      <c r="T12" s="141"/>
      <c r="U12" s="141"/>
      <c r="V12" s="141"/>
      <c r="W12" s="141"/>
      <c r="X12" s="141"/>
      <c r="Y12" s="141"/>
      <c r="Z12" s="141"/>
      <c r="AA12" s="142"/>
      <c r="AB12" s="142"/>
      <c r="AC12" s="142"/>
      <c r="AD12" s="142"/>
      <c r="AE12" s="142"/>
      <c r="AF12" s="142"/>
      <c r="AG12" s="142"/>
      <c r="AH12" s="142"/>
      <c r="AI12" s="142"/>
      <c r="AJ12" s="142"/>
      <c r="AK12" s="142"/>
      <c r="AL12" s="142"/>
      <c r="AM12" s="142"/>
      <c r="AN12" s="142"/>
      <c r="AO12" s="142"/>
      <c r="AP12" s="142"/>
      <c r="AQ12" s="142"/>
      <c r="AR12" s="142"/>
      <c r="AS12" s="142"/>
      <c r="AT12" s="142"/>
      <c r="AU12" s="142"/>
      <c r="AV12" s="142">
        <f t="shared" si="6"/>
        <v>0</v>
      </c>
      <c r="AW12" s="142">
        <f t="shared" si="3"/>
        <v>0</v>
      </c>
      <c r="AX12" s="142">
        <f t="shared" si="5"/>
        <v>0</v>
      </c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</row>
    <row r="13" spans="1:74">
      <c r="A13" s="139" t="str">
        <f>'I Financial'!$A15</f>
        <v xml:space="preserve">Design </v>
      </c>
      <c r="B13" s="140">
        <f>'I Financial'!$B15</f>
        <v>5279226.6119999997</v>
      </c>
      <c r="C13" s="141"/>
      <c r="D13" s="141"/>
      <c r="E13" s="141"/>
      <c r="F13" s="141"/>
      <c r="G13" s="141"/>
      <c r="H13" s="141"/>
      <c r="I13" s="141"/>
      <c r="J13" s="141"/>
      <c r="K13" s="141"/>
      <c r="L13" s="141"/>
      <c r="M13" s="141"/>
      <c r="N13" s="141"/>
      <c r="O13" s="141"/>
      <c r="P13" s="141"/>
      <c r="Q13" s="141"/>
      <c r="V13" s="141"/>
      <c r="W13" s="141"/>
      <c r="X13" s="141"/>
      <c r="Y13" s="141">
        <f>$B13/8</f>
        <v>659903.32649999997</v>
      </c>
      <c r="Z13" s="141">
        <f t="shared" ref="Z13:AF13" si="8">$B13/8</f>
        <v>659903.32649999997</v>
      </c>
      <c r="AA13" s="141">
        <f t="shared" si="8"/>
        <v>659903.32649999997</v>
      </c>
      <c r="AB13" s="141">
        <f t="shared" si="8"/>
        <v>659903.32649999997</v>
      </c>
      <c r="AC13" s="141">
        <f t="shared" si="8"/>
        <v>659903.32649999997</v>
      </c>
      <c r="AD13" s="141">
        <f t="shared" si="8"/>
        <v>659903.32649999997</v>
      </c>
      <c r="AE13" s="141">
        <f t="shared" si="8"/>
        <v>659903.32649999997</v>
      </c>
      <c r="AF13" s="141">
        <f t="shared" si="8"/>
        <v>659903.32649999997</v>
      </c>
      <c r="AG13" s="141"/>
      <c r="AH13" s="142"/>
      <c r="AI13" s="142"/>
      <c r="AJ13" s="142"/>
      <c r="AK13" s="142"/>
      <c r="AL13" s="142"/>
      <c r="AM13" s="142"/>
      <c r="AN13" s="142"/>
      <c r="AO13" s="142"/>
      <c r="AP13" s="142"/>
      <c r="AQ13" s="142"/>
      <c r="AR13" s="142"/>
      <c r="AS13" s="142"/>
      <c r="AT13" s="142"/>
      <c r="AU13" s="142"/>
      <c r="AV13" s="142">
        <f t="shared" si="6"/>
        <v>5279226.6119999997</v>
      </c>
      <c r="AW13" s="142">
        <f t="shared" si="3"/>
        <v>5279226.6119999997</v>
      </c>
      <c r="AX13" s="142">
        <f t="shared" si="5"/>
        <v>0</v>
      </c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</row>
    <row r="14" spans="1:74">
      <c r="A14" s="139" t="str">
        <f>'I Financial'!$A16</f>
        <v>Developer Fee</v>
      </c>
      <c r="B14" s="140">
        <f>'I Financial'!$B16</f>
        <v>3959419.9589999998</v>
      </c>
      <c r="C14" s="141"/>
      <c r="D14" s="141"/>
      <c r="E14" s="141"/>
      <c r="F14" s="141"/>
      <c r="G14" s="141"/>
      <c r="H14" s="141"/>
      <c r="I14" s="141"/>
      <c r="J14" s="141"/>
      <c r="K14" s="141"/>
      <c r="L14" s="141"/>
      <c r="M14" s="141"/>
      <c r="N14" s="141"/>
      <c r="O14" s="141"/>
      <c r="P14" s="141"/>
      <c r="Q14" s="141"/>
      <c r="R14" s="141"/>
      <c r="S14" s="141"/>
      <c r="T14" s="141"/>
      <c r="U14" s="141"/>
      <c r="V14" s="141"/>
      <c r="W14" s="141"/>
      <c r="X14" s="141"/>
      <c r="Y14" s="141">
        <f t="shared" ref="Y14:AF16" si="9">$B14/8</f>
        <v>494927.49487499997</v>
      </c>
      <c r="Z14" s="141">
        <f t="shared" si="9"/>
        <v>494927.49487499997</v>
      </c>
      <c r="AA14" s="141">
        <f t="shared" si="9"/>
        <v>494927.49487499997</v>
      </c>
      <c r="AB14" s="141">
        <f t="shared" si="9"/>
        <v>494927.49487499997</v>
      </c>
      <c r="AC14" s="141">
        <f t="shared" si="9"/>
        <v>494927.49487499997</v>
      </c>
      <c r="AD14" s="141">
        <f t="shared" si="9"/>
        <v>494927.49487499997</v>
      </c>
      <c r="AE14" s="141">
        <f t="shared" si="9"/>
        <v>494927.49487499997</v>
      </c>
      <c r="AF14" s="141">
        <f t="shared" si="9"/>
        <v>494927.49487499997</v>
      </c>
      <c r="AG14" s="141"/>
      <c r="AH14" s="142"/>
      <c r="AI14" s="142"/>
      <c r="AJ14" s="142"/>
      <c r="AK14" s="142"/>
      <c r="AL14" s="142"/>
      <c r="AM14" s="142"/>
      <c r="AN14" s="142"/>
      <c r="AO14" s="142"/>
      <c r="AP14" s="142"/>
      <c r="AQ14" s="142"/>
      <c r="AR14" s="142"/>
      <c r="AS14" s="142"/>
      <c r="AT14" s="142"/>
      <c r="AU14" s="142"/>
      <c r="AV14" s="142">
        <f t="shared" si="6"/>
        <v>3959419.9589999993</v>
      </c>
      <c r="AW14" s="142">
        <f t="shared" si="3"/>
        <v>3959419.9589999998</v>
      </c>
      <c r="AX14" s="142">
        <f t="shared" si="5"/>
        <v>0</v>
      </c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</row>
    <row r="15" spans="1:74">
      <c r="A15" s="139" t="str">
        <f>'I Financial'!$A17</f>
        <v>Construction Management Fee</v>
      </c>
      <c r="B15" s="140">
        <f>'I Financial'!$B17</f>
        <v>6599033.2650000006</v>
      </c>
      <c r="C15" s="141"/>
      <c r="D15" s="141"/>
      <c r="E15" s="141"/>
      <c r="F15" s="141"/>
      <c r="G15" s="141"/>
      <c r="H15" s="141"/>
      <c r="I15" s="141"/>
      <c r="J15" s="141"/>
      <c r="K15" s="141"/>
      <c r="L15" s="141"/>
      <c r="M15" s="141"/>
      <c r="N15" s="141"/>
      <c r="O15" s="141"/>
      <c r="P15" s="141"/>
      <c r="Q15" s="141"/>
      <c r="R15" s="141"/>
      <c r="S15" s="141"/>
      <c r="T15" s="141"/>
      <c r="U15" s="141"/>
      <c r="V15" s="141"/>
      <c r="W15" s="141"/>
      <c r="X15" s="141"/>
      <c r="Y15" s="141">
        <f t="shared" si="9"/>
        <v>824879.15812500007</v>
      </c>
      <c r="Z15" s="141">
        <f t="shared" si="9"/>
        <v>824879.15812500007</v>
      </c>
      <c r="AA15" s="141">
        <f t="shared" si="9"/>
        <v>824879.15812500007</v>
      </c>
      <c r="AB15" s="141">
        <f t="shared" si="9"/>
        <v>824879.15812500007</v>
      </c>
      <c r="AC15" s="141">
        <f t="shared" si="9"/>
        <v>824879.15812500007</v>
      </c>
      <c r="AD15" s="141">
        <f t="shared" si="9"/>
        <v>824879.15812500007</v>
      </c>
      <c r="AE15" s="141">
        <f t="shared" si="9"/>
        <v>824879.15812500007</v>
      </c>
      <c r="AF15" s="141">
        <f t="shared" si="9"/>
        <v>824879.15812500007</v>
      </c>
      <c r="AG15" s="141"/>
      <c r="AH15" s="142"/>
      <c r="AI15" s="142"/>
      <c r="AJ15" s="142"/>
      <c r="AK15" s="142"/>
      <c r="AL15" s="142"/>
      <c r="AM15" s="142"/>
      <c r="AN15" s="142"/>
      <c r="AO15" s="142"/>
      <c r="AP15" s="142"/>
      <c r="AQ15" s="142"/>
      <c r="AR15" s="142"/>
      <c r="AS15" s="142"/>
      <c r="AT15" s="142"/>
      <c r="AU15" s="142"/>
      <c r="AV15" s="142">
        <f t="shared" si="6"/>
        <v>6599033.2650000006</v>
      </c>
      <c r="AW15" s="142">
        <f t="shared" si="3"/>
        <v>6599033.2650000006</v>
      </c>
      <c r="AX15" s="142">
        <f t="shared" si="5"/>
        <v>0</v>
      </c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</row>
    <row r="16" spans="1:74">
      <c r="A16" s="139" t="str">
        <f>'I Financial'!$A18</f>
        <v>Taxes</v>
      </c>
      <c r="B16" s="140">
        <f>'I Financial'!$B18</f>
        <v>904094.98352145636</v>
      </c>
      <c r="C16" s="145"/>
      <c r="D16" s="141"/>
      <c r="E16" s="141"/>
      <c r="F16" s="141"/>
      <c r="G16" s="144"/>
      <c r="H16" s="141"/>
      <c r="I16" s="141"/>
      <c r="J16" s="141"/>
      <c r="K16" s="141"/>
      <c r="L16" s="141"/>
      <c r="M16" s="141"/>
      <c r="N16" s="141"/>
      <c r="O16" s="141"/>
      <c r="P16" s="141"/>
      <c r="Q16" s="141"/>
      <c r="R16" s="141"/>
      <c r="S16" s="141"/>
      <c r="T16" s="141"/>
      <c r="U16" s="141"/>
      <c r="V16" s="141"/>
      <c r="W16" s="141"/>
      <c r="X16" s="141"/>
      <c r="Y16" s="141">
        <f t="shared" si="9"/>
        <v>113011.87294018205</v>
      </c>
      <c r="Z16" s="141">
        <f t="shared" si="9"/>
        <v>113011.87294018205</v>
      </c>
      <c r="AA16" s="141">
        <f t="shared" si="9"/>
        <v>113011.87294018205</v>
      </c>
      <c r="AB16" s="141">
        <f t="shared" si="9"/>
        <v>113011.87294018205</v>
      </c>
      <c r="AC16" s="141">
        <f t="shared" si="9"/>
        <v>113011.87294018205</v>
      </c>
      <c r="AD16" s="141">
        <f t="shared" si="9"/>
        <v>113011.87294018205</v>
      </c>
      <c r="AE16" s="141">
        <f t="shared" si="9"/>
        <v>113011.87294018205</v>
      </c>
      <c r="AF16" s="141">
        <f t="shared" si="9"/>
        <v>113011.87294018205</v>
      </c>
      <c r="AG16" s="141"/>
      <c r="AH16" s="142"/>
      <c r="AI16" s="142"/>
      <c r="AJ16" s="142"/>
      <c r="AK16" s="142"/>
      <c r="AL16" s="142"/>
      <c r="AM16" s="142"/>
      <c r="AN16" s="142"/>
      <c r="AO16" s="142"/>
      <c r="AP16" s="142"/>
      <c r="AQ16" s="142"/>
      <c r="AR16" s="142"/>
      <c r="AT16" s="142"/>
      <c r="AU16" s="142"/>
      <c r="AV16" s="142">
        <f t="shared" si="6"/>
        <v>904094.98352145613</v>
      </c>
      <c r="AW16" s="142">
        <f t="shared" si="3"/>
        <v>904094.98352145636</v>
      </c>
      <c r="AX16" s="142">
        <f t="shared" si="5"/>
        <v>0</v>
      </c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</row>
    <row r="17" spans="1:74">
      <c r="A17" s="139" t="str">
        <f>'I Financial'!$A19</f>
        <v>Insurance</v>
      </c>
      <c r="B17" s="140">
        <f>'I Financial'!$B19</f>
        <v>1979709.9794999999</v>
      </c>
      <c r="C17" s="145"/>
      <c r="D17" s="144"/>
      <c r="E17" s="144"/>
      <c r="F17" s="141"/>
      <c r="G17" s="141"/>
      <c r="H17" s="141"/>
      <c r="I17" s="141"/>
      <c r="J17" s="141"/>
      <c r="K17" s="141"/>
      <c r="L17" s="145"/>
      <c r="M17" s="141"/>
      <c r="N17" s="141"/>
      <c r="O17" s="141"/>
      <c r="P17" s="141"/>
      <c r="Q17" s="141"/>
      <c r="R17" s="141"/>
      <c r="S17" s="141"/>
      <c r="T17" s="141"/>
      <c r="U17" s="141"/>
      <c r="V17" s="141"/>
      <c r="W17" s="141"/>
      <c r="X17" s="141">
        <f>B17</f>
        <v>1979709.9794999999</v>
      </c>
      <c r="Y17" s="141"/>
      <c r="Z17" s="141"/>
      <c r="AA17" s="141"/>
      <c r="AB17" s="141"/>
      <c r="AC17" s="141"/>
      <c r="AD17" s="141"/>
      <c r="AE17" s="141"/>
      <c r="AF17" s="141"/>
      <c r="AG17" s="142"/>
      <c r="AH17" s="142"/>
      <c r="AI17" s="142"/>
      <c r="AJ17" s="142"/>
      <c r="AK17" s="142"/>
      <c r="AL17" s="142"/>
      <c r="AM17" s="142"/>
      <c r="AN17" s="142"/>
      <c r="AO17" s="142"/>
      <c r="AP17" s="142"/>
      <c r="AQ17" s="142"/>
      <c r="AR17" s="142"/>
      <c r="AS17" s="142"/>
      <c r="AT17" s="142"/>
      <c r="AU17" s="142"/>
      <c r="AV17" s="142">
        <f t="shared" si="6"/>
        <v>1979709.9794999999</v>
      </c>
      <c r="AW17" s="142">
        <f t="shared" si="3"/>
        <v>1979709.9794999999</v>
      </c>
      <c r="AX17" s="142">
        <f t="shared" si="5"/>
        <v>0</v>
      </c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</row>
    <row r="18" spans="1:74">
      <c r="A18" s="139" t="str">
        <f>'I Financial'!$A20</f>
        <v>Marketing, FFE and Preleasing</v>
      </c>
      <c r="B18" s="140">
        <f>'I Financial'!$B20</f>
        <v>1600000</v>
      </c>
      <c r="C18" s="145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N18" s="141"/>
      <c r="O18" s="141"/>
      <c r="P18" s="141"/>
      <c r="Q18" s="141"/>
      <c r="R18" s="141"/>
      <c r="S18" s="141"/>
      <c r="T18" s="141"/>
      <c r="U18" s="141"/>
      <c r="V18" s="141"/>
      <c r="W18" s="141"/>
      <c r="X18" s="141"/>
      <c r="Y18" s="141"/>
      <c r="Z18" s="141"/>
      <c r="AA18" s="142"/>
      <c r="AB18" s="142"/>
      <c r="AC18" s="142"/>
      <c r="AD18" s="142"/>
      <c r="AE18" s="142"/>
      <c r="AF18" s="142"/>
      <c r="AG18" s="142">
        <f>$B18/2</f>
        <v>800000</v>
      </c>
      <c r="AH18" s="142">
        <f>$B18/2</f>
        <v>800000</v>
      </c>
      <c r="AI18" s="487"/>
      <c r="AJ18" s="142"/>
      <c r="AK18" s="142"/>
      <c r="AL18" s="142"/>
      <c r="AM18" s="142"/>
      <c r="AN18" s="142"/>
      <c r="AO18" s="142"/>
      <c r="AP18" s="142"/>
      <c r="AQ18" s="142"/>
      <c r="AR18" s="142"/>
      <c r="AS18" s="104"/>
      <c r="AT18" s="104"/>
      <c r="AU18" s="104"/>
      <c r="AV18" s="142">
        <f t="shared" si="6"/>
        <v>1600000</v>
      </c>
      <c r="AW18" s="142">
        <f t="shared" si="3"/>
        <v>1600000</v>
      </c>
      <c r="AX18" s="142">
        <f t="shared" si="5"/>
        <v>0</v>
      </c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</row>
    <row r="19" spans="1:74">
      <c r="A19" s="139" t="str">
        <f>'I Financial'!$A21</f>
        <v>Operating Deficit</v>
      </c>
      <c r="B19" s="140">
        <f>'I Financial'!$B21</f>
        <v>918927.00325999991</v>
      </c>
      <c r="C19" s="145"/>
      <c r="D19" s="141"/>
      <c r="E19" s="141"/>
      <c r="F19" s="141"/>
      <c r="G19" s="141"/>
      <c r="H19" s="141"/>
      <c r="I19" s="141"/>
      <c r="J19" s="141"/>
      <c r="K19" s="141"/>
      <c r="L19" s="141"/>
      <c r="M19" s="141"/>
      <c r="N19" s="141"/>
      <c r="O19" s="141"/>
      <c r="P19" s="141"/>
      <c r="Q19" s="141"/>
      <c r="R19" s="141"/>
      <c r="S19" s="141"/>
      <c r="T19" s="141"/>
      <c r="U19" s="141"/>
      <c r="V19" s="141"/>
      <c r="W19" s="141"/>
      <c r="X19" s="141"/>
      <c r="Y19" s="141"/>
      <c r="Z19" s="141"/>
      <c r="AA19" s="104"/>
      <c r="AB19" s="104"/>
      <c r="AC19" s="104"/>
      <c r="AD19" s="104"/>
      <c r="AE19" s="104"/>
      <c r="AF19" s="104"/>
      <c r="AG19" s="104">
        <f>$B$19/2</f>
        <v>459463.50162999996</v>
      </c>
      <c r="AH19" s="104">
        <f>$B$19/2</f>
        <v>459463.50162999996</v>
      </c>
      <c r="AI19" s="487"/>
      <c r="AJ19" s="104"/>
      <c r="AK19" s="104"/>
      <c r="AL19" s="104"/>
      <c r="AM19" s="104"/>
      <c r="AN19" s="104"/>
      <c r="AO19" s="104"/>
      <c r="AP19" s="104"/>
      <c r="AQ19" s="142"/>
      <c r="AR19" s="142"/>
      <c r="AS19" s="142"/>
      <c r="AT19" s="142"/>
      <c r="AU19" s="152"/>
      <c r="AV19" s="142">
        <f t="shared" si="6"/>
        <v>918927.00325999991</v>
      </c>
      <c r="AW19" s="142">
        <f t="shared" si="3"/>
        <v>918927.00325999991</v>
      </c>
      <c r="AX19" s="142">
        <f t="shared" si="5"/>
        <v>0</v>
      </c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</row>
    <row r="20" spans="1:74">
      <c r="A20" s="139" t="str">
        <f>'I Financial'!$A22</f>
        <v>Commercial Tenant Improvements</v>
      </c>
      <c r="B20" s="140">
        <f>'I Financial'!$B22</f>
        <v>0</v>
      </c>
      <c r="C20" s="145"/>
      <c r="D20" s="141"/>
      <c r="E20" s="141"/>
      <c r="F20" s="141"/>
      <c r="G20" s="141"/>
      <c r="H20" s="141"/>
      <c r="I20" s="141"/>
      <c r="J20" s="141"/>
      <c r="K20" s="141"/>
      <c r="L20" s="141"/>
      <c r="M20" s="141"/>
      <c r="N20" s="141"/>
      <c r="O20" s="141"/>
      <c r="P20" s="141"/>
      <c r="Q20" s="141"/>
      <c r="R20" s="141"/>
      <c r="S20" s="141"/>
      <c r="T20" s="141"/>
      <c r="U20" s="141"/>
      <c r="V20" s="141"/>
      <c r="W20" s="141"/>
      <c r="X20" s="141"/>
      <c r="Y20" s="141"/>
      <c r="Z20" s="141"/>
      <c r="AA20" s="142"/>
      <c r="AB20" s="142"/>
      <c r="AC20" s="142"/>
      <c r="AD20" s="142"/>
      <c r="AE20" s="142"/>
      <c r="AF20" s="142"/>
      <c r="AG20" s="142"/>
      <c r="AH20" s="142"/>
      <c r="AI20" s="142"/>
      <c r="AJ20" s="142"/>
      <c r="AK20" s="142"/>
      <c r="AL20" s="142"/>
      <c r="AM20" s="142"/>
      <c r="AN20" s="142"/>
      <c r="AO20" s="142"/>
      <c r="AP20" s="142"/>
      <c r="AQ20" s="142"/>
      <c r="AR20" s="142"/>
      <c r="AS20" s="142"/>
      <c r="AT20" s="142"/>
      <c r="AU20" s="142"/>
      <c r="AV20" s="142">
        <f t="shared" si="6"/>
        <v>0</v>
      </c>
      <c r="AW20" s="142">
        <f t="shared" si="3"/>
        <v>0</v>
      </c>
      <c r="AX20" s="142">
        <f t="shared" si="5"/>
        <v>0</v>
      </c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</row>
    <row r="21" spans="1:74">
      <c r="A21" s="139" t="str">
        <f>'I Financial'!$A23</f>
        <v>Commercial brokerage</v>
      </c>
      <c r="B21" s="140">
        <f>'I Financial'!$B23</f>
        <v>0</v>
      </c>
      <c r="C21" s="145"/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1"/>
      <c r="X21" s="141"/>
      <c r="Y21" s="141"/>
      <c r="Z21" s="141"/>
      <c r="AA21" s="142"/>
      <c r="AB21" s="142"/>
      <c r="AC21" s="142"/>
      <c r="AD21" s="142"/>
      <c r="AE21" s="142"/>
      <c r="AF21" s="142"/>
      <c r="AG21" s="142"/>
      <c r="AH21" s="142"/>
      <c r="AI21" s="142"/>
      <c r="AJ21" s="142"/>
      <c r="AK21" s="142"/>
      <c r="AL21" s="142"/>
      <c r="AM21" s="142"/>
      <c r="AN21" s="142"/>
      <c r="AO21" s="142"/>
      <c r="AP21" s="142"/>
      <c r="AQ21" s="142"/>
      <c r="AR21" s="142"/>
      <c r="AS21" s="142"/>
      <c r="AT21" s="142"/>
      <c r="AU21" s="142"/>
      <c r="AV21" s="142">
        <f t="shared" si="6"/>
        <v>0</v>
      </c>
      <c r="AW21" s="142">
        <f t="shared" si="3"/>
        <v>0</v>
      </c>
      <c r="AX21" s="142">
        <f t="shared" si="5"/>
        <v>0</v>
      </c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</row>
    <row r="22" spans="1:74">
      <c r="A22" s="139" t="str">
        <f>'I Financial'!$A24</f>
        <v>Construction Loan Origination</v>
      </c>
      <c r="B22" s="140">
        <f>'I Financial'!$B24</f>
        <v>1576218.1322252192</v>
      </c>
      <c r="C22" s="141"/>
      <c r="D22" s="141"/>
      <c r="E22" s="141"/>
      <c r="F22" s="141"/>
      <c r="G22" s="141"/>
      <c r="H22" s="141"/>
      <c r="I22" s="141"/>
      <c r="J22" s="141"/>
      <c r="K22" s="141"/>
      <c r="L22" s="141"/>
      <c r="M22" s="141"/>
      <c r="N22" s="141"/>
      <c r="O22" s="141"/>
      <c r="P22" s="141"/>
      <c r="R22" s="141"/>
      <c r="S22" s="141"/>
      <c r="T22" s="678"/>
      <c r="U22" s="487"/>
      <c r="V22" s="676"/>
      <c r="W22" s="141"/>
      <c r="X22" s="141">
        <f>B22</f>
        <v>1576218.1322252192</v>
      </c>
      <c r="Y22" s="141"/>
      <c r="Z22" s="141"/>
      <c r="AA22" s="142"/>
      <c r="AB22" s="142"/>
      <c r="AC22" s="142"/>
      <c r="AD22" s="142"/>
      <c r="AE22" s="142"/>
      <c r="AF22" s="142"/>
      <c r="AG22" s="142"/>
      <c r="AH22" s="142"/>
      <c r="AI22" s="142"/>
      <c r="AJ22" s="142"/>
      <c r="AK22" s="142"/>
      <c r="AL22" s="142"/>
      <c r="AM22" s="142"/>
      <c r="AN22" s="142"/>
      <c r="AO22" s="142"/>
      <c r="AP22" s="142"/>
      <c r="AS22" s="142"/>
      <c r="AT22" s="142"/>
      <c r="AU22" s="142"/>
      <c r="AV22" s="142">
        <f t="shared" si="6"/>
        <v>1576218.1322252192</v>
      </c>
      <c r="AW22" s="142">
        <f t="shared" si="3"/>
        <v>1576218.1322252192</v>
      </c>
      <c r="AX22" s="142">
        <f t="shared" si="5"/>
        <v>0</v>
      </c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</row>
    <row r="23" spans="1:74">
      <c r="A23" s="139" t="str">
        <f>'I Financial'!$A25</f>
        <v>Construction Interest</v>
      </c>
      <c r="B23" s="140">
        <f>'I Financial'!$B25</f>
        <v>7355684.617051024</v>
      </c>
      <c r="C23" s="153"/>
      <c r="D23" s="141"/>
      <c r="E23" s="141"/>
      <c r="F23" s="141"/>
      <c r="G23" s="141"/>
      <c r="H23" s="141"/>
      <c r="I23" s="141"/>
      <c r="J23" s="141"/>
      <c r="K23" s="141"/>
      <c r="L23" s="141"/>
      <c r="M23" s="141"/>
      <c r="N23" s="141"/>
      <c r="O23" s="141"/>
      <c r="P23" s="141"/>
      <c r="Q23" s="141"/>
      <c r="R23" s="141"/>
      <c r="S23" s="141"/>
      <c r="U23" s="487"/>
      <c r="W23" s="141"/>
      <c r="X23" s="141"/>
      <c r="Y23" s="141"/>
      <c r="AA23" s="141">
        <f>$B$23/7</f>
        <v>1050812.0881501462</v>
      </c>
      <c r="AB23" s="141">
        <f>$B$23/7</f>
        <v>1050812.0881501462</v>
      </c>
      <c r="AC23" s="141">
        <f>$B$23/7</f>
        <v>1050812.0881501462</v>
      </c>
      <c r="AD23" s="141">
        <f t="shared" ref="AD23:AG23" si="10">$B$23/7</f>
        <v>1050812.0881501462</v>
      </c>
      <c r="AE23" s="141">
        <f t="shared" si="10"/>
        <v>1050812.0881501462</v>
      </c>
      <c r="AF23" s="141">
        <f t="shared" si="10"/>
        <v>1050812.0881501462</v>
      </c>
      <c r="AG23" s="141">
        <f t="shared" si="10"/>
        <v>1050812.0881501462</v>
      </c>
      <c r="AH23" s="141"/>
      <c r="AI23" s="141"/>
      <c r="AJ23" s="142"/>
      <c r="AK23" s="142"/>
      <c r="AL23" s="142"/>
      <c r="AM23" s="142"/>
      <c r="AN23" s="142"/>
      <c r="AO23" s="142"/>
      <c r="AP23" s="142"/>
      <c r="AQ23" s="142"/>
      <c r="AR23" s="142"/>
      <c r="AS23" s="142"/>
      <c r="AT23" s="142"/>
      <c r="AU23" s="142"/>
      <c r="AV23" s="142">
        <f t="shared" si="6"/>
        <v>7355684.617051024</v>
      </c>
      <c r="AW23" s="142">
        <f t="shared" si="3"/>
        <v>7355684.617051024</v>
      </c>
      <c r="AX23" s="142">
        <f t="shared" si="5"/>
        <v>0</v>
      </c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</row>
    <row r="24" spans="1:74" ht="15" thickBot="1">
      <c r="A24" s="609" t="str">
        <f>'I Financial'!$A26</f>
        <v>Additional Contingency</v>
      </c>
      <c r="B24" s="154">
        <f>'I Financial'!$B26</f>
        <v>2758767.2785790395</v>
      </c>
      <c r="C24" s="155"/>
      <c r="D24" s="155"/>
      <c r="E24" s="155"/>
      <c r="F24" s="155"/>
      <c r="G24" s="155"/>
      <c r="H24" s="155"/>
      <c r="I24" s="155"/>
      <c r="J24" s="155"/>
      <c r="K24" s="155"/>
      <c r="L24" s="155"/>
      <c r="M24" s="155"/>
      <c r="N24" s="155"/>
      <c r="O24" s="155"/>
      <c r="P24" s="155"/>
      <c r="Q24" s="155"/>
      <c r="R24" s="155"/>
      <c r="S24" s="155"/>
      <c r="T24" s="155">
        <f t="shared" ref="T24:AH24" si="11">$B$24*T4</f>
        <v>0</v>
      </c>
      <c r="U24" s="155">
        <f t="shared" si="11"/>
        <v>0</v>
      </c>
      <c r="V24" s="155">
        <f t="shared" si="11"/>
        <v>0</v>
      </c>
      <c r="W24" s="155">
        <f t="shared" si="11"/>
        <v>0</v>
      </c>
      <c r="X24" s="155">
        <f t="shared" si="11"/>
        <v>0</v>
      </c>
      <c r="Y24" s="155">
        <f t="shared" si="11"/>
        <v>137938.36392895199</v>
      </c>
      <c r="Z24" s="155">
        <f t="shared" si="11"/>
        <v>275876.72785790398</v>
      </c>
      <c r="AA24" s="155">
        <f t="shared" si="11"/>
        <v>413815.09178685589</v>
      </c>
      <c r="AB24" s="155">
        <f t="shared" si="11"/>
        <v>689691.81964475987</v>
      </c>
      <c r="AC24" s="155">
        <f t="shared" si="11"/>
        <v>413815.09178685589</v>
      </c>
      <c r="AD24" s="155">
        <f t="shared" si="11"/>
        <v>358639.74621527514</v>
      </c>
      <c r="AE24" s="155">
        <f t="shared" si="11"/>
        <v>331052.07342948474</v>
      </c>
      <c r="AF24" s="155">
        <f t="shared" si="11"/>
        <v>137938.36392895199</v>
      </c>
      <c r="AG24" s="155">
        <f t="shared" si="11"/>
        <v>0</v>
      </c>
      <c r="AH24" s="155">
        <f t="shared" si="11"/>
        <v>0</v>
      </c>
      <c r="AI24" s="155"/>
      <c r="AJ24" s="610"/>
      <c r="AK24" s="610"/>
      <c r="AL24" s="610"/>
      <c r="AM24" s="610"/>
      <c r="AN24" s="610"/>
      <c r="AO24" s="610"/>
      <c r="AP24" s="610"/>
      <c r="AQ24" s="610"/>
      <c r="AR24" s="610"/>
      <c r="AS24" s="610"/>
      <c r="AT24" s="610"/>
      <c r="AU24" s="610"/>
      <c r="AV24" s="156">
        <f t="shared" si="6"/>
        <v>2758767.2785790395</v>
      </c>
      <c r="AW24" s="156">
        <f t="shared" si="3"/>
        <v>2758767.2785790395</v>
      </c>
      <c r="AX24" s="156">
        <f t="shared" si="5"/>
        <v>0</v>
      </c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</row>
    <row r="25" spans="1:74" ht="15.5" thickTop="1" thickBot="1">
      <c r="A25" s="607" t="str">
        <f>'I Financial'!$A27</f>
        <v>Total Project Cost</v>
      </c>
      <c r="B25" s="608">
        <f>'I Financial'!$B27</f>
        <v>170489245.4701767</v>
      </c>
      <c r="C25" s="62">
        <f>SUM(C5:C24)</f>
        <v>0</v>
      </c>
      <c r="D25" s="62">
        <f t="shared" ref="D25:AU25" si="12">SUM(D5:D24)</f>
        <v>0</v>
      </c>
      <c r="E25" s="62">
        <f t="shared" si="12"/>
        <v>0</v>
      </c>
      <c r="F25" s="62">
        <f t="shared" si="12"/>
        <v>0</v>
      </c>
      <c r="G25" s="62">
        <f t="shared" si="12"/>
        <v>0</v>
      </c>
      <c r="H25" s="62">
        <f t="shared" si="12"/>
        <v>0</v>
      </c>
      <c r="I25" s="62">
        <f t="shared" si="12"/>
        <v>0</v>
      </c>
      <c r="J25" s="62">
        <f t="shared" si="12"/>
        <v>0</v>
      </c>
      <c r="K25" s="62">
        <f t="shared" si="12"/>
        <v>0</v>
      </c>
      <c r="L25" s="62">
        <f t="shared" si="12"/>
        <v>0</v>
      </c>
      <c r="M25" s="62">
        <f t="shared" si="12"/>
        <v>0</v>
      </c>
      <c r="N25" s="62">
        <f t="shared" si="12"/>
        <v>0</v>
      </c>
      <c r="O25" s="62">
        <f t="shared" si="12"/>
        <v>0</v>
      </c>
      <c r="P25" s="62">
        <f t="shared" si="12"/>
        <v>0</v>
      </c>
      <c r="Q25" s="62"/>
      <c r="R25" s="62"/>
      <c r="S25" s="62"/>
      <c r="T25" s="62">
        <f t="shared" si="12"/>
        <v>527922.66119999997</v>
      </c>
      <c r="U25" s="62">
        <f t="shared" si="12"/>
        <v>7126955.9262000006</v>
      </c>
      <c r="V25" s="62">
        <f t="shared" si="12"/>
        <v>527922.66119999997</v>
      </c>
      <c r="W25" s="62">
        <f t="shared" si="12"/>
        <v>1077922.6612</v>
      </c>
      <c r="X25" s="62">
        <f t="shared" si="12"/>
        <v>4083850.772925219</v>
      </c>
      <c r="Y25" s="62">
        <f t="shared" si="12"/>
        <v>8829693.481369134</v>
      </c>
      <c r="Z25" s="62">
        <f t="shared" si="12"/>
        <v>15566665.11029809</v>
      </c>
      <c r="AA25" s="62">
        <f t="shared" si="12"/>
        <v>23354448.827377185</v>
      </c>
      <c r="AB25" s="62">
        <f t="shared" si="12"/>
        <v>36828392.085235082</v>
      </c>
      <c r="AC25" s="62">
        <f t="shared" si="12"/>
        <v>23354448.827377185</v>
      </c>
      <c r="AD25" s="62">
        <f t="shared" si="12"/>
        <v>20659660.175805602</v>
      </c>
      <c r="AE25" s="62">
        <f t="shared" si="12"/>
        <v>18586075.373829339</v>
      </c>
      <c r="AF25" s="62">
        <f t="shared" si="12"/>
        <v>9154315.0933288038</v>
      </c>
      <c r="AG25" s="62">
        <f t="shared" si="12"/>
        <v>2310275.5897801463</v>
      </c>
      <c r="AH25" s="62">
        <f t="shared" si="12"/>
        <v>1259463.5016299998</v>
      </c>
      <c r="AI25" s="62">
        <f t="shared" si="12"/>
        <v>0</v>
      </c>
      <c r="AJ25" s="62">
        <f t="shared" si="12"/>
        <v>0</v>
      </c>
      <c r="AK25" s="62">
        <f t="shared" si="12"/>
        <v>0</v>
      </c>
      <c r="AL25" s="62">
        <f t="shared" si="12"/>
        <v>0</v>
      </c>
      <c r="AM25" s="62">
        <f t="shared" si="12"/>
        <v>0</v>
      </c>
      <c r="AN25" s="62">
        <f t="shared" si="12"/>
        <v>0</v>
      </c>
      <c r="AO25" s="62">
        <f t="shared" si="12"/>
        <v>0</v>
      </c>
      <c r="AP25" s="62">
        <f t="shared" si="12"/>
        <v>0</v>
      </c>
      <c r="AQ25" s="62">
        <f t="shared" si="12"/>
        <v>0</v>
      </c>
      <c r="AR25" s="62">
        <f t="shared" si="12"/>
        <v>0</v>
      </c>
      <c r="AS25" s="62">
        <f t="shared" si="12"/>
        <v>0</v>
      </c>
      <c r="AT25" s="62">
        <f t="shared" si="12"/>
        <v>0</v>
      </c>
      <c r="AU25" s="62">
        <f t="shared" si="12"/>
        <v>0</v>
      </c>
      <c r="AV25" s="62">
        <f t="shared" ref="Z25:AX25" si="13">SUM(AV4:AV24)</f>
        <v>173248013.74875572</v>
      </c>
      <c r="AW25" s="62">
        <f t="shared" si="13"/>
        <v>173248012.74875572</v>
      </c>
      <c r="AX25" s="62">
        <f t="shared" si="13"/>
        <v>0</v>
      </c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</row>
    <row r="26" spans="1:74">
      <c r="A26" s="657" t="s">
        <v>131</v>
      </c>
      <c r="B26" s="655">
        <f>'I Financial'!D11</f>
        <v>-118973862</v>
      </c>
      <c r="C26" s="62"/>
      <c r="D26" s="62"/>
      <c r="E26" s="62"/>
      <c r="F26" s="62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1"/>
      <c r="AW26" s="60"/>
      <c r="AX26" s="60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</row>
    <row r="27" spans="1:74" ht="15" thickBot="1">
      <c r="A27" s="658" t="s">
        <v>132</v>
      </c>
      <c r="B27" s="656">
        <f>B25+B26</f>
        <v>51515383.470176697</v>
      </c>
      <c r="C27" s="150"/>
      <c r="D27" s="150"/>
      <c r="E27" s="150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0"/>
      <c r="R27" s="150"/>
      <c r="S27" s="150"/>
      <c r="T27" s="150"/>
      <c r="U27" s="150"/>
      <c r="V27" s="150"/>
      <c r="W27" s="150"/>
      <c r="X27" s="150"/>
      <c r="Y27" s="150"/>
      <c r="Z27" s="150"/>
      <c r="AA27" s="150"/>
      <c r="AB27" s="150"/>
      <c r="AC27" s="150"/>
      <c r="AD27" s="150"/>
      <c r="AE27" s="150"/>
      <c r="AF27" s="150"/>
      <c r="AG27" s="150"/>
      <c r="AH27" s="150"/>
      <c r="AI27" s="150"/>
      <c r="AJ27" s="150"/>
      <c r="AK27" s="150"/>
      <c r="AL27" s="150"/>
      <c r="AM27" s="150"/>
      <c r="AN27" s="150"/>
      <c r="AO27" s="150"/>
      <c r="AP27" s="150"/>
      <c r="AQ27" s="150"/>
      <c r="AR27" s="150"/>
      <c r="AS27" s="150"/>
      <c r="AT27" s="150"/>
      <c r="AU27" s="104"/>
      <c r="AV27" s="157"/>
      <c r="AW27" s="157"/>
      <c r="AX27" s="15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</row>
    <row r="28" spans="1:74">
      <c r="A28" s="158" t="s">
        <v>133</v>
      </c>
      <c r="B28" s="159">
        <f>SUM(C28:AU28)</f>
        <v>85244622.735088348</v>
      </c>
      <c r="C28" s="142">
        <f>C25</f>
        <v>0</v>
      </c>
      <c r="D28" s="142">
        <f t="shared" ref="D28:AH28" si="14">IF(((C29+D25)&lt;=$B$29),D25,($B$29-C29))</f>
        <v>0</v>
      </c>
      <c r="E28" s="142">
        <f t="shared" si="14"/>
        <v>0</v>
      </c>
      <c r="F28" s="142">
        <f t="shared" si="14"/>
        <v>0</v>
      </c>
      <c r="G28" s="142">
        <f t="shared" si="14"/>
        <v>0</v>
      </c>
      <c r="H28" s="142">
        <f t="shared" si="14"/>
        <v>0</v>
      </c>
      <c r="I28" s="142">
        <f t="shared" si="14"/>
        <v>0</v>
      </c>
      <c r="J28" s="142">
        <f t="shared" si="14"/>
        <v>0</v>
      </c>
      <c r="K28" s="142">
        <f t="shared" si="14"/>
        <v>0</v>
      </c>
      <c r="L28" s="142">
        <f t="shared" si="14"/>
        <v>0</v>
      </c>
      <c r="M28" s="142">
        <f t="shared" si="14"/>
        <v>0</v>
      </c>
      <c r="N28" s="142">
        <f t="shared" si="14"/>
        <v>0</v>
      </c>
      <c r="O28" s="142">
        <f t="shared" si="14"/>
        <v>0</v>
      </c>
      <c r="P28" s="142">
        <f t="shared" si="14"/>
        <v>0</v>
      </c>
      <c r="Q28" s="142"/>
      <c r="R28" s="142"/>
      <c r="S28" s="142"/>
      <c r="T28" s="142">
        <f t="shared" si="14"/>
        <v>527922.66119999997</v>
      </c>
      <c r="U28" s="142">
        <f t="shared" si="14"/>
        <v>7126955.9262000006</v>
      </c>
      <c r="V28" s="142">
        <f t="shared" si="14"/>
        <v>527922.66119999997</v>
      </c>
      <c r="W28" s="142">
        <f t="shared" si="14"/>
        <v>1077922.6612</v>
      </c>
      <c r="X28" s="142">
        <f t="shared" si="14"/>
        <v>4083850.772925219</v>
      </c>
      <c r="Y28" s="142">
        <f t="shared" si="14"/>
        <v>8829693.481369134</v>
      </c>
      <c r="Z28" s="142">
        <f t="shared" si="14"/>
        <v>15566665.11029809</v>
      </c>
      <c r="AA28" s="142">
        <f t="shared" si="14"/>
        <v>23354448.827377185</v>
      </c>
      <c r="AB28" s="142">
        <f t="shared" si="14"/>
        <v>24149240.633318722</v>
      </c>
      <c r="AC28" s="142">
        <f t="shared" si="14"/>
        <v>0</v>
      </c>
      <c r="AD28" s="142">
        <f t="shared" si="14"/>
        <v>0</v>
      </c>
      <c r="AE28" s="142">
        <f t="shared" si="14"/>
        <v>0</v>
      </c>
      <c r="AF28" s="142">
        <f t="shared" si="14"/>
        <v>0</v>
      </c>
      <c r="AG28" s="142">
        <f t="shared" si="14"/>
        <v>0</v>
      </c>
      <c r="AH28" s="142">
        <f t="shared" si="14"/>
        <v>0</v>
      </c>
      <c r="AI28" s="142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60"/>
      <c r="AW28" s="160"/>
      <c r="AX28" s="160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</row>
    <row r="29" spans="1:74" ht="15" thickBot="1">
      <c r="A29" s="139" t="s">
        <v>134</v>
      </c>
      <c r="B29" s="63">
        <f>'I Financial'!D15</f>
        <v>85244622.735088348</v>
      </c>
      <c r="C29" s="142">
        <f>C28</f>
        <v>0</v>
      </c>
      <c r="D29" s="142">
        <f>IF(SUM($C$28:D$28)&lt;=$B29,SUM($C$28:D$28),0)</f>
        <v>0</v>
      </c>
      <c r="E29" s="142">
        <f>IF(SUM($C$28:E28)&lt;=$B29,SUM($C$28:E28),0)</f>
        <v>0</v>
      </c>
      <c r="F29" s="142">
        <f>IF(SUM($C$28:F28)&lt;=$B29,SUM($C$28:F28),0)</f>
        <v>0</v>
      </c>
      <c r="G29" s="142">
        <f>IF(SUM($C$28:G28)&lt;=$B29,SUM($C$28:G28),0)</f>
        <v>0</v>
      </c>
      <c r="H29" s="142">
        <f>IF(SUM($C$28:H28)&lt;=$B29,SUM($C$28:H28),0)</f>
        <v>0</v>
      </c>
      <c r="I29" s="142">
        <f>IF(SUM($C$28:I28)&lt;=$B29,SUM($C$28:I28),0)</f>
        <v>0</v>
      </c>
      <c r="J29" s="142">
        <f>IF(SUM($C$28:J28)&lt;=$B29,SUM($C$28:J28),0)</f>
        <v>0</v>
      </c>
      <c r="K29" s="142">
        <f>IF(SUM($C$28:K28)&lt;=$B29,SUM($C$28:K28),0)</f>
        <v>0</v>
      </c>
      <c r="L29" s="142">
        <f>IF(SUM($C$28:L28)&lt;=$B29,SUM($C$28:L28),0)</f>
        <v>0</v>
      </c>
      <c r="M29" s="142">
        <f>IF(SUM($C$28:M28)&lt;=$B29,SUM($C$28:M28),0)</f>
        <v>0</v>
      </c>
      <c r="N29" s="142">
        <f>IF(SUM($C$28:N28)&lt;=$B29,SUM($C$28:N28),0)</f>
        <v>0</v>
      </c>
      <c r="O29" s="142">
        <f>IF(SUM($C$28:O28)&lt;=$B29,SUM($C$28:O28),0)</f>
        <v>0</v>
      </c>
      <c r="P29" s="142">
        <f>IF(SUM($C$28:P28)&lt;=$B29,SUM($C$28:P28),0)</f>
        <v>0</v>
      </c>
      <c r="Q29" s="142"/>
      <c r="R29" s="142"/>
      <c r="S29" s="142"/>
      <c r="T29" s="142">
        <f>IF(SUM($C$28:T28)&lt;=$B29,SUM($C$28:T28),0)</f>
        <v>527922.66119999997</v>
      </c>
      <c r="U29" s="142">
        <f>IF(SUM($C$28:U28)&lt;=$B29,SUM($C$28:U28),0)</f>
        <v>7654878.5874000005</v>
      </c>
      <c r="V29" s="142">
        <f>IF(SUM($C$28:V28)&lt;=$B29,SUM($C$28:V28),0)</f>
        <v>8182801.2486000005</v>
      </c>
      <c r="W29" s="142">
        <f>IF(SUM($C$28:W28)&lt;=$B29,SUM($C$28:W28),0)</f>
        <v>9260723.9098000005</v>
      </c>
      <c r="X29" s="142">
        <f>IF(SUM($C$28:X28)&lt;=$B29,SUM($C$28:X28),0)</f>
        <v>13344574.682725219</v>
      </c>
      <c r="Y29" s="142">
        <f>IF(SUM($C$28:Y28)&lt;=$B29,SUM($C$28:Y28),0)</f>
        <v>22174268.164094351</v>
      </c>
      <c r="Z29" s="142">
        <f>IF(SUM($C$28:Z28)&lt;=$B29,SUM($C$28:Z28),0)</f>
        <v>37740933.274392441</v>
      </c>
      <c r="AA29" s="142">
        <f>IF(SUM($C$28:AA28)&lt;=$B29,SUM($C$28:AA28),0)</f>
        <v>61095382.101769626</v>
      </c>
      <c r="AB29" s="142">
        <f>IF(SUM($C$28:AB28)&lt;=$B29,SUM($C$28:AB28),0)</f>
        <v>85244622.735088348</v>
      </c>
      <c r="AC29" s="142">
        <f>IF(SUM($C$28:AC28)&lt;=$B29,SUM($C$28:AC28),0)</f>
        <v>85244622.735088348</v>
      </c>
      <c r="AD29" s="142">
        <f>IF(SUM($C$28:AD28)&lt;=$B29,SUM($C$28:AD28),0)</f>
        <v>85244622.735088348</v>
      </c>
      <c r="AE29" s="142">
        <f>IF(SUM($C$28:AE28)&lt;=$B29,SUM($C$28:AE28),0)</f>
        <v>85244622.735088348</v>
      </c>
      <c r="AF29" s="142">
        <f>IF(SUM($C$28:AF28)&lt;=$B29,SUM($C$28:AF28),0)</f>
        <v>85244622.735088348</v>
      </c>
      <c r="AG29" s="142">
        <f>IF(SUM($C$28:AG28)&lt;=$B29,SUM($C$28:AG28),0)</f>
        <v>85244622.735088348</v>
      </c>
      <c r="AH29" s="142">
        <f>IF(SUM($C$28:AH28)&lt;=$B29,SUM($C$28:AH28),0)</f>
        <v>85244622.735088348</v>
      </c>
      <c r="AI29" s="142"/>
      <c r="AJ29" s="142"/>
      <c r="AK29" s="142"/>
      <c r="AL29" s="142"/>
      <c r="AM29" s="142"/>
      <c r="AN29" s="142"/>
      <c r="AO29" s="142"/>
      <c r="AP29" s="142"/>
      <c r="AQ29" s="142"/>
      <c r="AR29" s="142"/>
      <c r="AS29" s="142"/>
      <c r="AT29" s="142"/>
      <c r="AU29" s="142"/>
      <c r="AV29" s="160"/>
      <c r="AW29" s="160"/>
      <c r="AX29" s="160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</row>
    <row r="30" spans="1:74">
      <c r="A30" s="64" t="s">
        <v>135</v>
      </c>
      <c r="B30" s="65">
        <f>'I Financial'!D14</f>
        <v>85244622.735088348</v>
      </c>
      <c r="C30" s="161"/>
      <c r="D30" s="162"/>
      <c r="E30" s="162"/>
      <c r="F30" s="162"/>
      <c r="G30" s="162"/>
      <c r="H30" s="162"/>
      <c r="I30" s="162"/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1"/>
      <c r="AW30" s="161"/>
      <c r="AX30" s="16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</row>
    <row r="31" spans="1:74" ht="15" thickBot="1">
      <c r="A31" s="163" t="s">
        <v>136</v>
      </c>
      <c r="B31" s="164">
        <f>PMT(0.065,30,(B30))</f>
        <v>-6527815.1742706643</v>
      </c>
      <c r="C31" s="161"/>
      <c r="D31" s="162"/>
      <c r="E31" s="162"/>
      <c r="F31" s="162"/>
      <c r="G31" s="162"/>
      <c r="H31" s="162"/>
      <c r="I31" s="162"/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  <c r="AC31" s="162"/>
      <c r="AD31" s="162"/>
      <c r="AE31" s="162"/>
      <c r="AF31" s="162"/>
      <c r="AG31" s="162"/>
      <c r="AH31" s="162"/>
      <c r="AI31" s="162"/>
      <c r="AJ31" s="162"/>
      <c r="AK31" s="162"/>
      <c r="AL31" s="162"/>
      <c r="AM31" s="162"/>
      <c r="AN31" s="162"/>
      <c r="AO31" s="162"/>
      <c r="AP31" s="162"/>
      <c r="AQ31" s="162"/>
      <c r="AR31" s="162"/>
      <c r="AS31" s="162"/>
      <c r="AT31" s="162"/>
      <c r="AU31" s="162"/>
      <c r="AV31" s="161"/>
      <c r="AW31" s="161"/>
      <c r="AX31" s="160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</row>
    <row r="32" spans="1:74">
      <c r="A32" s="66" t="s">
        <v>137</v>
      </c>
      <c r="B32" s="67">
        <f>SUM(C32:AV32)</f>
        <v>0</v>
      </c>
      <c r="C32" s="142"/>
      <c r="D32" s="142"/>
      <c r="E32" s="142"/>
      <c r="F32" s="142"/>
      <c r="G32" s="142"/>
      <c r="H32" s="142"/>
      <c r="I32" s="142"/>
      <c r="J32" s="142"/>
      <c r="K32" s="142"/>
      <c r="L32" s="142"/>
      <c r="M32" s="142"/>
      <c r="N32" s="142"/>
      <c r="O32" s="142"/>
      <c r="P32" s="142"/>
      <c r="Q32" s="142"/>
      <c r="R32" s="142"/>
      <c r="S32" s="142"/>
      <c r="T32" s="142"/>
      <c r="U32" s="142"/>
      <c r="V32" s="142"/>
      <c r="W32" s="142"/>
      <c r="X32" s="142"/>
      <c r="Y32" s="142"/>
      <c r="Z32" s="142"/>
      <c r="AA32" s="142"/>
      <c r="AB32" s="142"/>
      <c r="AC32" s="142"/>
      <c r="AD32" s="142"/>
      <c r="AE32" s="142"/>
      <c r="AF32" s="142"/>
      <c r="AG32" s="142"/>
      <c r="AH32" s="142"/>
      <c r="AI32" s="142"/>
      <c r="AJ32" s="142"/>
      <c r="AK32" s="142"/>
      <c r="AL32" s="142"/>
      <c r="AM32" s="142"/>
      <c r="AN32" s="142"/>
      <c r="AO32" s="142"/>
      <c r="AP32" s="142"/>
      <c r="AQ32" s="142"/>
      <c r="AR32" s="142"/>
      <c r="AS32" s="142"/>
      <c r="AT32" s="142"/>
      <c r="AU32" s="142"/>
      <c r="AV32" s="104"/>
      <c r="AW32" s="162"/>
      <c r="AX32" s="160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</row>
    <row r="33" spans="1:74">
      <c r="A33" s="704" t="s">
        <v>138</v>
      </c>
      <c r="B33" s="705"/>
      <c r="C33" s="162"/>
      <c r="D33" s="162"/>
      <c r="E33" s="162"/>
      <c r="F33" s="162"/>
      <c r="G33" s="162"/>
      <c r="H33" s="162"/>
      <c r="I33" s="162"/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5"/>
      <c r="AW33" s="162"/>
      <c r="AX33" s="160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</row>
    <row r="34" spans="1:74">
      <c r="A34" s="158" t="s">
        <v>139</v>
      </c>
      <c r="B34" s="159">
        <f>'I Financial'!D21+'I Financial'!D22</f>
        <v>-19614023.931308553</v>
      </c>
      <c r="C34" s="165"/>
      <c r="D34" s="166"/>
      <c r="E34" s="166"/>
      <c r="F34" s="166"/>
      <c r="G34" s="166"/>
      <c r="H34" s="166"/>
      <c r="I34" s="166"/>
      <c r="J34" s="166"/>
      <c r="K34" s="166"/>
      <c r="L34" s="166"/>
      <c r="M34" s="166"/>
      <c r="N34" s="166"/>
      <c r="O34" s="166"/>
      <c r="P34" s="166"/>
      <c r="Q34" s="166"/>
      <c r="R34" s="166"/>
      <c r="S34" s="166"/>
      <c r="T34" s="166"/>
      <c r="U34" s="166"/>
      <c r="V34" s="166"/>
      <c r="W34" s="166"/>
      <c r="X34" s="166"/>
      <c r="Y34" s="166"/>
      <c r="Z34" s="166"/>
      <c r="AA34" s="166"/>
      <c r="AB34" s="166"/>
      <c r="AC34" s="166"/>
      <c r="AD34" s="166"/>
      <c r="AE34" s="166"/>
      <c r="AF34" s="166"/>
      <c r="AG34" s="166"/>
      <c r="AH34" s="166"/>
      <c r="AI34" s="166"/>
      <c r="AJ34" s="166"/>
      <c r="AK34" s="166"/>
      <c r="AL34" s="166"/>
      <c r="AM34" s="166"/>
      <c r="AN34" s="166"/>
      <c r="AO34" s="166"/>
      <c r="AP34" s="166"/>
      <c r="AQ34" s="166"/>
      <c r="AR34" s="166"/>
      <c r="AS34" s="166"/>
      <c r="AT34" s="166"/>
      <c r="AU34" s="166"/>
      <c r="AV34" s="167"/>
      <c r="AW34" s="168"/>
      <c r="AX34" s="169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</row>
    <row r="35" spans="1:74">
      <c r="A35" s="158" t="s">
        <v>164</v>
      </c>
      <c r="B35" s="90">
        <f>SUM(C35:AU35)</f>
        <v>-104858646.6663969</v>
      </c>
      <c r="C35" s="170">
        <f t="shared" ref="C35:AG35" si="15">-C28</f>
        <v>0</v>
      </c>
      <c r="D35" s="170">
        <f t="shared" si="15"/>
        <v>0</v>
      </c>
      <c r="E35" s="170">
        <f t="shared" si="15"/>
        <v>0</v>
      </c>
      <c r="F35" s="170">
        <f t="shared" si="15"/>
        <v>0</v>
      </c>
      <c r="G35" s="170">
        <f t="shared" si="15"/>
        <v>0</v>
      </c>
      <c r="H35" s="170">
        <f t="shared" si="15"/>
        <v>0</v>
      </c>
      <c r="I35" s="170">
        <f t="shared" si="15"/>
        <v>0</v>
      </c>
      <c r="J35" s="170">
        <f t="shared" si="15"/>
        <v>0</v>
      </c>
      <c r="K35" s="170">
        <f t="shared" si="15"/>
        <v>0</v>
      </c>
      <c r="L35" s="170">
        <f t="shared" si="15"/>
        <v>0</v>
      </c>
      <c r="M35" s="170">
        <f t="shared" si="15"/>
        <v>0</v>
      </c>
      <c r="N35" s="170">
        <f t="shared" si="15"/>
        <v>0</v>
      </c>
      <c r="O35" s="170">
        <f t="shared" si="15"/>
        <v>0</v>
      </c>
      <c r="P35" s="170">
        <f t="shared" si="15"/>
        <v>0</v>
      </c>
      <c r="Q35" s="170">
        <f t="shared" si="15"/>
        <v>0</v>
      </c>
      <c r="R35" s="170">
        <f t="shared" si="15"/>
        <v>0</v>
      </c>
      <c r="S35" s="170">
        <f t="shared" si="15"/>
        <v>0</v>
      </c>
      <c r="T35" s="170">
        <f t="shared" si="15"/>
        <v>-527922.66119999997</v>
      </c>
      <c r="U35" s="170">
        <f t="shared" si="15"/>
        <v>-7126955.9262000006</v>
      </c>
      <c r="V35" s="170">
        <f t="shared" si="15"/>
        <v>-527922.66119999997</v>
      </c>
      <c r="W35" s="170">
        <f t="shared" si="15"/>
        <v>-1077922.6612</v>
      </c>
      <c r="X35" s="170">
        <f t="shared" si="15"/>
        <v>-4083850.772925219</v>
      </c>
      <c r="Y35" s="170">
        <f t="shared" si="15"/>
        <v>-8829693.481369134</v>
      </c>
      <c r="Z35" s="170">
        <f t="shared" si="15"/>
        <v>-15566665.11029809</v>
      </c>
      <c r="AA35" s="170">
        <f t="shared" si="15"/>
        <v>-23354448.827377185</v>
      </c>
      <c r="AB35" s="170">
        <f t="shared" si="15"/>
        <v>-24149240.633318722</v>
      </c>
      <c r="AC35" s="170">
        <f t="shared" si="15"/>
        <v>0</v>
      </c>
      <c r="AD35" s="170">
        <f t="shared" si="15"/>
        <v>0</v>
      </c>
      <c r="AE35" s="170">
        <f t="shared" si="15"/>
        <v>0</v>
      </c>
      <c r="AF35" s="170">
        <f t="shared" si="15"/>
        <v>0</v>
      </c>
      <c r="AG35" s="170">
        <f t="shared" si="15"/>
        <v>0</v>
      </c>
      <c r="AH35" s="171">
        <f>B34</f>
        <v>-19614023.931308553</v>
      </c>
      <c r="AI35" s="170"/>
      <c r="AJ35" s="170"/>
      <c r="AK35" s="170"/>
      <c r="AL35" s="170"/>
      <c r="AM35" s="170"/>
      <c r="AN35" s="170"/>
      <c r="AO35" s="170"/>
      <c r="AP35" s="170"/>
      <c r="AQ35" s="170"/>
      <c r="AR35" s="170"/>
      <c r="AS35" s="170"/>
      <c r="AT35" s="170"/>
      <c r="AU35" s="170"/>
      <c r="AV35" s="172"/>
      <c r="AW35" s="142"/>
      <c r="AX35" s="142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</row>
    <row r="36" spans="1:74">
      <c r="A36" s="158" t="s">
        <v>140</v>
      </c>
      <c r="B36" s="89">
        <f>IF(B35&lt;0,0,IRR(C35:AIW35))</f>
        <v>0</v>
      </c>
      <c r="C36" s="173"/>
      <c r="D36" s="173"/>
      <c r="E36" s="173"/>
      <c r="F36" s="173"/>
      <c r="G36" s="173"/>
      <c r="H36" s="173"/>
      <c r="I36" s="173"/>
      <c r="J36" s="173"/>
      <c r="K36" s="173"/>
      <c r="L36" s="173"/>
      <c r="M36" s="173"/>
      <c r="N36" s="173"/>
      <c r="O36" s="173"/>
      <c r="P36" s="173"/>
      <c r="Q36" s="173"/>
      <c r="R36" s="173"/>
      <c r="S36" s="173"/>
      <c r="T36" s="173"/>
      <c r="U36" s="173"/>
      <c r="V36" s="173"/>
      <c r="W36" s="173"/>
      <c r="X36" s="173"/>
      <c r="Y36" s="173"/>
      <c r="Z36" s="173"/>
      <c r="AA36" s="173"/>
      <c r="AB36" s="173"/>
      <c r="AC36" s="173"/>
      <c r="AD36" s="173"/>
      <c r="AE36" s="173"/>
      <c r="AF36" s="173"/>
      <c r="AG36" s="173"/>
      <c r="AH36" s="173"/>
      <c r="AI36" s="173"/>
      <c r="AJ36" s="173"/>
      <c r="AK36" s="173"/>
      <c r="AL36" s="173"/>
      <c r="AM36" s="173"/>
      <c r="AN36" s="173"/>
      <c r="AO36" s="173"/>
      <c r="AP36" s="173"/>
      <c r="AQ36" s="173"/>
      <c r="AR36" s="173"/>
      <c r="AS36" s="173"/>
      <c r="AT36" s="173"/>
      <c r="AU36" s="173"/>
      <c r="AV36" s="167"/>
      <c r="AW36" s="173"/>
      <c r="AX36" s="174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</row>
    <row r="37" spans="1:74">
      <c r="A37" s="150" t="s">
        <v>141</v>
      </c>
      <c r="B37" s="175">
        <f>POWER((1+B36),4)-1</f>
        <v>0</v>
      </c>
      <c r="C37" s="167"/>
      <c r="D37" s="167"/>
      <c r="E37" s="176"/>
      <c r="F37" s="176"/>
      <c r="G37" s="176"/>
      <c r="H37" s="176"/>
      <c r="I37" s="176"/>
      <c r="J37" s="176"/>
      <c r="K37" s="176"/>
      <c r="L37" s="176"/>
      <c r="M37" s="176"/>
      <c r="N37" s="176"/>
      <c r="O37" s="176"/>
      <c r="P37" s="177"/>
      <c r="Q37" s="177"/>
      <c r="R37" s="177"/>
      <c r="S37" s="177"/>
      <c r="T37" s="177"/>
      <c r="U37" s="177"/>
      <c r="V37" s="177"/>
      <c r="W37" s="177"/>
      <c r="X37" s="177"/>
      <c r="Y37" s="177"/>
      <c r="Z37" s="177"/>
      <c r="AA37" s="177"/>
      <c r="AB37" s="177"/>
      <c r="AC37" s="177"/>
      <c r="AD37" s="177"/>
      <c r="AE37" s="177"/>
      <c r="AF37" s="177"/>
      <c r="AG37" s="177"/>
      <c r="AH37" s="177"/>
      <c r="AI37" s="176"/>
      <c r="AJ37" s="176"/>
      <c r="AK37" s="176"/>
      <c r="AL37" s="176"/>
      <c r="AM37" s="176"/>
      <c r="AN37" s="176"/>
      <c r="AO37" s="176"/>
      <c r="AP37" s="176"/>
      <c r="AQ37" s="176"/>
      <c r="AR37" s="176"/>
      <c r="AS37" s="176"/>
      <c r="AT37" s="176"/>
      <c r="AU37" s="176"/>
      <c r="AV37" s="176"/>
      <c r="AW37" s="176"/>
      <c r="AX37" s="178"/>
      <c r="AY37" s="68"/>
      <c r="AZ37" s="68"/>
      <c r="BA37" s="68"/>
      <c r="BB37" s="68"/>
      <c r="BC37" s="68"/>
      <c r="BD37" s="68"/>
      <c r="BE37" s="68"/>
      <c r="BF37" s="68"/>
      <c r="BG37" s="68"/>
      <c r="BH37" s="68"/>
      <c r="BI37" s="68"/>
      <c r="BJ37" s="68"/>
      <c r="BK37" s="68"/>
      <c r="BL37" s="68"/>
      <c r="BM37" s="68"/>
      <c r="BN37" s="68"/>
      <c r="BO37" s="68"/>
      <c r="BP37" s="68"/>
      <c r="BQ37" s="68"/>
      <c r="BR37" s="68"/>
      <c r="BS37" s="68"/>
      <c r="BT37" s="68"/>
      <c r="BU37" s="68"/>
    </row>
    <row r="38" spans="1:74">
      <c r="A38" s="706" t="s">
        <v>142</v>
      </c>
      <c r="B38" s="707"/>
      <c r="C38" s="167"/>
      <c r="D38" s="167"/>
      <c r="E38" s="176"/>
      <c r="F38" s="176"/>
      <c r="G38" s="176"/>
      <c r="H38" s="176"/>
      <c r="I38" s="176"/>
      <c r="J38" s="176"/>
      <c r="K38" s="176"/>
      <c r="L38" s="176"/>
      <c r="M38" s="176"/>
      <c r="N38" s="176"/>
      <c r="O38" s="176"/>
      <c r="P38" s="177"/>
      <c r="Q38" s="177"/>
      <c r="R38" s="177"/>
      <c r="S38" s="177"/>
      <c r="T38" s="177"/>
      <c r="U38" s="177"/>
      <c r="V38" s="177"/>
      <c r="W38" s="177"/>
      <c r="X38" s="177"/>
      <c r="Y38" s="177"/>
      <c r="Z38" s="177"/>
      <c r="AA38" s="177"/>
      <c r="AB38" s="177"/>
      <c r="AC38" s="177"/>
      <c r="AD38" s="177"/>
      <c r="AE38" s="177"/>
      <c r="AF38" s="177"/>
      <c r="AG38" s="177"/>
      <c r="AH38" s="177"/>
      <c r="AI38" s="176"/>
      <c r="AJ38" s="176"/>
      <c r="AK38" s="176"/>
      <c r="AL38" s="176"/>
      <c r="AM38" s="176"/>
      <c r="AN38" s="176"/>
      <c r="AO38" s="176"/>
      <c r="AP38" s="176"/>
      <c r="AQ38" s="176"/>
      <c r="AR38" s="176"/>
      <c r="AS38" s="176"/>
      <c r="AT38" s="176"/>
      <c r="AU38" s="176"/>
      <c r="AV38" s="176"/>
      <c r="AW38" s="176"/>
      <c r="AX38" s="178"/>
      <c r="AY38" s="68"/>
      <c r="AZ38" s="68"/>
      <c r="BA38" s="68"/>
      <c r="BB38" s="68"/>
      <c r="BC38" s="68"/>
      <c r="BD38" s="68"/>
      <c r="BE38" s="68"/>
      <c r="BF38" s="68"/>
      <c r="BG38" s="68"/>
      <c r="BH38" s="68"/>
      <c r="BI38" s="68"/>
      <c r="BJ38" s="68"/>
      <c r="BK38" s="68"/>
      <c r="BL38" s="68"/>
      <c r="BM38" s="68"/>
      <c r="BN38" s="68"/>
      <c r="BO38" s="68"/>
      <c r="BP38" s="68"/>
      <c r="BQ38" s="68"/>
      <c r="BR38" s="68"/>
      <c r="BS38" s="68"/>
      <c r="BT38" s="68"/>
      <c r="BU38" s="68"/>
    </row>
    <row r="39" spans="1:74">
      <c r="A39" s="158" t="s">
        <v>143</v>
      </c>
      <c r="B39" s="21">
        <f>'I Financial'!D21-B26</f>
        <v>184604460.80377978</v>
      </c>
      <c r="C39" s="167"/>
      <c r="D39" s="167"/>
      <c r="E39" s="176"/>
      <c r="F39" s="176"/>
      <c r="G39" s="176"/>
      <c r="H39" s="176"/>
      <c r="I39" s="176"/>
      <c r="J39" s="176"/>
      <c r="K39" s="176"/>
      <c r="L39" s="176"/>
      <c r="M39" s="176"/>
      <c r="N39" s="176"/>
      <c r="O39" s="176"/>
      <c r="P39" s="177"/>
      <c r="Q39" s="177"/>
      <c r="R39" s="177"/>
      <c r="S39" s="177"/>
      <c r="T39" s="177"/>
      <c r="U39" s="177"/>
      <c r="V39" s="177"/>
      <c r="W39" s="177"/>
      <c r="X39" s="177"/>
      <c r="Y39" s="177"/>
      <c r="Z39" s="177"/>
      <c r="AA39" s="177"/>
      <c r="AB39" s="177"/>
      <c r="AC39" s="177"/>
      <c r="AD39" s="177"/>
      <c r="AE39" s="177"/>
      <c r="AF39" s="177"/>
      <c r="AG39" s="177"/>
      <c r="AH39" s="177"/>
      <c r="AI39" s="176"/>
      <c r="AJ39" s="176"/>
      <c r="AK39" s="176"/>
      <c r="AL39" s="176"/>
      <c r="AM39" s="176"/>
      <c r="AN39" s="176"/>
      <c r="AO39" s="176"/>
      <c r="AP39" s="176"/>
      <c r="AQ39" s="176"/>
      <c r="AR39" s="176"/>
      <c r="AS39" s="176"/>
      <c r="AT39" s="176"/>
      <c r="AU39" s="176"/>
      <c r="AV39" s="176"/>
      <c r="AW39" s="176"/>
      <c r="AX39" s="178"/>
      <c r="AY39" s="68"/>
      <c r="AZ39" s="68"/>
      <c r="BA39" s="68"/>
      <c r="BB39" s="68"/>
      <c r="BC39" s="68"/>
      <c r="BD39" s="68"/>
      <c r="BE39" s="68"/>
      <c r="BF39" s="68"/>
      <c r="BG39" s="68"/>
      <c r="BH39" s="68"/>
      <c r="BI39" s="68"/>
      <c r="BJ39" s="68"/>
      <c r="BK39" s="68"/>
      <c r="BL39" s="68"/>
      <c r="BM39" s="68"/>
      <c r="BN39" s="68"/>
      <c r="BO39" s="68"/>
      <c r="BP39" s="68"/>
      <c r="BQ39" s="68"/>
      <c r="BR39" s="68"/>
      <c r="BS39" s="68"/>
      <c r="BT39" s="68"/>
      <c r="BU39" s="68"/>
    </row>
    <row r="40" spans="1:74">
      <c r="A40" s="158" t="s">
        <v>144</v>
      </c>
      <c r="B40" s="90">
        <f>SUM(C40:AU40)</f>
        <v>11356448.055023968</v>
      </c>
      <c r="C40" s="142">
        <f t="shared" ref="C40:AG40" si="16">-C25</f>
        <v>0</v>
      </c>
      <c r="D40" s="142">
        <f t="shared" si="16"/>
        <v>0</v>
      </c>
      <c r="E40" s="142">
        <f t="shared" si="16"/>
        <v>0</v>
      </c>
      <c r="F40" s="142">
        <f t="shared" si="16"/>
        <v>0</v>
      </c>
      <c r="G40" s="142">
        <f t="shared" si="16"/>
        <v>0</v>
      </c>
      <c r="H40" s="142">
        <f t="shared" si="16"/>
        <v>0</v>
      </c>
      <c r="I40" s="142">
        <f t="shared" si="16"/>
        <v>0</v>
      </c>
      <c r="J40" s="142">
        <f t="shared" si="16"/>
        <v>0</v>
      </c>
      <c r="K40" s="142">
        <f t="shared" si="16"/>
        <v>0</v>
      </c>
      <c r="L40" s="142">
        <f t="shared" si="16"/>
        <v>0</v>
      </c>
      <c r="M40" s="142">
        <f t="shared" si="16"/>
        <v>0</v>
      </c>
      <c r="N40" s="142">
        <f t="shared" si="16"/>
        <v>0</v>
      </c>
      <c r="O40" s="142">
        <f t="shared" si="16"/>
        <v>0</v>
      </c>
      <c r="P40" s="142">
        <f t="shared" si="16"/>
        <v>0</v>
      </c>
      <c r="Q40" s="142">
        <f t="shared" si="16"/>
        <v>0</v>
      </c>
      <c r="R40" s="142">
        <f t="shared" si="16"/>
        <v>0</v>
      </c>
      <c r="S40" s="142">
        <f t="shared" si="16"/>
        <v>0</v>
      </c>
      <c r="T40" s="142">
        <f t="shared" si="16"/>
        <v>-527922.66119999997</v>
      </c>
      <c r="U40" s="142">
        <f t="shared" si="16"/>
        <v>-7126955.9262000006</v>
      </c>
      <c r="V40" s="142">
        <f t="shared" si="16"/>
        <v>-527922.66119999997</v>
      </c>
      <c r="W40" s="142">
        <f t="shared" si="16"/>
        <v>-1077922.6612</v>
      </c>
      <c r="X40" s="142">
        <f t="shared" si="16"/>
        <v>-4083850.772925219</v>
      </c>
      <c r="Y40" s="142">
        <f t="shared" si="16"/>
        <v>-8829693.481369134</v>
      </c>
      <c r="Z40" s="142">
        <f t="shared" si="16"/>
        <v>-15566665.11029809</v>
      </c>
      <c r="AA40" s="142">
        <f t="shared" si="16"/>
        <v>-23354448.827377185</v>
      </c>
      <c r="AB40" s="142">
        <f t="shared" si="16"/>
        <v>-36828392.085235082</v>
      </c>
      <c r="AC40" s="142">
        <f t="shared" si="16"/>
        <v>-23354448.827377185</v>
      </c>
      <c r="AD40" s="142">
        <f t="shared" si="16"/>
        <v>-20659660.175805602</v>
      </c>
      <c r="AE40" s="142">
        <f t="shared" si="16"/>
        <v>-18586075.373829339</v>
      </c>
      <c r="AF40" s="142">
        <f t="shared" si="16"/>
        <v>-9154315.0933288038</v>
      </c>
      <c r="AG40" s="142">
        <f t="shared" si="16"/>
        <v>-2310275.5897801463</v>
      </c>
      <c r="AH40" s="174">
        <f>$B$39-AH25</f>
        <v>183344997.30214977</v>
      </c>
      <c r="AI40" s="174"/>
      <c r="AJ40" s="142"/>
      <c r="AK40" s="142"/>
      <c r="AL40" s="142"/>
      <c r="AM40" s="142"/>
      <c r="AN40" s="142"/>
      <c r="AO40" s="142"/>
      <c r="AP40" s="142"/>
      <c r="AQ40" s="142"/>
      <c r="AR40" s="142"/>
      <c r="AS40" s="142"/>
      <c r="AT40" s="142"/>
      <c r="AU40" s="142"/>
      <c r="AV40" s="174"/>
      <c r="AW40" s="150"/>
      <c r="AX40" s="150"/>
    </row>
    <row r="41" spans="1:74">
      <c r="A41" s="158" t="s">
        <v>145</v>
      </c>
      <c r="B41" s="89">
        <f>IF(B40&lt;0,0,IRR(C40:AU40))</f>
        <v>1.0740164027120747E-2</v>
      </c>
      <c r="C41" s="167"/>
      <c r="D41" s="167"/>
      <c r="E41" s="167"/>
      <c r="F41" s="167"/>
      <c r="G41" s="167"/>
      <c r="H41" s="167"/>
      <c r="I41" s="167"/>
      <c r="J41" s="167"/>
      <c r="K41" s="167"/>
      <c r="L41" s="167"/>
      <c r="M41" s="162"/>
      <c r="N41" s="167"/>
      <c r="O41" s="167"/>
      <c r="P41" s="167"/>
      <c r="Q41" s="167"/>
      <c r="R41" s="167"/>
      <c r="S41" s="162"/>
      <c r="T41" s="167"/>
      <c r="U41" s="167"/>
      <c r="V41" s="167"/>
      <c r="W41" s="167"/>
      <c r="X41" s="167"/>
      <c r="Y41" s="167"/>
      <c r="Z41" s="167"/>
      <c r="AA41" s="167"/>
      <c r="AB41" s="167"/>
      <c r="AC41" s="167"/>
      <c r="AD41" s="167"/>
      <c r="AE41" s="167"/>
      <c r="AF41" s="167"/>
      <c r="AG41" s="167"/>
      <c r="AH41" s="167"/>
      <c r="AI41" s="167"/>
      <c r="AJ41" s="167"/>
      <c r="AK41" s="167"/>
      <c r="AL41" s="167"/>
      <c r="AM41" s="167"/>
      <c r="AN41" s="167"/>
      <c r="AO41" s="167"/>
      <c r="AP41" s="167"/>
      <c r="AQ41" s="167"/>
      <c r="AR41" s="167"/>
      <c r="AS41" s="167"/>
      <c r="AT41" s="167"/>
      <c r="AU41" s="167"/>
      <c r="AV41" s="167"/>
      <c r="AW41" s="167"/>
      <c r="AX41" s="150"/>
    </row>
    <row r="42" spans="1:74">
      <c r="A42" s="150" t="s">
        <v>146</v>
      </c>
      <c r="B42" s="175">
        <f>POWER((1+B41),4)-1</f>
        <v>4.3657731714282333E-2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2"/>
      <c r="N42" s="167"/>
      <c r="O42" s="167"/>
      <c r="P42" s="167"/>
      <c r="Q42" s="167"/>
      <c r="R42" s="167"/>
      <c r="S42" s="162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67"/>
      <c r="AW42" s="150"/>
      <c r="AX42" s="150"/>
    </row>
    <row r="43" spans="1:74">
      <c r="G43" s="5"/>
    </row>
    <row r="44" spans="1:74">
      <c r="G44" s="5"/>
    </row>
    <row r="45" spans="1:74">
      <c r="G45" s="5"/>
    </row>
    <row r="46" spans="1:74">
      <c r="G46" s="5"/>
    </row>
    <row r="47" spans="1:74">
      <c r="G47" s="5"/>
    </row>
    <row r="48" spans="1:74">
      <c r="G48" s="5"/>
    </row>
    <row r="49" spans="7:7">
      <c r="G49" s="5"/>
    </row>
    <row r="50" spans="7:7">
      <c r="G50" s="5"/>
    </row>
    <row r="51" spans="7:7">
      <c r="G51" s="5"/>
    </row>
    <row r="52" spans="7:7">
      <c r="G52" s="5"/>
    </row>
    <row r="53" spans="7:7">
      <c r="G53" s="5"/>
    </row>
    <row r="54" spans="7:7">
      <c r="G54" s="5"/>
    </row>
    <row r="55" spans="7:7">
      <c r="G55" s="5"/>
    </row>
    <row r="56" spans="7:7">
      <c r="G56" s="5"/>
    </row>
    <row r="57" spans="7:7">
      <c r="G57" s="5"/>
    </row>
    <row r="58" spans="7:7">
      <c r="G58" s="5"/>
    </row>
    <row r="59" spans="7:7">
      <c r="G59" s="5"/>
    </row>
    <row r="60" spans="7:7">
      <c r="G60" s="5"/>
    </row>
    <row r="61" spans="7:7">
      <c r="G61" s="5"/>
    </row>
    <row r="62" spans="7:7">
      <c r="G62" s="5"/>
    </row>
    <row r="63" spans="7:7">
      <c r="G63" s="5"/>
    </row>
    <row r="64" spans="7:7">
      <c r="G64" s="5"/>
    </row>
    <row r="65" spans="7:7">
      <c r="G65" s="5"/>
    </row>
    <row r="66" spans="7:7">
      <c r="G66" s="5"/>
    </row>
    <row r="67" spans="7:7">
      <c r="G67" s="5"/>
    </row>
    <row r="68" spans="7:7">
      <c r="G68" s="5"/>
    </row>
    <row r="69" spans="7:7">
      <c r="G69" s="5"/>
    </row>
    <row r="70" spans="7:7">
      <c r="G70" s="5"/>
    </row>
    <row r="71" spans="7:7">
      <c r="G71" s="5"/>
    </row>
    <row r="72" spans="7:7">
      <c r="G72" s="5"/>
    </row>
    <row r="73" spans="7:7">
      <c r="G73" s="5"/>
    </row>
    <row r="74" spans="7:7">
      <c r="G74" s="5"/>
    </row>
    <row r="75" spans="7:7">
      <c r="G75" s="5"/>
    </row>
    <row r="76" spans="7:7">
      <c r="G76" s="5"/>
    </row>
    <row r="77" spans="7:7">
      <c r="G77" s="5"/>
    </row>
    <row r="78" spans="7:7">
      <c r="G78" s="5"/>
    </row>
    <row r="79" spans="7:7">
      <c r="G79" s="5"/>
    </row>
    <row r="80" spans="7:7">
      <c r="G80" s="5"/>
    </row>
    <row r="81" spans="7:7">
      <c r="G81" s="5"/>
    </row>
    <row r="82" spans="7:7">
      <c r="G82" s="5"/>
    </row>
    <row r="83" spans="7:7">
      <c r="G83" s="5"/>
    </row>
    <row r="84" spans="7:7">
      <c r="G84" s="5"/>
    </row>
    <row r="85" spans="7:7">
      <c r="G85" s="5"/>
    </row>
    <row r="86" spans="7:7">
      <c r="G86" s="5"/>
    </row>
    <row r="87" spans="7:7">
      <c r="G87" s="5"/>
    </row>
    <row r="88" spans="7:7">
      <c r="G88" s="5"/>
    </row>
    <row r="89" spans="7:7">
      <c r="G89" s="5"/>
    </row>
    <row r="90" spans="7:7">
      <c r="G90" s="5"/>
    </row>
    <row r="91" spans="7:7">
      <c r="G91" s="5"/>
    </row>
    <row r="92" spans="7:7">
      <c r="G92" s="5"/>
    </row>
    <row r="93" spans="7:7">
      <c r="G93" s="5"/>
    </row>
    <row r="94" spans="7:7">
      <c r="G94" s="5"/>
    </row>
    <row r="95" spans="7:7">
      <c r="G95" s="5"/>
    </row>
    <row r="96" spans="7:7">
      <c r="G96" s="5"/>
    </row>
    <row r="97" spans="7:7">
      <c r="G97" s="5"/>
    </row>
    <row r="98" spans="7:7">
      <c r="G98" s="5"/>
    </row>
    <row r="99" spans="7:7">
      <c r="G99" s="5"/>
    </row>
    <row r="100" spans="7:7">
      <c r="G100" s="5"/>
    </row>
    <row r="101" spans="7:7">
      <c r="G101" s="5"/>
    </row>
    <row r="102" spans="7:7">
      <c r="G102" s="5"/>
    </row>
    <row r="103" spans="7:7">
      <c r="G103" s="5"/>
    </row>
    <row r="104" spans="7:7">
      <c r="G104" s="5"/>
    </row>
    <row r="105" spans="7:7">
      <c r="G105" s="5"/>
    </row>
    <row r="106" spans="7:7">
      <c r="G106" s="5"/>
    </row>
    <row r="107" spans="7:7">
      <c r="G107" s="5"/>
    </row>
    <row r="108" spans="7:7">
      <c r="G108" s="5"/>
    </row>
    <row r="109" spans="7:7">
      <c r="G109" s="5"/>
    </row>
    <row r="110" spans="7:7">
      <c r="G110" s="5"/>
    </row>
    <row r="111" spans="7:7">
      <c r="G111" s="5"/>
    </row>
    <row r="112" spans="7:7">
      <c r="G112" s="5"/>
    </row>
    <row r="113" spans="7:7">
      <c r="G113" s="5"/>
    </row>
    <row r="114" spans="7:7">
      <c r="G114" s="5"/>
    </row>
    <row r="115" spans="7:7">
      <c r="G115" s="5"/>
    </row>
    <row r="116" spans="7:7">
      <c r="G116" s="5"/>
    </row>
    <row r="117" spans="7:7">
      <c r="G117" s="5"/>
    </row>
    <row r="118" spans="7:7">
      <c r="G118" s="5"/>
    </row>
    <row r="119" spans="7:7">
      <c r="G119" s="5"/>
    </row>
    <row r="120" spans="7:7">
      <c r="G120" s="5"/>
    </row>
    <row r="121" spans="7:7">
      <c r="G121" s="5"/>
    </row>
    <row r="122" spans="7:7">
      <c r="G122" s="5"/>
    </row>
    <row r="123" spans="7:7">
      <c r="G123" s="5"/>
    </row>
    <row r="124" spans="7:7">
      <c r="G124" s="5"/>
    </row>
    <row r="125" spans="7:7">
      <c r="G125" s="5"/>
    </row>
    <row r="126" spans="7:7">
      <c r="G126" s="5"/>
    </row>
    <row r="127" spans="7:7">
      <c r="G127" s="5"/>
    </row>
    <row r="128" spans="7:7">
      <c r="G128" s="5"/>
    </row>
    <row r="129" spans="7:7">
      <c r="G129" s="5"/>
    </row>
    <row r="130" spans="7:7">
      <c r="G130" s="5"/>
    </row>
    <row r="131" spans="7:7">
      <c r="G131" s="5"/>
    </row>
    <row r="132" spans="7:7">
      <c r="G132" s="5"/>
    </row>
    <row r="133" spans="7:7">
      <c r="G133" s="5"/>
    </row>
    <row r="134" spans="7:7">
      <c r="G134" s="5"/>
    </row>
    <row r="135" spans="7:7">
      <c r="G135" s="5"/>
    </row>
    <row r="136" spans="7:7">
      <c r="G136" s="5"/>
    </row>
    <row r="137" spans="7:7">
      <c r="G137" s="5"/>
    </row>
    <row r="138" spans="7:7">
      <c r="G138" s="5"/>
    </row>
    <row r="139" spans="7:7">
      <c r="G139" s="5"/>
    </row>
    <row r="140" spans="7:7">
      <c r="G140" s="5"/>
    </row>
    <row r="141" spans="7:7">
      <c r="G141" s="5"/>
    </row>
    <row r="142" spans="7:7">
      <c r="G142" s="5"/>
    </row>
    <row r="143" spans="7:7">
      <c r="G143" s="5"/>
    </row>
    <row r="144" spans="7:7">
      <c r="G144" s="5"/>
    </row>
    <row r="145" spans="7:7">
      <c r="G145" s="5"/>
    </row>
    <row r="146" spans="7:7">
      <c r="G146" s="5"/>
    </row>
    <row r="147" spans="7:7">
      <c r="G147" s="5"/>
    </row>
    <row r="148" spans="7:7">
      <c r="G148" s="5"/>
    </row>
    <row r="149" spans="7:7">
      <c r="G149" s="5"/>
    </row>
    <row r="150" spans="7:7">
      <c r="G150" s="5"/>
    </row>
    <row r="151" spans="7:7">
      <c r="G151" s="5"/>
    </row>
    <row r="152" spans="7:7">
      <c r="G152" s="5"/>
    </row>
    <row r="153" spans="7:7">
      <c r="G153" s="5"/>
    </row>
    <row r="154" spans="7:7">
      <c r="G154" s="5"/>
    </row>
    <row r="155" spans="7:7">
      <c r="G155" s="5"/>
    </row>
    <row r="156" spans="7:7">
      <c r="G156" s="5"/>
    </row>
    <row r="157" spans="7:7">
      <c r="G157" s="5"/>
    </row>
    <row r="158" spans="7:7">
      <c r="G158" s="5"/>
    </row>
    <row r="159" spans="7:7">
      <c r="G159" s="5"/>
    </row>
    <row r="160" spans="7:7">
      <c r="G160" s="5"/>
    </row>
    <row r="161" spans="1:7">
      <c r="G161" s="5"/>
    </row>
    <row r="162" spans="1:7">
      <c r="G162" s="5"/>
    </row>
    <row r="163" spans="1:7">
      <c r="G163" s="5"/>
    </row>
    <row r="164" spans="1:7">
      <c r="G164" s="5"/>
    </row>
    <row r="165" spans="1:7">
      <c r="G165" s="5"/>
    </row>
    <row r="166" spans="1:7">
      <c r="G166" s="5"/>
    </row>
    <row r="167" spans="1:7">
      <c r="G167" s="5"/>
    </row>
    <row r="169" spans="1:7">
      <c r="C169" s="5">
        <f>A86</f>
        <v>0</v>
      </c>
    </row>
    <row r="170" spans="1:7">
      <c r="C170" s="5" t="s">
        <v>282</v>
      </c>
      <c r="D170" s="5" t="s">
        <v>283</v>
      </c>
    </row>
    <row r="171" spans="1:7">
      <c r="A171" s="5" t="s">
        <v>280</v>
      </c>
      <c r="B171" s="5">
        <f>IFERROR(E171/$B$88,0)</f>
        <v>0</v>
      </c>
      <c r="C171" s="5">
        <f>IFERROR(E171/$B$87,0)</f>
        <v>0</v>
      </c>
      <c r="E171" s="5">
        <f>E94</f>
        <v>0</v>
      </c>
    </row>
    <row r="172" spans="1:7">
      <c r="A172" s="150" t="s">
        <v>281</v>
      </c>
      <c r="B172" s="150"/>
      <c r="C172" s="150"/>
      <c r="D172" s="294">
        <f>IFERROR(E172/$B$154,0)</f>
        <v>0</v>
      </c>
      <c r="E172" s="150">
        <f>E154</f>
        <v>0</v>
      </c>
    </row>
    <row r="173" spans="1:7">
      <c r="E173" s="5">
        <f>SUM(E171:E172)</f>
        <v>0</v>
      </c>
    </row>
    <row r="175" spans="1:7">
      <c r="G175" s="5"/>
    </row>
    <row r="176" spans="1:7">
      <c r="G176" s="5"/>
    </row>
    <row r="177" spans="7:7">
      <c r="G177" s="5"/>
    </row>
    <row r="178" spans="7:7">
      <c r="G178" s="5"/>
    </row>
    <row r="179" spans="7:7">
      <c r="G179" s="5"/>
    </row>
    <row r="180" spans="7:7">
      <c r="G180" s="5"/>
    </row>
    <row r="181" spans="7:7">
      <c r="G181" s="5"/>
    </row>
    <row r="182" spans="7:7">
      <c r="G182" s="5"/>
    </row>
    <row r="183" spans="7:7">
      <c r="G183" s="5"/>
    </row>
    <row r="184" spans="7:7">
      <c r="G184" s="5"/>
    </row>
    <row r="185" spans="7:7">
      <c r="G185" s="5"/>
    </row>
    <row r="186" spans="7:7">
      <c r="G186" s="5"/>
    </row>
    <row r="187" spans="7:7">
      <c r="G187" s="5"/>
    </row>
    <row r="188" spans="7:7">
      <c r="G188" s="5"/>
    </row>
    <row r="189" spans="7:7">
      <c r="G189" s="5"/>
    </row>
    <row r="190" spans="7:7">
      <c r="G190" s="5"/>
    </row>
    <row r="191" spans="7:7">
      <c r="G191" s="5"/>
    </row>
    <row r="192" spans="7:7">
      <c r="G192" s="5"/>
    </row>
    <row r="193" spans="7:7">
      <c r="G193" s="5"/>
    </row>
    <row r="194" spans="7:7">
      <c r="G194" s="5"/>
    </row>
    <row r="195" spans="7:7">
      <c r="G195" s="5"/>
    </row>
    <row r="196" spans="7:7">
      <c r="G196" s="5"/>
    </row>
    <row r="197" spans="7:7">
      <c r="G197" s="5"/>
    </row>
    <row r="198" spans="7:7">
      <c r="G198" s="5"/>
    </row>
    <row r="199" spans="7:7">
      <c r="G199" s="5"/>
    </row>
    <row r="200" spans="7:7">
      <c r="G200" s="5"/>
    </row>
    <row r="201" spans="7:7">
      <c r="G201" s="5"/>
    </row>
    <row r="202" spans="7:7">
      <c r="G202" s="5"/>
    </row>
    <row r="203" spans="7:7">
      <c r="G203" s="5"/>
    </row>
    <row r="204" spans="7:7">
      <c r="G204" s="5"/>
    </row>
    <row r="205" spans="7:7">
      <c r="G205" s="5"/>
    </row>
    <row r="206" spans="7:7">
      <c r="G206" s="5"/>
    </row>
    <row r="207" spans="7:7">
      <c r="G207" s="5"/>
    </row>
    <row r="208" spans="7:7">
      <c r="G208" s="5"/>
    </row>
    <row r="209" spans="7:7">
      <c r="G209" s="5"/>
    </row>
    <row r="210" spans="7:7">
      <c r="G210" s="5"/>
    </row>
    <row r="211" spans="7:7">
      <c r="G211" s="5"/>
    </row>
    <row r="212" spans="7:7">
      <c r="G212" s="5"/>
    </row>
    <row r="213" spans="7:7">
      <c r="G213" s="5"/>
    </row>
    <row r="214" spans="7:7">
      <c r="G214" s="5"/>
    </row>
    <row r="215" spans="7:7">
      <c r="G215" s="5"/>
    </row>
    <row r="216" spans="7:7">
      <c r="G216" s="5"/>
    </row>
    <row r="217" spans="7:7">
      <c r="G217" s="5"/>
    </row>
    <row r="218" spans="7:7">
      <c r="G218" s="5"/>
    </row>
    <row r="219" spans="7:7">
      <c r="G219" s="5"/>
    </row>
    <row r="220" spans="7:7">
      <c r="G220" s="5"/>
    </row>
    <row r="221" spans="7:7">
      <c r="G221" s="5"/>
    </row>
    <row r="222" spans="7:7">
      <c r="G222" s="5"/>
    </row>
    <row r="223" spans="7:7">
      <c r="G223" s="5"/>
    </row>
    <row r="224" spans="7:7">
      <c r="G224" s="5"/>
    </row>
    <row r="225" spans="7:7">
      <c r="G225" s="5"/>
    </row>
    <row r="226" spans="7:7">
      <c r="G226" s="5"/>
    </row>
    <row r="227" spans="7:7">
      <c r="G227" s="5"/>
    </row>
    <row r="228" spans="7:7">
      <c r="G228" s="5"/>
    </row>
    <row r="229" spans="7:7">
      <c r="G229" s="5"/>
    </row>
    <row r="230" spans="7:7">
      <c r="G230" s="5"/>
    </row>
    <row r="231" spans="7:7">
      <c r="G231" s="5"/>
    </row>
    <row r="232" spans="7:7">
      <c r="G232" s="5"/>
    </row>
    <row r="233" spans="7:7">
      <c r="G233" s="5"/>
    </row>
    <row r="234" spans="7:7">
      <c r="G234" s="5"/>
    </row>
    <row r="235" spans="7:7">
      <c r="G235" s="5"/>
    </row>
    <row r="236" spans="7:7">
      <c r="G236" s="5"/>
    </row>
    <row r="237" spans="7:7">
      <c r="G237" s="5"/>
    </row>
    <row r="238" spans="7:7">
      <c r="G238" s="5"/>
    </row>
    <row r="239" spans="7:7">
      <c r="G239" s="5"/>
    </row>
    <row r="240" spans="7:7">
      <c r="G240" s="5"/>
    </row>
    <row r="241" spans="7:7">
      <c r="G241" s="5"/>
    </row>
    <row r="242" spans="7:7">
      <c r="G242" s="5"/>
    </row>
    <row r="243" spans="7:7">
      <c r="G243" s="5"/>
    </row>
    <row r="244" spans="7:7">
      <c r="G244" s="5"/>
    </row>
    <row r="245" spans="7:7">
      <c r="G245" s="5"/>
    </row>
    <row r="246" spans="7:7">
      <c r="G246" s="5"/>
    </row>
    <row r="247" spans="7:7">
      <c r="G247" s="5"/>
    </row>
    <row r="248" spans="7:7">
      <c r="G248" s="5"/>
    </row>
    <row r="249" spans="7:7">
      <c r="G249" s="5"/>
    </row>
    <row r="250" spans="7:7">
      <c r="G250" s="5"/>
    </row>
    <row r="251" spans="7:7">
      <c r="G251" s="5"/>
    </row>
    <row r="252" spans="7:7">
      <c r="G252" s="5"/>
    </row>
    <row r="253" spans="7:7">
      <c r="G253" s="5"/>
    </row>
    <row r="254" spans="7:7">
      <c r="G254" s="5"/>
    </row>
    <row r="255" spans="7:7">
      <c r="G255" s="5"/>
    </row>
    <row r="256" spans="7:7">
      <c r="G256" s="5"/>
    </row>
    <row r="257" spans="7:7">
      <c r="G257" s="5"/>
    </row>
    <row r="258" spans="7:7">
      <c r="G258" s="5"/>
    </row>
    <row r="259" spans="7:7">
      <c r="G259" s="5"/>
    </row>
    <row r="260" spans="7:7">
      <c r="G260" s="5"/>
    </row>
    <row r="261" spans="7:7">
      <c r="G261" s="5"/>
    </row>
    <row r="262" spans="7:7">
      <c r="G262" s="5"/>
    </row>
    <row r="263" spans="7:7">
      <c r="G263" s="5"/>
    </row>
    <row r="264" spans="7:7">
      <c r="G264" s="5"/>
    </row>
    <row r="265" spans="7:7">
      <c r="G265" s="5"/>
    </row>
    <row r="266" spans="7:7">
      <c r="G266" s="5"/>
    </row>
    <row r="267" spans="7:7">
      <c r="G267" s="5"/>
    </row>
    <row r="268" spans="7:7">
      <c r="G268" s="5"/>
    </row>
    <row r="269" spans="7:7">
      <c r="G269" s="5"/>
    </row>
    <row r="270" spans="7:7">
      <c r="G270" s="5"/>
    </row>
    <row r="271" spans="7:7">
      <c r="G271" s="5"/>
    </row>
    <row r="272" spans="7:7">
      <c r="G272" s="5"/>
    </row>
    <row r="273" spans="7:7">
      <c r="G273" s="5"/>
    </row>
    <row r="274" spans="7:7">
      <c r="G274" s="5"/>
    </row>
    <row r="275" spans="7:7">
      <c r="G275" s="5"/>
    </row>
    <row r="276" spans="7:7">
      <c r="G276" s="5"/>
    </row>
    <row r="277" spans="7:7">
      <c r="G277" s="5"/>
    </row>
    <row r="278" spans="7:7">
      <c r="G278" s="5"/>
    </row>
    <row r="279" spans="7:7">
      <c r="G279" s="5"/>
    </row>
    <row r="280" spans="7:7">
      <c r="G280" s="5"/>
    </row>
    <row r="281" spans="7:7">
      <c r="G281" s="5"/>
    </row>
    <row r="282" spans="7:7">
      <c r="G282" s="5"/>
    </row>
    <row r="283" spans="7:7">
      <c r="G283" s="5"/>
    </row>
    <row r="284" spans="7:7">
      <c r="G284" s="5"/>
    </row>
    <row r="285" spans="7:7">
      <c r="G285" s="5"/>
    </row>
    <row r="286" spans="7:7">
      <c r="G286" s="5"/>
    </row>
    <row r="287" spans="7:7">
      <c r="G287" s="5"/>
    </row>
    <row r="288" spans="7:7">
      <c r="G288" s="5"/>
    </row>
    <row r="289" spans="7:7">
      <c r="G289" s="5"/>
    </row>
    <row r="290" spans="7:7">
      <c r="G290" s="5"/>
    </row>
    <row r="291" spans="7:7">
      <c r="G291" s="5"/>
    </row>
    <row r="292" spans="7:7">
      <c r="G292" s="5"/>
    </row>
    <row r="293" spans="7:7">
      <c r="G293" s="5"/>
    </row>
    <row r="294" spans="7:7">
      <c r="G294" s="5"/>
    </row>
    <row r="295" spans="7:7">
      <c r="G295" s="5"/>
    </row>
    <row r="296" spans="7:7">
      <c r="G296" s="5"/>
    </row>
    <row r="297" spans="7:7">
      <c r="G297" s="5"/>
    </row>
    <row r="298" spans="7:7">
      <c r="G298" s="5"/>
    </row>
    <row r="299" spans="7:7">
      <c r="G299" s="5"/>
    </row>
    <row r="300" spans="7:7">
      <c r="G300" s="5"/>
    </row>
    <row r="301" spans="7:7">
      <c r="G301" s="5"/>
    </row>
    <row r="302" spans="7:7">
      <c r="G302" s="5"/>
    </row>
    <row r="303" spans="7:7">
      <c r="G303" s="5"/>
    </row>
    <row r="304" spans="7:7">
      <c r="G304" s="5"/>
    </row>
    <row r="305" spans="7:7">
      <c r="G305" s="5"/>
    </row>
    <row r="306" spans="7:7">
      <c r="G306" s="5"/>
    </row>
    <row r="307" spans="7:7">
      <c r="G307" s="5"/>
    </row>
    <row r="308" spans="7:7">
      <c r="G308" s="5"/>
    </row>
    <row r="309" spans="7:7">
      <c r="G309" s="5"/>
    </row>
    <row r="310" spans="7:7">
      <c r="G310" s="5"/>
    </row>
    <row r="311" spans="7:7">
      <c r="G311" s="5"/>
    </row>
    <row r="312" spans="7:7">
      <c r="G312" s="5"/>
    </row>
    <row r="313" spans="7:7">
      <c r="G313" s="5"/>
    </row>
    <row r="314" spans="7:7">
      <c r="G314" s="5"/>
    </row>
    <row r="315" spans="7:7">
      <c r="G315" s="5"/>
    </row>
    <row r="316" spans="7:7">
      <c r="G316" s="5"/>
    </row>
    <row r="317" spans="7:7">
      <c r="G317" s="5"/>
    </row>
    <row r="318" spans="7:7">
      <c r="G318" s="5"/>
    </row>
    <row r="319" spans="7:7">
      <c r="G319" s="5"/>
    </row>
    <row r="320" spans="7:7">
      <c r="G320" s="5"/>
    </row>
    <row r="321" spans="7:7">
      <c r="G321" s="5"/>
    </row>
    <row r="322" spans="7:7">
      <c r="G322" s="5"/>
    </row>
    <row r="323" spans="7:7">
      <c r="G323" s="5"/>
    </row>
    <row r="324" spans="7:7">
      <c r="G324" s="5"/>
    </row>
    <row r="325" spans="7:7">
      <c r="G325" s="5"/>
    </row>
    <row r="326" spans="7:7">
      <c r="G326" s="5"/>
    </row>
    <row r="327" spans="7:7">
      <c r="G327" s="5"/>
    </row>
    <row r="328" spans="7:7">
      <c r="G328" s="5"/>
    </row>
    <row r="329" spans="7:7">
      <c r="G329" s="5"/>
    </row>
    <row r="330" spans="7:7">
      <c r="G330" s="5"/>
    </row>
    <row r="331" spans="7:7">
      <c r="G331" s="5"/>
    </row>
    <row r="332" spans="7:7">
      <c r="G332" s="5"/>
    </row>
    <row r="333" spans="7:7">
      <c r="G333" s="5"/>
    </row>
    <row r="334" spans="7:7">
      <c r="G334" s="5"/>
    </row>
    <row r="335" spans="7:7">
      <c r="G335" s="5"/>
    </row>
    <row r="336" spans="7:7">
      <c r="G336" s="5"/>
    </row>
    <row r="337" spans="7:7">
      <c r="G337" s="5"/>
    </row>
    <row r="338" spans="7:7">
      <c r="G338" s="5"/>
    </row>
    <row r="339" spans="7:7">
      <c r="G339" s="5"/>
    </row>
    <row r="340" spans="7:7">
      <c r="G340" s="5"/>
    </row>
    <row r="341" spans="7:7">
      <c r="G341" s="5"/>
    </row>
    <row r="342" spans="7:7">
      <c r="G342" s="5"/>
    </row>
    <row r="343" spans="7:7">
      <c r="G343" s="5"/>
    </row>
    <row r="344" spans="7:7">
      <c r="G344" s="5"/>
    </row>
    <row r="345" spans="7:7">
      <c r="G345" s="5"/>
    </row>
    <row r="346" spans="7:7">
      <c r="G346" s="5"/>
    </row>
    <row r="347" spans="7:7">
      <c r="G347" s="5"/>
    </row>
    <row r="348" spans="7:7">
      <c r="G348" s="5"/>
    </row>
    <row r="349" spans="7:7">
      <c r="G349" s="5"/>
    </row>
    <row r="350" spans="7:7">
      <c r="G350" s="5"/>
    </row>
    <row r="351" spans="7:7">
      <c r="G351" s="5"/>
    </row>
    <row r="352" spans="7:7">
      <c r="G352" s="5"/>
    </row>
    <row r="353" spans="7:7">
      <c r="G353" s="5"/>
    </row>
    <row r="354" spans="7:7">
      <c r="G354" s="5"/>
    </row>
    <row r="355" spans="7:7">
      <c r="G355" s="5"/>
    </row>
    <row r="356" spans="7:7">
      <c r="G356" s="5"/>
    </row>
    <row r="357" spans="7:7">
      <c r="G357" s="5"/>
    </row>
    <row r="358" spans="7:7">
      <c r="G358" s="5"/>
    </row>
    <row r="359" spans="7:7">
      <c r="G359" s="5"/>
    </row>
    <row r="360" spans="7:7">
      <c r="G360" s="5"/>
    </row>
    <row r="361" spans="7:7">
      <c r="G361" s="5"/>
    </row>
    <row r="362" spans="7:7">
      <c r="G362" s="5"/>
    </row>
    <row r="363" spans="7:7">
      <c r="G363" s="5"/>
    </row>
    <row r="364" spans="7:7">
      <c r="G364" s="5"/>
    </row>
    <row r="365" spans="7:7">
      <c r="G365" s="5"/>
    </row>
    <row r="366" spans="7:7">
      <c r="G366" s="5"/>
    </row>
    <row r="367" spans="7:7">
      <c r="G367" s="5"/>
    </row>
    <row r="368" spans="7:7">
      <c r="G368" s="5"/>
    </row>
    <row r="369" spans="7:7">
      <c r="G369" s="5"/>
    </row>
    <row r="370" spans="7:7">
      <c r="G370" s="5"/>
    </row>
    <row r="371" spans="7:7">
      <c r="G371" s="5"/>
    </row>
    <row r="372" spans="7:7">
      <c r="G372" s="5"/>
    </row>
    <row r="373" spans="7:7">
      <c r="G373" s="5"/>
    </row>
    <row r="374" spans="7:7">
      <c r="G374" s="5"/>
    </row>
    <row r="375" spans="7:7">
      <c r="G375" s="5"/>
    </row>
    <row r="376" spans="7:7">
      <c r="G376" s="5"/>
    </row>
    <row r="377" spans="7:7">
      <c r="G377" s="5"/>
    </row>
    <row r="378" spans="7:7">
      <c r="G378" s="5"/>
    </row>
    <row r="379" spans="7:7">
      <c r="G379" s="5"/>
    </row>
    <row r="380" spans="7:7">
      <c r="G380" s="5"/>
    </row>
    <row r="381" spans="7:7">
      <c r="G381" s="5"/>
    </row>
    <row r="382" spans="7:7">
      <c r="G382" s="5"/>
    </row>
    <row r="383" spans="7:7">
      <c r="G383" s="5"/>
    </row>
    <row r="384" spans="7:7">
      <c r="G384" s="5"/>
    </row>
    <row r="385" spans="7:7">
      <c r="G385" s="5"/>
    </row>
    <row r="386" spans="7:7">
      <c r="G386" s="5"/>
    </row>
    <row r="387" spans="7:7">
      <c r="G387" s="5"/>
    </row>
    <row r="388" spans="7:7">
      <c r="G388" s="5"/>
    </row>
    <row r="389" spans="7:7">
      <c r="G389" s="5"/>
    </row>
    <row r="390" spans="7:7">
      <c r="G390" s="5"/>
    </row>
    <row r="391" spans="7:7">
      <c r="G391" s="5"/>
    </row>
    <row r="392" spans="7:7">
      <c r="G392" s="5"/>
    </row>
    <row r="393" spans="7:7">
      <c r="G393" s="5"/>
    </row>
    <row r="394" spans="7:7">
      <c r="G394" s="5"/>
    </row>
    <row r="395" spans="7:7">
      <c r="G395" s="5"/>
    </row>
    <row r="396" spans="7:7">
      <c r="G396" s="5"/>
    </row>
    <row r="397" spans="7:7">
      <c r="G397" s="5"/>
    </row>
    <row r="398" spans="7:7">
      <c r="G398" s="5"/>
    </row>
    <row r="399" spans="7:7">
      <c r="G399" s="5"/>
    </row>
    <row r="400" spans="7:7">
      <c r="G400" s="5"/>
    </row>
    <row r="401" spans="7:7">
      <c r="G401" s="5"/>
    </row>
    <row r="402" spans="7:7">
      <c r="G402" s="5"/>
    </row>
    <row r="403" spans="7:7">
      <c r="G403" s="5"/>
    </row>
    <row r="404" spans="7:7">
      <c r="G404" s="5"/>
    </row>
    <row r="405" spans="7:7">
      <c r="G405" s="5"/>
    </row>
    <row r="406" spans="7:7">
      <c r="G406" s="5"/>
    </row>
    <row r="407" spans="7:7">
      <c r="G407" s="5"/>
    </row>
    <row r="408" spans="7:7">
      <c r="G408" s="5"/>
    </row>
    <row r="409" spans="7:7">
      <c r="G409" s="5"/>
    </row>
    <row r="410" spans="7:7">
      <c r="G410" s="5"/>
    </row>
    <row r="411" spans="7:7">
      <c r="G411" s="5"/>
    </row>
    <row r="412" spans="7:7">
      <c r="G412" s="5"/>
    </row>
    <row r="413" spans="7:7">
      <c r="G413" s="5"/>
    </row>
    <row r="414" spans="7:7">
      <c r="G414" s="5"/>
    </row>
    <row r="415" spans="7:7">
      <c r="G415" s="5"/>
    </row>
    <row r="416" spans="7:7">
      <c r="G416" s="5"/>
    </row>
    <row r="417" spans="7:7">
      <c r="G417" s="5"/>
    </row>
    <row r="418" spans="7:7">
      <c r="G418" s="5"/>
    </row>
    <row r="419" spans="7:7">
      <c r="G419" s="5"/>
    </row>
    <row r="420" spans="7:7">
      <c r="G420" s="5"/>
    </row>
    <row r="421" spans="7:7">
      <c r="G421" s="5"/>
    </row>
    <row r="422" spans="7:7">
      <c r="G422" s="5"/>
    </row>
    <row r="423" spans="7:7">
      <c r="G423" s="5"/>
    </row>
    <row r="424" spans="7:7">
      <c r="G424" s="5"/>
    </row>
    <row r="425" spans="7:7">
      <c r="G425" s="5"/>
    </row>
    <row r="426" spans="7:7">
      <c r="G426" s="5"/>
    </row>
    <row r="427" spans="7:7">
      <c r="G427" s="5"/>
    </row>
    <row r="428" spans="7:7">
      <c r="G428" s="5"/>
    </row>
    <row r="429" spans="7:7">
      <c r="G429" s="5"/>
    </row>
    <row r="430" spans="7:7">
      <c r="G430" s="5"/>
    </row>
    <row r="431" spans="7:7">
      <c r="G431" s="5"/>
    </row>
    <row r="432" spans="7:7">
      <c r="G432" s="5"/>
    </row>
    <row r="433" spans="7:7">
      <c r="G433" s="5"/>
    </row>
    <row r="434" spans="7:7">
      <c r="G434" s="5"/>
    </row>
    <row r="435" spans="7:7">
      <c r="G435" s="5"/>
    </row>
    <row r="436" spans="7:7">
      <c r="G436" s="5"/>
    </row>
    <row r="437" spans="7:7">
      <c r="G437" s="5"/>
    </row>
    <row r="438" spans="7:7">
      <c r="G438" s="5"/>
    </row>
    <row r="439" spans="7:7">
      <c r="G439" s="5"/>
    </row>
    <row r="440" spans="7:7">
      <c r="G440" s="5"/>
    </row>
    <row r="441" spans="7:7">
      <c r="G441" s="5"/>
    </row>
    <row r="442" spans="7:7">
      <c r="G442" s="5"/>
    </row>
    <row r="443" spans="7:7">
      <c r="G443" s="5"/>
    </row>
    <row r="444" spans="7:7">
      <c r="G444" s="5"/>
    </row>
    <row r="445" spans="7:7">
      <c r="G445" s="5"/>
    </row>
    <row r="446" spans="7:7">
      <c r="G446" s="5"/>
    </row>
    <row r="447" spans="7:7">
      <c r="G447" s="5"/>
    </row>
    <row r="448" spans="7:7">
      <c r="G448" s="5"/>
    </row>
    <row r="449" spans="7:7">
      <c r="G449" s="5"/>
    </row>
    <row r="450" spans="7:7">
      <c r="G450" s="5"/>
    </row>
    <row r="451" spans="7:7">
      <c r="G451" s="5"/>
    </row>
    <row r="452" spans="7:7">
      <c r="G452" s="5"/>
    </row>
    <row r="453" spans="7:7">
      <c r="G453" s="5"/>
    </row>
    <row r="454" spans="7:7">
      <c r="G454" s="5"/>
    </row>
    <row r="455" spans="7:7">
      <c r="G455" s="5"/>
    </row>
    <row r="456" spans="7:7">
      <c r="G456" s="5"/>
    </row>
    <row r="457" spans="7:7">
      <c r="G457" s="5"/>
    </row>
    <row r="458" spans="7:7">
      <c r="G458" s="5"/>
    </row>
    <row r="459" spans="7:7">
      <c r="G459" s="5"/>
    </row>
    <row r="460" spans="7:7">
      <c r="G460" s="5"/>
    </row>
    <row r="461" spans="7:7">
      <c r="G461" s="5"/>
    </row>
    <row r="462" spans="7:7">
      <c r="G462" s="5"/>
    </row>
    <row r="463" spans="7:7">
      <c r="G463" s="5"/>
    </row>
    <row r="464" spans="7:7">
      <c r="G464" s="5"/>
    </row>
    <row r="465" spans="7:7">
      <c r="G465" s="5"/>
    </row>
    <row r="466" spans="7:7">
      <c r="G466" s="5"/>
    </row>
    <row r="467" spans="7:7">
      <c r="G467" s="5"/>
    </row>
    <row r="468" spans="7:7">
      <c r="G468" s="5"/>
    </row>
    <row r="469" spans="7:7">
      <c r="G469" s="5"/>
    </row>
    <row r="470" spans="7:7">
      <c r="G470" s="5"/>
    </row>
    <row r="471" spans="7:7">
      <c r="G471" s="5"/>
    </row>
    <row r="472" spans="7:7">
      <c r="G472" s="5"/>
    </row>
    <row r="473" spans="7:7">
      <c r="G473" s="5"/>
    </row>
    <row r="474" spans="7:7">
      <c r="G474" s="5"/>
    </row>
    <row r="475" spans="7:7">
      <c r="G475" s="5"/>
    </row>
    <row r="476" spans="7:7">
      <c r="G476" s="5"/>
    </row>
    <row r="477" spans="7:7">
      <c r="G477" s="5"/>
    </row>
    <row r="478" spans="7:7">
      <c r="G478" s="5"/>
    </row>
    <row r="479" spans="7:7">
      <c r="G479" s="5"/>
    </row>
    <row r="480" spans="7:7">
      <c r="G480" s="5"/>
    </row>
    <row r="481" spans="7:7">
      <c r="G481" s="5"/>
    </row>
    <row r="482" spans="7:7">
      <c r="G482" s="5"/>
    </row>
    <row r="483" spans="7:7">
      <c r="G483" s="5"/>
    </row>
    <row r="484" spans="7:7">
      <c r="G484" s="5"/>
    </row>
    <row r="485" spans="7:7">
      <c r="G485" s="5"/>
    </row>
    <row r="486" spans="7:7">
      <c r="G486" s="5"/>
    </row>
    <row r="487" spans="7:7">
      <c r="G487" s="5"/>
    </row>
    <row r="488" spans="7:7">
      <c r="G488" s="5"/>
    </row>
    <row r="489" spans="7:7">
      <c r="G489" s="5"/>
    </row>
    <row r="490" spans="7:7">
      <c r="G490" s="5"/>
    </row>
    <row r="491" spans="7:7">
      <c r="G491" s="5"/>
    </row>
    <row r="492" spans="7:7">
      <c r="G492" s="5"/>
    </row>
    <row r="493" spans="7:7">
      <c r="G493" s="5"/>
    </row>
    <row r="494" spans="7:7">
      <c r="G494" s="5"/>
    </row>
    <row r="495" spans="7:7">
      <c r="G495" s="5"/>
    </row>
    <row r="496" spans="7:7">
      <c r="G496" s="5"/>
    </row>
    <row r="497" spans="7:7">
      <c r="G497" s="5"/>
    </row>
    <row r="498" spans="7:7">
      <c r="G498" s="5"/>
    </row>
    <row r="499" spans="7:7">
      <c r="G499" s="5"/>
    </row>
    <row r="500" spans="7:7">
      <c r="G500" s="5"/>
    </row>
    <row r="501" spans="7:7">
      <c r="G501" s="5"/>
    </row>
    <row r="502" spans="7:7">
      <c r="G502" s="5"/>
    </row>
    <row r="503" spans="7:7">
      <c r="G503" s="5"/>
    </row>
    <row r="504" spans="7:7">
      <c r="G504" s="5"/>
    </row>
    <row r="505" spans="7:7">
      <c r="G505" s="5"/>
    </row>
    <row r="506" spans="7:7">
      <c r="G506" s="5"/>
    </row>
    <row r="507" spans="7:7">
      <c r="G507" s="5"/>
    </row>
    <row r="508" spans="7:7">
      <c r="G508" s="5"/>
    </row>
    <row r="509" spans="7:7">
      <c r="G509" s="5"/>
    </row>
    <row r="510" spans="7:7">
      <c r="G510" s="5"/>
    </row>
    <row r="511" spans="7:7">
      <c r="G511" s="5"/>
    </row>
    <row r="512" spans="7:7">
      <c r="G512" s="5"/>
    </row>
    <row r="513" spans="7:7">
      <c r="G513" s="5"/>
    </row>
    <row r="514" spans="7:7">
      <c r="G514" s="5"/>
    </row>
    <row r="515" spans="7:7">
      <c r="G515" s="5"/>
    </row>
    <row r="516" spans="7:7">
      <c r="G516" s="5"/>
    </row>
    <row r="517" spans="7:7">
      <c r="G517" s="5"/>
    </row>
    <row r="518" spans="7:7">
      <c r="G518" s="5"/>
    </row>
    <row r="519" spans="7:7">
      <c r="G519" s="5"/>
    </row>
    <row r="520" spans="7:7">
      <c r="G520" s="5"/>
    </row>
    <row r="521" spans="7:7">
      <c r="G521" s="5"/>
    </row>
    <row r="522" spans="7:7">
      <c r="G522" s="5"/>
    </row>
    <row r="523" spans="7:7">
      <c r="G523" s="5"/>
    </row>
    <row r="524" spans="7:7">
      <c r="G524" s="5"/>
    </row>
    <row r="525" spans="7:7">
      <c r="G525" s="5"/>
    </row>
    <row r="526" spans="7:7">
      <c r="G526" s="5"/>
    </row>
    <row r="527" spans="7:7">
      <c r="G527" s="5"/>
    </row>
    <row r="528" spans="7:7">
      <c r="G528" s="5"/>
    </row>
    <row r="529" spans="7:7">
      <c r="G529" s="5"/>
    </row>
    <row r="530" spans="7:7">
      <c r="G530" s="5"/>
    </row>
    <row r="531" spans="7:7">
      <c r="G531" s="5"/>
    </row>
    <row r="532" spans="7:7">
      <c r="G532" s="5"/>
    </row>
    <row r="533" spans="7:7">
      <c r="G533" s="5"/>
    </row>
    <row r="534" spans="7:7">
      <c r="G534" s="5"/>
    </row>
    <row r="535" spans="7:7">
      <c r="G535" s="5"/>
    </row>
    <row r="536" spans="7:7">
      <c r="G536" s="5"/>
    </row>
    <row r="537" spans="7:7">
      <c r="G537" s="5"/>
    </row>
    <row r="538" spans="7:7">
      <c r="G538" s="5"/>
    </row>
    <row r="539" spans="7:7">
      <c r="G539" s="5"/>
    </row>
    <row r="540" spans="7:7">
      <c r="G540" s="5"/>
    </row>
    <row r="541" spans="7:7">
      <c r="G541" s="5"/>
    </row>
    <row r="542" spans="7:7">
      <c r="G542" s="5"/>
    </row>
    <row r="543" spans="7:7">
      <c r="G543" s="5"/>
    </row>
    <row r="544" spans="7:7">
      <c r="G544" s="5"/>
    </row>
    <row r="545" spans="7:7">
      <c r="G545" s="5"/>
    </row>
    <row r="546" spans="7:7">
      <c r="G546" s="5"/>
    </row>
    <row r="547" spans="7:7">
      <c r="G547" s="5"/>
    </row>
    <row r="548" spans="7:7">
      <c r="G548" s="5"/>
    </row>
    <row r="549" spans="7:7">
      <c r="G549" s="5"/>
    </row>
    <row r="550" spans="7:7">
      <c r="G550" s="5"/>
    </row>
    <row r="551" spans="7:7">
      <c r="G551" s="5"/>
    </row>
    <row r="552" spans="7:7">
      <c r="G552" s="5"/>
    </row>
    <row r="553" spans="7:7">
      <c r="G553" s="5"/>
    </row>
    <row r="554" spans="7:7">
      <c r="G554" s="5"/>
    </row>
    <row r="555" spans="7:7">
      <c r="G555" s="5"/>
    </row>
    <row r="556" spans="7:7">
      <c r="G556" s="5"/>
    </row>
    <row r="557" spans="7:7">
      <c r="G557" s="5"/>
    </row>
    <row r="558" spans="7:7">
      <c r="G558" s="5"/>
    </row>
    <row r="559" spans="7:7">
      <c r="G559" s="5"/>
    </row>
    <row r="560" spans="7:7">
      <c r="G560" s="5"/>
    </row>
    <row r="561" spans="7:7">
      <c r="G561" s="5"/>
    </row>
    <row r="562" spans="7:7">
      <c r="G562" s="5"/>
    </row>
    <row r="563" spans="7:7">
      <c r="G563" s="5"/>
    </row>
    <row r="564" spans="7:7">
      <c r="G564" s="5"/>
    </row>
    <row r="565" spans="7:7">
      <c r="G565" s="5"/>
    </row>
    <row r="566" spans="7:7">
      <c r="G566" s="5"/>
    </row>
    <row r="567" spans="7:7">
      <c r="G567" s="5"/>
    </row>
    <row r="568" spans="7:7">
      <c r="G568" s="5"/>
    </row>
    <row r="569" spans="7:7">
      <c r="G569" s="5"/>
    </row>
    <row r="570" spans="7:7">
      <c r="G570" s="5"/>
    </row>
    <row r="571" spans="7:7">
      <c r="G571" s="5"/>
    </row>
    <row r="572" spans="7:7">
      <c r="G572" s="5"/>
    </row>
    <row r="573" spans="7:7">
      <c r="G573" s="5"/>
    </row>
    <row r="574" spans="7:7">
      <c r="G574" s="5"/>
    </row>
    <row r="575" spans="7:7">
      <c r="G575" s="5"/>
    </row>
    <row r="576" spans="7:7">
      <c r="G576" s="5"/>
    </row>
    <row r="577" spans="7:7">
      <c r="G577" s="5"/>
    </row>
    <row r="578" spans="7:7">
      <c r="G578" s="5"/>
    </row>
    <row r="579" spans="7:7">
      <c r="G579" s="5"/>
    </row>
    <row r="580" spans="7:7">
      <c r="G580" s="5"/>
    </row>
    <row r="581" spans="7:7">
      <c r="G581" s="5"/>
    </row>
    <row r="582" spans="7:7">
      <c r="G582" s="5"/>
    </row>
    <row r="583" spans="7:7">
      <c r="G583" s="5"/>
    </row>
    <row r="584" spans="7:7">
      <c r="G584" s="5"/>
    </row>
    <row r="585" spans="7:7">
      <c r="G585" s="5"/>
    </row>
    <row r="586" spans="7:7">
      <c r="G586" s="5"/>
    </row>
    <row r="587" spans="7:7">
      <c r="G587" s="5"/>
    </row>
    <row r="588" spans="7:7">
      <c r="G588" s="5"/>
    </row>
    <row r="589" spans="7:7">
      <c r="G589" s="5"/>
    </row>
    <row r="590" spans="7:7">
      <c r="G590" s="5"/>
    </row>
    <row r="591" spans="7:7">
      <c r="G591" s="5"/>
    </row>
    <row r="592" spans="7:7">
      <c r="G592" s="5"/>
    </row>
    <row r="593" spans="7:7">
      <c r="G593" s="5"/>
    </row>
    <row r="594" spans="7:7">
      <c r="G594" s="5"/>
    </row>
    <row r="595" spans="7:7">
      <c r="G595" s="5"/>
    </row>
    <row r="596" spans="7:7">
      <c r="G596" s="5"/>
    </row>
    <row r="597" spans="7:7">
      <c r="G597" s="5"/>
    </row>
    <row r="598" spans="7:7">
      <c r="G598" s="5"/>
    </row>
    <row r="599" spans="7:7">
      <c r="G599" s="5"/>
    </row>
    <row r="600" spans="7:7">
      <c r="G600" s="5"/>
    </row>
    <row r="601" spans="7:7">
      <c r="G601" s="5"/>
    </row>
    <row r="602" spans="7:7">
      <c r="G602" s="5"/>
    </row>
    <row r="603" spans="7:7">
      <c r="G603" s="5"/>
    </row>
    <row r="604" spans="7:7">
      <c r="G604" s="5"/>
    </row>
    <row r="605" spans="7:7">
      <c r="G605" s="5"/>
    </row>
    <row r="606" spans="7:7">
      <c r="G606" s="5"/>
    </row>
    <row r="607" spans="7:7">
      <c r="G607" s="5"/>
    </row>
    <row r="608" spans="7:7">
      <c r="G608" s="5"/>
    </row>
  </sheetData>
  <mergeCells count="4">
    <mergeCell ref="A1:A3"/>
    <mergeCell ref="AV2:AX2"/>
    <mergeCell ref="A33:B33"/>
    <mergeCell ref="A38:B38"/>
  </mergeCells>
  <conditionalFormatting sqref="E3:AU3">
    <cfRule type="cellIs" dxfId="55" priority="1" operator="equal">
      <formula>#REF!</formula>
    </cfRule>
    <cfRule type="cellIs" dxfId="54" priority="2" operator="equal">
      <formula>#REF!</formula>
    </cfRule>
    <cfRule type="cellIs" dxfId="53" priority="3" operator="equal">
      <formula>#REF!</formula>
    </cfRule>
    <cfRule type="cellIs" dxfId="52" priority="4" operator="equal">
      <formula>#REF!</formula>
    </cfRule>
  </conditionalFormatting>
  <conditionalFormatting sqref="AT4:AU4">
    <cfRule type="cellIs" dxfId="51" priority="5" operator="equal">
      <formula>#REF!</formula>
    </cfRule>
    <cfRule type="cellIs" dxfId="50" priority="6" operator="equal">
      <formula>#REF!</formula>
    </cfRule>
    <cfRule type="cellIs" dxfId="49" priority="7" operator="equal">
      <formula>#REF!</formula>
    </cfRule>
    <cfRule type="cellIs" dxfId="48" priority="8" operator="equal">
      <formula>#REF!</formula>
    </cfRule>
    <cfRule type="cellIs" dxfId="47" priority="9" operator="equal">
      <formula>#REF!</formula>
    </cfRule>
    <cfRule type="cellIs" dxfId="46" priority="10" operator="equal">
      <formula>#REF!</formula>
    </cfRule>
    <cfRule type="cellIs" dxfId="45" priority="11" operator="equal">
      <formula>#REF!</formula>
    </cfRule>
    <cfRule type="cellIs" dxfId="44" priority="12" operator="equal">
      <formula>#REF!</formula>
    </cfRule>
  </conditionalFormatting>
  <conditionalFormatting sqref="AV3:AX3">
    <cfRule type="cellIs" dxfId="43" priority="13" operator="equal">
      <formula>#REF!</formula>
    </cfRule>
    <cfRule type="cellIs" dxfId="42" priority="14" operator="equal">
      <formula>#REF!</formula>
    </cfRule>
    <cfRule type="cellIs" dxfId="41" priority="15" operator="equal">
      <formula>#REF!</formula>
    </cfRule>
    <cfRule type="cellIs" dxfId="40" priority="16" operator="equal">
      <formula>#REF!</formula>
    </cfRule>
  </conditionalFormatting>
  <pageMargins left="0.7" right="0.7" top="0.75" bottom="0.75" header="0.3" footer="0.3"/>
  <pageSetup paperSize="3" orientation="landscape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672F2C-E2E0-4252-85C5-77BC5457C24C}">
  <sheetPr>
    <tabColor rgb="FF0070C0"/>
  </sheetPr>
  <dimension ref="A1:BW566"/>
  <sheetViews>
    <sheetView zoomScale="99" zoomScaleNormal="100" zoomScalePageLayoutView="125" workbookViewId="0">
      <pane xSplit="1" ySplit="3" topLeftCell="B4" activePane="bottomRight" state="frozen"/>
      <selection pane="topRight" activeCell="B1" sqref="B1"/>
      <selection pane="bottomLeft" activeCell="A4" sqref="A4"/>
      <selection pane="bottomRight" activeCell="A11" sqref="A11"/>
    </sheetView>
  </sheetViews>
  <sheetFormatPr defaultColWidth="8.81640625" defaultRowHeight="14.5"/>
  <cols>
    <col min="1" max="1" width="35.453125" style="5" customWidth="1"/>
    <col min="2" max="2" width="16" style="5" bestFit="1" customWidth="1"/>
    <col min="3" max="6" width="13.81640625" style="5" customWidth="1"/>
    <col min="7" max="7" width="13.81640625" style="55" customWidth="1"/>
    <col min="8" max="27" width="13.81640625" style="5" customWidth="1"/>
    <col min="28" max="28" width="13.81640625" style="56" customWidth="1"/>
    <col min="29" max="30" width="13.81640625" style="5" customWidth="1"/>
    <col min="31" max="31" width="13.81640625" style="56" customWidth="1"/>
    <col min="32" max="34" width="13.81640625" style="5" customWidth="1"/>
    <col min="35" max="35" width="13.81640625" style="57" customWidth="1"/>
    <col min="36" max="47" width="13.81640625" style="5" customWidth="1"/>
    <col min="48" max="48" width="17" style="5" customWidth="1"/>
    <col min="49" max="71" width="17" customWidth="1"/>
    <col min="72" max="72" width="16.54296875" customWidth="1"/>
    <col min="73" max="73" width="15" customWidth="1"/>
    <col min="74" max="74" width="17.81640625" bestFit="1" customWidth="1"/>
    <col min="75" max="75" width="9.54296875" bestFit="1" customWidth="1"/>
    <col min="76" max="76" width="11.81640625" style="5" bestFit="1" customWidth="1"/>
    <col min="77" max="78" width="9.54296875" style="5" bestFit="1" customWidth="1"/>
    <col min="79" max="16384" width="8.81640625" style="5"/>
  </cols>
  <sheetData>
    <row r="1" spans="1:48">
      <c r="A1" s="759" t="s">
        <v>148</v>
      </c>
      <c r="G1" s="5"/>
      <c r="AB1"/>
      <c r="AC1"/>
      <c r="AD1"/>
      <c r="AE1"/>
      <c r="AI1" s="5"/>
    </row>
    <row r="2" spans="1:48">
      <c r="A2" s="759"/>
      <c r="G2" s="5"/>
      <c r="AB2"/>
      <c r="AC2"/>
      <c r="AD2"/>
      <c r="AE2"/>
      <c r="AI2" s="5"/>
      <c r="AV2" s="58" t="s">
        <v>62</v>
      </c>
    </row>
    <row r="3" spans="1:48" ht="15" thickBot="1">
      <c r="A3" s="760"/>
      <c r="B3" s="179" t="s">
        <v>149</v>
      </c>
      <c r="C3" s="182">
        <v>46023</v>
      </c>
      <c r="D3" s="102">
        <f>EOMONTH(C3,3)</f>
        <v>46142</v>
      </c>
      <c r="E3" s="102">
        <f t="shared" ref="E3:AT3" si="0">EOMONTH(D3,3)</f>
        <v>46234</v>
      </c>
      <c r="F3" s="102">
        <f t="shared" si="0"/>
        <v>46326</v>
      </c>
      <c r="G3" s="102">
        <f t="shared" si="0"/>
        <v>46418</v>
      </c>
      <c r="H3" s="102">
        <f t="shared" si="0"/>
        <v>46507</v>
      </c>
      <c r="I3" s="102">
        <f t="shared" si="0"/>
        <v>46599</v>
      </c>
      <c r="J3" s="102">
        <f t="shared" si="0"/>
        <v>46691</v>
      </c>
      <c r="K3" s="102">
        <f t="shared" si="0"/>
        <v>46783</v>
      </c>
      <c r="L3" s="102">
        <f t="shared" si="0"/>
        <v>46873</v>
      </c>
      <c r="M3" s="102">
        <f t="shared" si="0"/>
        <v>46965</v>
      </c>
      <c r="N3" s="102">
        <f t="shared" si="0"/>
        <v>47057</v>
      </c>
      <c r="O3" s="102">
        <f t="shared" si="0"/>
        <v>47149</v>
      </c>
      <c r="P3" s="102">
        <f t="shared" si="0"/>
        <v>47238</v>
      </c>
      <c r="Q3" s="102">
        <f t="shared" si="0"/>
        <v>47330</v>
      </c>
      <c r="R3" s="102">
        <f t="shared" si="0"/>
        <v>47422</v>
      </c>
      <c r="S3" s="102">
        <f t="shared" si="0"/>
        <v>47514</v>
      </c>
      <c r="T3" s="102">
        <f t="shared" si="0"/>
        <v>47603</v>
      </c>
      <c r="U3" s="102">
        <f t="shared" si="0"/>
        <v>47695</v>
      </c>
      <c r="V3" s="102">
        <f t="shared" si="0"/>
        <v>47787</v>
      </c>
      <c r="W3" s="102">
        <f t="shared" si="0"/>
        <v>47879</v>
      </c>
      <c r="X3" s="102">
        <f t="shared" si="0"/>
        <v>47968</v>
      </c>
      <c r="Y3" s="102">
        <f t="shared" si="0"/>
        <v>48060</v>
      </c>
      <c r="Z3" s="102">
        <f t="shared" si="0"/>
        <v>48152</v>
      </c>
      <c r="AA3" s="102">
        <f t="shared" si="0"/>
        <v>48244</v>
      </c>
      <c r="AB3" s="102">
        <f t="shared" si="0"/>
        <v>48334</v>
      </c>
      <c r="AC3" s="102">
        <f t="shared" si="0"/>
        <v>48426</v>
      </c>
      <c r="AD3" s="102">
        <f t="shared" si="0"/>
        <v>48518</v>
      </c>
      <c r="AE3" s="102">
        <f t="shared" si="0"/>
        <v>48610</v>
      </c>
      <c r="AF3" s="102">
        <f t="shared" si="0"/>
        <v>48699</v>
      </c>
      <c r="AG3" s="102">
        <f t="shared" si="0"/>
        <v>48791</v>
      </c>
      <c r="AH3" s="102">
        <f t="shared" si="0"/>
        <v>48883</v>
      </c>
      <c r="AI3" s="102">
        <f t="shared" si="0"/>
        <v>48975</v>
      </c>
      <c r="AJ3" s="102">
        <f t="shared" si="0"/>
        <v>49064</v>
      </c>
      <c r="AK3" s="102">
        <f t="shared" si="0"/>
        <v>49156</v>
      </c>
      <c r="AL3" s="102">
        <f t="shared" si="0"/>
        <v>49248</v>
      </c>
      <c r="AM3" s="102">
        <f t="shared" si="0"/>
        <v>49340</v>
      </c>
      <c r="AN3" s="102">
        <f>EOMONTH(AM3,3)</f>
        <v>49429</v>
      </c>
      <c r="AO3" s="102">
        <f t="shared" si="0"/>
        <v>49521</v>
      </c>
      <c r="AP3" s="102">
        <f t="shared" si="0"/>
        <v>49613</v>
      </c>
      <c r="AQ3" s="102">
        <f t="shared" si="0"/>
        <v>49705</v>
      </c>
      <c r="AR3" s="102">
        <f t="shared" si="0"/>
        <v>49795</v>
      </c>
      <c r="AS3" s="102">
        <f t="shared" si="0"/>
        <v>49887</v>
      </c>
      <c r="AT3" s="102">
        <f t="shared" si="0"/>
        <v>49979</v>
      </c>
      <c r="AU3" s="102">
        <v>50040</v>
      </c>
      <c r="AV3" s="133"/>
    </row>
    <row r="4" spans="1:48">
      <c r="A4" s="158" t="s">
        <v>164</v>
      </c>
      <c r="B4" s="142">
        <f ca="1">SUM(C4:AU4)</f>
        <v>628062761.82816184</v>
      </c>
      <c r="C4" s="142">
        <f ca="1">'I DRAW'!D35+'H DRAW'!D35+'G DRAW'!D35+'F DRAW'!D35+'E DRAW'!D35+'D DRAW'!D35+'C DRAW'!D35+'A DRAW'!D35+'B DRAW'!D35</f>
        <v>-2020662.7720000001</v>
      </c>
      <c r="D4" s="142">
        <f ca="1">'I DRAW'!E35+'H DRAW'!E35+'G DRAW'!E35+'F DRAW'!E35+'E DRAW'!E35+'D DRAW'!E35+'C DRAW'!E35+'A DRAW'!E35+'B DRAW'!E35</f>
        <v>-3286231.7646000003</v>
      </c>
      <c r="E4" s="142">
        <f ca="1">'I DRAW'!F35+'H DRAW'!F35+'G DRAW'!F35+'F DRAW'!F35+'E DRAW'!F35+'D DRAW'!F35+'C DRAW'!F35+'A DRAW'!F35+'B DRAW'!F35</f>
        <v>-4193987.9286000007</v>
      </c>
      <c r="F4" s="142">
        <f ca="1">'I DRAW'!G35+'H DRAW'!G35+'G DRAW'!G35+'F DRAW'!G35+'E DRAW'!G35+'D DRAW'!G35+'C DRAW'!G35+'A DRAW'!G35+'B DRAW'!G35</f>
        <v>-4193987.9286000007</v>
      </c>
      <c r="G4" s="142">
        <f ca="1">'I DRAW'!H35+'H DRAW'!H35+'G DRAW'!H35+'F DRAW'!H35+'E DRAW'!H35+'D DRAW'!H35+'C DRAW'!H35+'A DRAW'!H35+'B DRAW'!H35</f>
        <v>-4193987.9286000007</v>
      </c>
      <c r="H4" s="142">
        <f ca="1">'I DRAW'!I35+'H DRAW'!I35+'G DRAW'!I35+'F DRAW'!I35+'E DRAW'!I35+'D DRAW'!I35+'C DRAW'!I35+'A DRAW'!I35+'B DRAW'!I35</f>
        <v>-6491904.0676732995</v>
      </c>
      <c r="I4" s="142">
        <f ca="1">'I DRAW'!J35+'H DRAW'!J35+'G DRAW'!J35+'F DRAW'!J35+'E DRAW'!J35+'D DRAW'!J35+'C DRAW'!J35+'A DRAW'!J35+'B DRAW'!J35</f>
        <v>-103412267.15067998</v>
      </c>
      <c r="J4" s="142">
        <f ca="1">'I DRAW'!K35+'H DRAW'!K35+'G DRAW'!K35+'F DRAW'!K35+'E DRAW'!K35+'D DRAW'!K35+'C DRAW'!K35+'A DRAW'!K35+'B DRAW'!K35</f>
        <v>-115952164.97637309</v>
      </c>
      <c r="K4" s="142">
        <f ca="1">'I DRAW'!L35+'H DRAW'!L35+'G DRAW'!L35+'F DRAW'!L35+'E DRAW'!L35+'D DRAW'!L35+'C DRAW'!L35+'A DRAW'!L35+'B DRAW'!L35</f>
        <v>-107812728.97584254</v>
      </c>
      <c r="L4" s="142">
        <f ca="1">'I DRAW'!M35+'H DRAW'!M35+'G DRAW'!M35+'F DRAW'!M35+'E DRAW'!M35+'D DRAW'!M35+'C DRAW'!M35+'A DRAW'!M35+'B DRAW'!M35</f>
        <v>-60041947.463390902</v>
      </c>
      <c r="M4" s="142">
        <f ca="1">'I DRAW'!N35+'H DRAW'!N35+'G DRAW'!N35+'F DRAW'!N35+'E DRAW'!N35+'D DRAW'!N35+'C DRAW'!N35+'A DRAW'!N35+'B DRAW'!N35</f>
        <v>-39934733.625745095</v>
      </c>
      <c r="N4" s="142">
        <f ca="1">'I DRAW'!O35+'H DRAW'!O35+'G DRAW'!O35+'F DRAW'!O35+'E DRAW'!O35+'D DRAW'!O35+'C DRAW'!O35+'A DRAW'!O35+'B DRAW'!O35</f>
        <v>-29437693.660561927</v>
      </c>
      <c r="O4" s="142">
        <f ca="1">'I DRAW'!P35+'H DRAW'!P35+'G DRAW'!P35+'F DRAW'!P35+'E DRAW'!P35+'D DRAW'!P35+'C DRAW'!P35+'A DRAW'!P35+'B DRAW'!P35</f>
        <v>-45559933.952506997</v>
      </c>
      <c r="P4" s="142">
        <f ca="1">'I DRAW'!Q35+'H DRAW'!Q35+'G DRAW'!Q35+'F DRAW'!Q35+'E DRAW'!Q35+'D DRAW'!Q35+'C DRAW'!Q35+'A DRAW'!Q35+'B DRAW'!Q35</f>
        <v>139898175.08303052</v>
      </c>
      <c r="Q4" s="142">
        <f ca="1">'I DRAW'!R35+'H DRAW'!R35+'G DRAW'!R35+'F DRAW'!R35+'E DRAW'!R35+'D DRAW'!R35+'C DRAW'!R35+'A DRAW'!R35+'B DRAW'!R35</f>
        <v>-95619117.919616729</v>
      </c>
      <c r="R4" s="142">
        <f ca="1">'I DRAW'!S35+'H DRAW'!S35+'G DRAW'!S35+'F DRAW'!S35+'E DRAW'!S35+'D DRAW'!S35+'C DRAW'!S35+'A DRAW'!S35+'B DRAW'!S35</f>
        <v>185738479.44451761</v>
      </c>
      <c r="S4" s="142">
        <f ca="1">'I DRAW'!T35+'H DRAW'!T35+'G DRAW'!T35+'F DRAW'!T35+'E DRAW'!T35+'D DRAW'!T35+'C DRAW'!T35+'A DRAW'!T35+'B DRAW'!T35</f>
        <v>-127355245.81977248</v>
      </c>
      <c r="T4" s="142">
        <f ca="1">'I DRAW'!U35+'H DRAW'!U35+'G DRAW'!U35+'F DRAW'!U35+'E DRAW'!U35+'D DRAW'!U35+'C DRAW'!U35+'A DRAW'!U35+'B DRAW'!U35</f>
        <v>-181113090.96747473</v>
      </c>
      <c r="U4" s="142">
        <f ca="1">'I DRAW'!V35+'H DRAW'!V35+'G DRAW'!V35+'F DRAW'!V35+'E DRAW'!V35+'D DRAW'!V35+'C DRAW'!V35+'A DRAW'!V35+'B DRAW'!V35</f>
        <v>-171903364.19076788</v>
      </c>
      <c r="V4" s="142">
        <f ca="1">'I DRAW'!W35+'H DRAW'!W35+'G DRAW'!W35+'F DRAW'!W35+'E DRAW'!W35+'D DRAW'!W35+'C DRAW'!W35+'A DRAW'!W35+'B DRAW'!W35</f>
        <v>-7087265.2385421693</v>
      </c>
      <c r="W4" s="142">
        <f ca="1">'I DRAW'!X35+'H DRAW'!X35+'G DRAW'!X35+'F DRAW'!X35+'E DRAW'!X35+'D DRAW'!X35+'C DRAW'!X35+'A DRAW'!X35+'B DRAW'!X35</f>
        <v>-138959369.02269009</v>
      </c>
      <c r="X4" s="142">
        <f ca="1">'I DRAW'!Y35+'H DRAW'!Y35+'G DRAW'!Y35+'F DRAW'!Y35+'E DRAW'!Y35+'D DRAW'!Y35+'C DRAW'!Y35+'A DRAW'!Y35+'B DRAW'!Y35</f>
        <v>-112649475.121842</v>
      </c>
      <c r="Y4" s="142">
        <f ca="1">'I DRAW'!Z35+'H DRAW'!Z35+'G DRAW'!Z35+'F DRAW'!Z35+'E DRAW'!Z35+'D DRAW'!Z35+'C DRAW'!Z35+'A DRAW'!Z35+'B DRAW'!Z35</f>
        <v>-93265544.748937622</v>
      </c>
      <c r="Z4" s="142">
        <f ca="1">'I DRAW'!AA35+'H DRAW'!AA35+'G DRAW'!AA35+'F DRAW'!AA35+'E DRAW'!AA35+'D DRAW'!AA35+'C DRAW'!AA35+'A DRAW'!AA35+'B DRAW'!AA35</f>
        <v>-139789898.13248098</v>
      </c>
      <c r="AA4" s="142">
        <f ca="1">'I DRAW'!AB35+'H DRAW'!AB35+'G DRAW'!AB35+'F DRAW'!AB35+'E DRAW'!AB35+'D DRAW'!AB35+'C DRAW'!AB35+'A DRAW'!AB35+'B DRAW'!AB35</f>
        <v>1262798217.1439202</v>
      </c>
      <c r="AB4" s="142">
        <f ca="1">'I DRAW'!AC35+'H DRAW'!AC35+'G DRAW'!AC35+'F DRAW'!AC35+'E DRAW'!AC35+'D DRAW'!AC35+'C DRAW'!AC35+'A DRAW'!AC35+'B DRAW'!AC35</f>
        <v>0</v>
      </c>
      <c r="AC4" s="142">
        <f ca="1">'I DRAW'!AD35+'H DRAW'!AD35+'G DRAW'!AD35+'F DRAW'!AD35+'E DRAW'!AD35+'D DRAW'!AD35+'C DRAW'!AD35+'A DRAW'!AD35+'B DRAW'!AD35</f>
        <v>0</v>
      </c>
      <c r="AD4" s="142">
        <f ca="1">'I DRAW'!AE35+'H DRAW'!AE35+'G DRAW'!AE35+'F DRAW'!AE35+'E DRAW'!AE35+'D DRAW'!AE35+'C DRAW'!AE35+'A DRAW'!AE35+'B DRAW'!AE35</f>
        <v>-27472415.718027353</v>
      </c>
      <c r="AE4" s="142">
        <f ca="1">'I DRAW'!AF35+'H DRAW'!AF35+'G DRAW'!AF35+'F DRAW'!AF35+'E DRAW'!AF35+'D DRAW'!AF35+'C DRAW'!AF35+'A DRAW'!AF35+'B DRAW'!AF35</f>
        <v>0</v>
      </c>
      <c r="AF4" s="142">
        <f ca="1">'I DRAW'!AG35+'H DRAW'!AG35+'G DRAW'!AG35+'F DRAW'!AG35+'E DRAW'!AG35+'D DRAW'!AG35+'C DRAW'!AG35+'A DRAW'!AG35+'B DRAW'!AG35</f>
        <v>0</v>
      </c>
      <c r="AG4" s="142">
        <f ca="1">'I DRAW'!AH35+'H DRAW'!AH35+'G DRAW'!AH35+'F DRAW'!AH35+'E DRAW'!AH35+'D DRAW'!AH35+'C DRAW'!AH35+'A DRAW'!AH35+'B DRAW'!AH35</f>
        <v>-19614023.931308553</v>
      </c>
      <c r="AH4" s="142">
        <f ca="1">'I DRAW'!AI35+'H DRAW'!AI35+'G DRAW'!AI35+'F DRAW'!AI35+'E DRAW'!AI35+'D DRAW'!AI35+'C DRAW'!AI35+'A DRAW'!AI35+'B DRAW'!AI35</f>
        <v>680988933.16332805</v>
      </c>
      <c r="AI4" s="142">
        <f>'I DRAW'!AJ35+'H DRAW'!AJ35+'G DRAW'!AJ35+'F DRAW'!AJ35+'E DRAW'!AJ35+'D DRAW'!AJ35+'C DRAW'!AJ35+'A DRAW'!AJ35+'B DRAW'!AJ35</f>
        <v>0</v>
      </c>
      <c r="AJ4" s="142">
        <f>'I DRAW'!AK35+'H DRAW'!AK35+'G DRAW'!AK35+'F DRAW'!AK35+'E DRAW'!AK35+'D DRAW'!AK35+'C DRAW'!AK35+'A DRAW'!AK35+'B DRAW'!AK35</f>
        <v>0</v>
      </c>
      <c r="AK4" s="142">
        <f>'I DRAW'!AL35+'H DRAW'!AL35+'G DRAW'!AL35+'F DRAW'!AL35+'E DRAW'!AL35+'D DRAW'!AL35+'C DRAW'!AL35+'A DRAW'!AL35+'B DRAW'!AL35</f>
        <v>0</v>
      </c>
      <c r="AL4" s="142">
        <f>'I DRAW'!AM35+'H DRAW'!AM35+'G DRAW'!AM35+'F DRAW'!AM35+'E DRAW'!AM35+'D DRAW'!AM35+'C DRAW'!AM35+'A DRAW'!AM35+'B DRAW'!AM35</f>
        <v>0</v>
      </c>
      <c r="AM4" s="142">
        <f>'I DRAW'!AN35+'H DRAW'!AN35+'G DRAW'!AN35+'F DRAW'!AN35+'E DRAW'!AN35+'D DRAW'!AN35+'C DRAW'!AN35+'A DRAW'!AN35+'B DRAW'!AN35</f>
        <v>0</v>
      </c>
      <c r="AN4" s="142">
        <f>'I DRAW'!AO35+'H DRAW'!AO35+'G DRAW'!AO35+'F DRAW'!AO35+'E DRAW'!AO35+'D DRAW'!AO35+'C DRAW'!AO35+'A DRAW'!AO35+'B DRAW'!AO35</f>
        <v>0</v>
      </c>
      <c r="AO4" s="142">
        <f>'I DRAW'!AP35+'H DRAW'!AP35+'G DRAW'!AP35+'F DRAW'!AP35+'E DRAW'!AP35+'D DRAW'!AP35+'C DRAW'!AP35+'A DRAW'!AP35+'B DRAW'!AP35</f>
        <v>0</v>
      </c>
      <c r="AP4" s="142">
        <f>'I DRAW'!AQ35+'H DRAW'!AQ35+'G DRAW'!AQ35+'F DRAW'!AQ35+'E DRAW'!AQ35+'D DRAW'!AQ35+'C DRAW'!AQ35+'A DRAW'!AQ35+'B DRAW'!AQ35</f>
        <v>0</v>
      </c>
      <c r="AQ4" s="142">
        <f>'I DRAW'!AR35+'H DRAW'!AR35+'G DRAW'!AR35+'F DRAW'!AR35+'E DRAW'!AR35+'D DRAW'!AR35+'C DRAW'!AR35+'A DRAW'!AR35+'B DRAW'!AR35</f>
        <v>0</v>
      </c>
      <c r="AR4" s="142">
        <f>'I DRAW'!AS35+'H DRAW'!AS35+'G DRAW'!AS35+'F DRAW'!AS35+'E DRAW'!AS35+'D DRAW'!AS35+'C DRAW'!AS35+'A DRAW'!AS35+'B DRAW'!AS35</f>
        <v>0</v>
      </c>
      <c r="AS4" s="142">
        <f>'I DRAW'!AT35+'H DRAW'!AT35+'G DRAW'!AT35+'F DRAW'!AT35+'E DRAW'!AT35+'D DRAW'!AT35+'C DRAW'!AT35+'A DRAW'!AT35+'B DRAW'!AT35</f>
        <v>0</v>
      </c>
      <c r="AT4" s="142">
        <f>'I DRAW'!AU35+'H DRAW'!AU35+'G DRAW'!AU35+'F DRAW'!AU35+'E DRAW'!AU35+'D DRAW'!AU35+'C DRAW'!AU35+'A DRAW'!AU35+'B DRAW'!AU35</f>
        <v>0</v>
      </c>
      <c r="AU4" s="142">
        <f>'I DRAW'!AV35+'H DRAW'!AV35+'G DRAW'!AV35+'F DRAW'!AV35+'E DRAW'!AV35+'D DRAW'!AV35+'C DRAW'!AV35+'A DRAW'!AV35+'B DRAW'!AV35</f>
        <v>0</v>
      </c>
      <c r="AV4" s="142"/>
    </row>
    <row r="5" spans="1:48">
      <c r="A5" s="150" t="s">
        <v>147</v>
      </c>
      <c r="B5" s="180">
        <f ca="1">IF(B4&lt;0,0,IRR(C4:AU4))</f>
        <v>3.5764886459920486E-2</v>
      </c>
      <c r="C5" s="173"/>
      <c r="D5" s="173"/>
      <c r="E5" s="173"/>
      <c r="F5" s="173"/>
      <c r="G5" s="173"/>
      <c r="H5" s="173"/>
      <c r="I5" s="173"/>
      <c r="J5" s="173"/>
      <c r="K5" s="173"/>
      <c r="L5" s="173"/>
      <c r="M5" s="173"/>
      <c r="N5" s="173"/>
      <c r="O5" s="173"/>
      <c r="P5" s="173"/>
      <c r="Q5" s="173"/>
      <c r="R5" s="173"/>
      <c r="S5" s="173"/>
      <c r="T5" s="173"/>
      <c r="U5" s="173"/>
      <c r="V5" s="173"/>
      <c r="W5" s="173"/>
      <c r="X5" s="173"/>
      <c r="Y5" s="173"/>
      <c r="Z5" s="173"/>
      <c r="AA5" s="173"/>
      <c r="AB5" s="173"/>
      <c r="AC5" s="173"/>
      <c r="AD5" s="173"/>
      <c r="AE5" s="173"/>
      <c r="AF5" s="173"/>
      <c r="AG5" s="173"/>
      <c r="AH5" s="173"/>
      <c r="AI5" s="173"/>
      <c r="AJ5" s="173"/>
      <c r="AK5" s="173"/>
      <c r="AL5" s="173"/>
      <c r="AM5" s="173"/>
      <c r="AN5" s="173"/>
      <c r="AO5" s="173"/>
      <c r="AP5" s="173"/>
      <c r="AQ5" s="173"/>
      <c r="AR5" s="173"/>
      <c r="AS5" s="173"/>
      <c r="AT5" s="173"/>
      <c r="AU5" s="173"/>
      <c r="AV5" s="174"/>
    </row>
    <row r="6" spans="1:48">
      <c r="A6" s="150" t="s">
        <v>141</v>
      </c>
      <c r="B6" s="181">
        <f ca="1">POWER((1+B5),4)-1</f>
        <v>0.15091893596927175</v>
      </c>
      <c r="C6" s="167"/>
      <c r="D6" s="167"/>
      <c r="E6" s="167"/>
      <c r="F6" s="167"/>
      <c r="G6" s="167"/>
      <c r="H6" s="167"/>
      <c r="I6" s="167"/>
      <c r="J6" s="167"/>
      <c r="K6" s="167"/>
      <c r="L6" s="167"/>
      <c r="M6" s="167"/>
      <c r="N6" s="167"/>
      <c r="O6" s="167"/>
      <c r="P6" s="167"/>
      <c r="Q6" s="167"/>
      <c r="R6" s="167"/>
      <c r="S6" s="167"/>
      <c r="T6" s="167"/>
      <c r="U6" s="167"/>
      <c r="V6" s="167"/>
      <c r="W6" s="167"/>
      <c r="X6" s="167"/>
      <c r="Y6" s="167"/>
      <c r="Z6" s="167"/>
      <c r="AA6" s="167"/>
      <c r="AB6" s="167"/>
      <c r="AC6" s="167"/>
      <c r="AD6" s="167"/>
      <c r="AE6" s="167"/>
      <c r="AF6" s="167"/>
      <c r="AG6" s="167"/>
      <c r="AH6" s="167"/>
      <c r="AI6" s="167"/>
      <c r="AJ6" s="167"/>
      <c r="AK6" s="167"/>
      <c r="AL6" s="167"/>
      <c r="AM6" s="167"/>
      <c r="AN6" s="167"/>
      <c r="AO6" s="167"/>
      <c r="AP6" s="167"/>
      <c r="AQ6" s="167"/>
      <c r="AR6" s="167"/>
      <c r="AS6" s="167"/>
      <c r="AT6" s="167"/>
      <c r="AU6" s="167"/>
      <c r="AV6" s="178"/>
    </row>
    <row r="7" spans="1:48">
      <c r="A7" s="167"/>
      <c r="B7" s="183"/>
      <c r="C7" s="167"/>
      <c r="D7" s="167"/>
      <c r="E7" s="167"/>
      <c r="F7" s="167"/>
      <c r="G7" s="167"/>
      <c r="H7" s="167"/>
      <c r="I7" s="167"/>
      <c r="J7" s="167"/>
      <c r="K7" s="167"/>
      <c r="L7" s="167"/>
      <c r="M7" s="167"/>
      <c r="N7" s="167"/>
      <c r="O7" s="167"/>
      <c r="P7" s="167"/>
      <c r="Q7" s="167"/>
      <c r="R7" s="167"/>
      <c r="S7" s="167"/>
      <c r="T7" s="167"/>
      <c r="U7" s="167"/>
      <c r="V7" s="167"/>
      <c r="W7" s="167"/>
      <c r="X7" s="167"/>
      <c r="Y7" s="167"/>
      <c r="Z7" s="167"/>
      <c r="AA7" s="167"/>
      <c r="AB7" s="167"/>
      <c r="AC7" s="167"/>
      <c r="AD7" s="167"/>
      <c r="AE7" s="167"/>
      <c r="AF7" s="167"/>
      <c r="AG7" s="167"/>
      <c r="AH7" s="167"/>
      <c r="AI7" s="167"/>
      <c r="AJ7" s="167"/>
      <c r="AK7" s="167"/>
      <c r="AL7" s="167"/>
      <c r="AM7" s="167"/>
      <c r="AN7" s="167"/>
      <c r="AO7" s="167"/>
      <c r="AP7" s="167"/>
      <c r="AQ7" s="167"/>
      <c r="AR7" s="167"/>
      <c r="AS7" s="167"/>
      <c r="AT7" s="167"/>
      <c r="AU7" s="167"/>
      <c r="AV7" s="178"/>
    </row>
    <row r="8" spans="1:48">
      <c r="A8" s="150" t="s">
        <v>150</v>
      </c>
      <c r="B8" s="142">
        <f ca="1">SUM(C8:AU8)</f>
        <v>1280585320.5961609</v>
      </c>
      <c r="C8" s="142">
        <f ca="1">'I DRAW'!D40+'H DRAW'!D40+'G DRAW'!D40+'F DRAW'!D40+'E DRAW'!D40+'D DRAW'!D40+'C DRAW'!D40+'A DRAW'!D40+'B DRAW'!D40</f>
        <v>-2020662.7720000001</v>
      </c>
      <c r="D8" s="142">
        <f ca="1">'I DRAW'!E40+'H DRAW'!E40+'G DRAW'!E40+'F DRAW'!E40+'E DRAW'!E40+'D DRAW'!E40+'C DRAW'!E40+'A DRAW'!E40+'B DRAW'!E40</f>
        <v>-3286231.7646000003</v>
      </c>
      <c r="E8" s="142">
        <f ca="1">'I DRAW'!F40+'H DRAW'!F40+'G DRAW'!F40+'F DRAW'!F40+'E DRAW'!F40+'D DRAW'!F40+'C DRAW'!F40+'A DRAW'!F40+'B DRAW'!F40</f>
        <v>-4193987.9286000007</v>
      </c>
      <c r="F8" s="142">
        <f ca="1">'I DRAW'!G40+'H DRAW'!G40+'G DRAW'!G40+'F DRAW'!G40+'E DRAW'!G40+'D DRAW'!G40+'C DRAW'!G40+'A DRAW'!G40+'B DRAW'!G40</f>
        <v>-4193987.9286000007</v>
      </c>
      <c r="G8" s="142">
        <f ca="1">'I DRAW'!H40+'H DRAW'!H40+'G DRAW'!H40+'F DRAW'!H40+'E DRAW'!H40+'D DRAW'!H40+'C DRAW'!H40+'A DRAW'!H40+'B DRAW'!H40</f>
        <v>-4193987.9286000007</v>
      </c>
      <c r="H8" s="142">
        <f ca="1">'I DRAW'!I40+'H DRAW'!I40+'G DRAW'!I40+'F DRAW'!I40+'E DRAW'!I40+'D DRAW'!I40+'C DRAW'!I40+'A DRAW'!I40+'B DRAW'!I40</f>
        <v>-6491904.0676732995</v>
      </c>
      <c r="I8" s="142">
        <f ca="1">'I DRAW'!J40+'H DRAW'!J40+'G DRAW'!J40+'F DRAW'!J40+'E DRAW'!J40+'D DRAW'!J40+'C DRAW'!J40+'A DRAW'!J40+'B DRAW'!J40</f>
        <v>-103412267.15067998</v>
      </c>
      <c r="J8" s="142">
        <f ca="1">'I DRAW'!K40+'H DRAW'!K40+'G DRAW'!K40+'F DRAW'!K40+'E DRAW'!K40+'D DRAW'!K40+'C DRAW'!K40+'A DRAW'!K40+'B DRAW'!K40</f>
        <v>-115952164.97637309</v>
      </c>
      <c r="K8" s="142">
        <f ca="1">'I DRAW'!L40+'H DRAW'!L40+'G DRAW'!L40+'F DRAW'!L40+'E DRAW'!L40+'D DRAW'!L40+'C DRAW'!L40+'A DRAW'!L40+'B DRAW'!L40</f>
        <v>-144993742.08212841</v>
      </c>
      <c r="L8" s="142">
        <f ca="1">'I DRAW'!M40+'H DRAW'!M40+'G DRAW'!M40+'F DRAW'!M40+'E DRAW'!M40+'D DRAW'!M40+'C DRAW'!M40+'A DRAW'!M40+'B DRAW'!M40</f>
        <v>-169226022.98589459</v>
      </c>
      <c r="M8" s="142">
        <f ca="1">'I DRAW'!N40+'H DRAW'!N40+'G DRAW'!N40+'F DRAW'!N40+'E DRAW'!N40+'D DRAW'!N40+'C DRAW'!N40+'A DRAW'!N40+'B DRAW'!N40</f>
        <v>-154541912.15834373</v>
      </c>
      <c r="N8" s="142">
        <f ca="1">'I DRAW'!O40+'H DRAW'!O40+'G DRAW'!O40+'F DRAW'!O40+'E DRAW'!O40+'D DRAW'!O40+'C DRAW'!O40+'A DRAW'!O40+'B DRAW'!O40</f>
        <v>-81847436.792877734</v>
      </c>
      <c r="O8" s="142">
        <f ca="1">'I DRAW'!P40+'H DRAW'!P40+'G DRAW'!P40+'F DRAW'!P40+'E DRAW'!P40+'D DRAW'!P40+'C DRAW'!P40+'A DRAW'!P40+'B DRAW'!P40</f>
        <v>241547340.18146536</v>
      </c>
      <c r="P8" s="142">
        <f ca="1">'I DRAW'!Q40+'H DRAW'!Q40+'G DRAW'!Q40+'F DRAW'!Q40+'E DRAW'!Q40+'D DRAW'!Q40+'C DRAW'!Q40+'A DRAW'!Q40+'B DRAW'!Q40</f>
        <v>166493187.14387906</v>
      </c>
      <c r="Q8" s="142">
        <f ca="1">'I DRAW'!R40+'H DRAW'!R40+'G DRAW'!R40+'F DRAW'!R40+'E DRAW'!R40+'D DRAW'!R40+'C DRAW'!R40+'A DRAW'!R40+'B DRAW'!R40</f>
        <v>-160413848.8277874</v>
      </c>
      <c r="R8" s="142">
        <f ca="1">'I DRAW'!S40+'H DRAW'!S40+'G DRAW'!S40+'F DRAW'!S40+'E DRAW'!S40+'D DRAW'!S40+'C DRAW'!S40+'A DRAW'!S40+'B DRAW'!S40</f>
        <v>320757018.29101551</v>
      </c>
      <c r="S8" s="142">
        <f ca="1">'I DRAW'!T40+'H DRAW'!T40+'G DRAW'!T40+'F DRAW'!T40+'E DRAW'!T40+'D DRAW'!T40+'C DRAW'!T40+'A DRAW'!T40+'B DRAW'!T40</f>
        <v>-148815705.18268284</v>
      </c>
      <c r="T8" s="142">
        <f ca="1">'I DRAW'!U40+'H DRAW'!U40+'G DRAW'!U40+'F DRAW'!U40+'E DRAW'!U40+'D DRAW'!U40+'C DRAW'!U40+'A DRAW'!U40+'B DRAW'!U40</f>
        <v>-199163649.89762107</v>
      </c>
      <c r="U8" s="142">
        <f ca="1">'I DRAW'!V40+'H DRAW'!V40+'G DRAW'!V40+'F DRAW'!V40+'E DRAW'!V40+'D DRAW'!V40+'C DRAW'!V40+'A DRAW'!V40+'B DRAW'!V40</f>
        <v>-220869801.02682984</v>
      </c>
      <c r="V8" s="142">
        <f ca="1">'I DRAW'!W40+'H DRAW'!W40+'G DRAW'!W40+'F DRAW'!W40+'E DRAW'!W40+'D DRAW'!W40+'C DRAW'!W40+'A DRAW'!W40+'B DRAW'!W40</f>
        <v>110190452.97431731</v>
      </c>
      <c r="W8" s="142">
        <f ca="1">'I DRAW'!X40+'H DRAW'!X40+'G DRAW'!X40+'F DRAW'!X40+'E DRAW'!X40+'D DRAW'!X40+'C DRAW'!X40+'A DRAW'!X40+'B DRAW'!X40</f>
        <v>-165864716.2825616</v>
      </c>
      <c r="X8" s="142">
        <f ca="1">'I DRAW'!Y40+'H DRAW'!Y40+'G DRAW'!Y40+'F DRAW'!Y40+'E DRAW'!Y40+'D DRAW'!Y40+'C DRAW'!Y40+'A DRAW'!Y40+'B DRAW'!Y40</f>
        <v>-183785620.25241295</v>
      </c>
      <c r="Y8" s="142">
        <f ca="1">'I DRAW'!Z40+'H DRAW'!Z40+'G DRAW'!Z40+'F DRAW'!Z40+'E DRAW'!Z40+'D DRAW'!Z40+'C DRAW'!Z40+'A DRAW'!Z40+'B DRAW'!Z40</f>
        <v>-130337959.65136728</v>
      </c>
      <c r="Z8" s="142">
        <f ca="1">'I DRAW'!AA40+'H DRAW'!AA40+'G DRAW'!AA40+'F DRAW'!AA40+'E DRAW'!AA40+'D DRAW'!AA40+'C DRAW'!AA40+'A DRAW'!AA40+'B DRAW'!AA40</f>
        <v>165212261.87327734</v>
      </c>
      <c r="AA8" s="142">
        <f ca="1">'I DRAW'!AB40+'H DRAW'!AB40+'G DRAW'!AB40+'F DRAW'!AB40+'E DRAW'!AB40+'D DRAW'!AB40+'C DRAW'!AB40+'A DRAW'!AB40+'B DRAW'!AB40</f>
        <v>1172514500.3836889</v>
      </c>
      <c r="AB8" s="142">
        <f ca="1">'I DRAW'!AC40+'H DRAW'!AC40+'G DRAW'!AC40+'F DRAW'!AC40+'E DRAW'!AC40+'D DRAW'!AC40+'C DRAW'!AC40+'A DRAW'!AC40+'B DRAW'!AC40</f>
        <v>-65143321.802907251</v>
      </c>
      <c r="AC8" s="142">
        <f ca="1">'I DRAW'!AD40+'H DRAW'!AD40+'G DRAW'!AD40+'F DRAW'!AD40+'E DRAW'!AD40+'D DRAW'!AD40+'C DRAW'!AD40+'A DRAW'!AD40+'B DRAW'!AD40</f>
        <v>-49610477.772470452</v>
      </c>
      <c r="AD8" s="142">
        <f ca="1">'I DRAW'!AE40+'H DRAW'!AE40+'G DRAW'!AE40+'F DRAW'!AE40+'E DRAW'!AE40+'D DRAW'!AE40+'C DRAW'!AE40+'A DRAW'!AE40+'B DRAW'!AE40</f>
        <v>263736451.45430535</v>
      </c>
      <c r="AE8" s="142">
        <f ca="1">'I DRAW'!AF40+'H DRAW'!AF40+'G DRAW'!AF40+'F DRAW'!AF40+'E DRAW'!AF40+'D DRAW'!AF40+'C DRAW'!AF40+'A DRAW'!AF40+'B DRAW'!AF40</f>
        <v>-14103651.37446858</v>
      </c>
      <c r="AF8" s="142">
        <f ca="1">'I DRAW'!AG40+'H DRAW'!AG40+'G DRAW'!AG40+'F DRAW'!AG40+'E DRAW'!AG40+'D DRAW'!AG40+'C DRAW'!AG40+'A DRAW'!AG40+'B DRAW'!AG40</f>
        <v>-23553178.884253256</v>
      </c>
      <c r="AG8" s="142">
        <f ca="1">'I DRAW'!AH40+'H DRAW'!AH40+'G DRAW'!AH40+'F DRAW'!AH40+'E DRAW'!AH40+'D DRAW'!AH40+'C DRAW'!AH40+'A DRAW'!AH40+'B DRAW'!AH40</f>
        <v>152398759.29453292</v>
      </c>
      <c r="AH8" s="142">
        <f ca="1">'I DRAW'!AI40+'H DRAW'!AI40+'G DRAW'!AI40+'F DRAW'!AI40+'E DRAW'!AI40+'D DRAW'!AI40+'C DRAW'!AI40+'A DRAW'!AI40+'B DRAW'!AI40</f>
        <v>843751588.49141228</v>
      </c>
      <c r="AI8" s="142">
        <f>'I DRAW'!AJ40+'H DRAW'!AJ40+'G DRAW'!AJ40+'F DRAW'!AJ40+'E DRAW'!AJ40+'D DRAW'!AJ40+'C DRAW'!AJ40+'A DRAW'!AJ40+'B DRAW'!AJ40</f>
        <v>0</v>
      </c>
      <c r="AJ8" s="142">
        <f>'I DRAW'!AK40+'H DRAW'!AK40+'G DRAW'!AK40+'F DRAW'!AK40+'E DRAW'!AK40+'D DRAW'!AK40+'C DRAW'!AK40+'A DRAW'!AK40+'B DRAW'!AK40</f>
        <v>0</v>
      </c>
      <c r="AK8" s="142">
        <f>'I DRAW'!AL40+'H DRAW'!AL40+'G DRAW'!AL40+'F DRAW'!AL40+'E DRAW'!AL40+'D DRAW'!AL40+'C DRAW'!AL40+'A DRAW'!AL40+'B DRAW'!AL40</f>
        <v>0</v>
      </c>
      <c r="AL8" s="142">
        <f>'I DRAW'!AM40+'H DRAW'!AM40+'G DRAW'!AM40+'F DRAW'!AM40+'E DRAW'!AM40+'D DRAW'!AM40+'C DRAW'!AM40+'A DRAW'!AM40+'B DRAW'!AM40</f>
        <v>0</v>
      </c>
      <c r="AM8" s="142">
        <f>'I DRAW'!AN40+'H DRAW'!AN40+'G DRAW'!AN40+'F DRAW'!AN40+'E DRAW'!AN40+'D DRAW'!AN40+'C DRAW'!AN40+'A DRAW'!AN40+'B DRAW'!AN40</f>
        <v>0</v>
      </c>
      <c r="AN8" s="142">
        <f>'I DRAW'!AO40+'H DRAW'!AO40+'G DRAW'!AO40+'F DRAW'!AO40+'E DRAW'!AO40+'D DRAW'!AO40+'C DRAW'!AO40+'A DRAW'!AO40+'B DRAW'!AO40</f>
        <v>0</v>
      </c>
      <c r="AO8" s="142">
        <f>'I DRAW'!AP40+'H DRAW'!AP40+'G DRAW'!AP40+'F DRAW'!AP40+'E DRAW'!AP40+'D DRAW'!AP40+'C DRAW'!AP40+'A DRAW'!AP40+'B DRAW'!AP40</f>
        <v>0</v>
      </c>
      <c r="AP8" s="142">
        <f>'I DRAW'!AQ40+'H DRAW'!AQ40+'G DRAW'!AQ40+'F DRAW'!AQ40+'E DRAW'!AQ40+'D DRAW'!AQ40+'C DRAW'!AQ40+'A DRAW'!AQ40+'B DRAW'!AQ40</f>
        <v>0</v>
      </c>
      <c r="AQ8" s="142">
        <f>'I DRAW'!AR40+'H DRAW'!AR40+'G DRAW'!AR40+'F DRAW'!AR40+'E DRAW'!AR40+'D DRAW'!AR40+'C DRAW'!AR40+'A DRAW'!AR40+'B DRAW'!AR40</f>
        <v>0</v>
      </c>
      <c r="AR8" s="142">
        <f>'I DRAW'!AS40+'H DRAW'!AS40+'G DRAW'!AS40+'F DRAW'!AS40+'E DRAW'!AS40+'D DRAW'!AS40+'C DRAW'!AS40+'A DRAW'!AS40+'B DRAW'!AS40</f>
        <v>0</v>
      </c>
      <c r="AS8" s="142">
        <f>'I DRAW'!AT40+'H DRAW'!AT40+'G DRAW'!AT40+'F DRAW'!AT40+'E DRAW'!AT40+'D DRAW'!AT40+'C DRAW'!AT40+'A DRAW'!AT40+'B DRAW'!AT40</f>
        <v>0</v>
      </c>
      <c r="AT8" s="142">
        <f>'I DRAW'!AU40+'H DRAW'!AU40+'G DRAW'!AU40+'F DRAW'!AU40+'E DRAW'!AU40+'D DRAW'!AU40+'C DRAW'!AU40+'A DRAW'!AU40+'B DRAW'!AU40</f>
        <v>0</v>
      </c>
      <c r="AU8" s="142">
        <f>'I DRAW'!AV40+'H DRAW'!AV40+'G DRAW'!AV40+'F DRAW'!AV40+'E DRAW'!AV40+'D DRAW'!AV40+'C DRAW'!AV40+'A DRAW'!AV40+'B DRAW'!AV40</f>
        <v>0</v>
      </c>
      <c r="AV8" s="150"/>
    </row>
    <row r="9" spans="1:48">
      <c r="A9" s="150" t="s">
        <v>151</v>
      </c>
      <c r="B9" s="180">
        <f ca="1">IF(B8&lt;0,0,IRR(C8:AU8))</f>
        <v>5.64206117436854E-2</v>
      </c>
      <c r="C9" s="162"/>
      <c r="D9" s="167"/>
      <c r="E9" s="167"/>
      <c r="F9" s="167"/>
      <c r="G9" s="167"/>
      <c r="H9" s="167"/>
      <c r="I9" s="167"/>
      <c r="J9" s="167"/>
      <c r="K9" s="167"/>
      <c r="L9" s="167"/>
      <c r="M9" s="162"/>
      <c r="N9" s="167"/>
      <c r="O9" s="167"/>
      <c r="P9" s="167"/>
      <c r="Q9" s="167"/>
      <c r="R9" s="167"/>
      <c r="S9" s="162"/>
      <c r="T9" s="167"/>
      <c r="U9" s="167"/>
      <c r="V9" s="167"/>
      <c r="W9" s="167"/>
      <c r="X9" s="167"/>
      <c r="Y9" s="167"/>
      <c r="Z9" s="167"/>
      <c r="AA9" s="167"/>
      <c r="AB9" s="167"/>
      <c r="AC9" s="167"/>
      <c r="AD9" s="167"/>
      <c r="AE9" s="167"/>
      <c r="AF9" s="167"/>
      <c r="AG9" s="167"/>
      <c r="AH9" s="167"/>
      <c r="AI9" s="167"/>
      <c r="AJ9" s="167"/>
      <c r="AK9" s="167"/>
      <c r="AL9" s="167"/>
      <c r="AM9" s="167"/>
      <c r="AN9" s="167"/>
      <c r="AO9" s="167"/>
      <c r="AP9" s="167"/>
      <c r="AQ9" s="167"/>
      <c r="AR9" s="167"/>
      <c r="AS9" s="167"/>
      <c r="AT9" s="167"/>
      <c r="AU9" s="167"/>
      <c r="AV9" s="150"/>
    </row>
    <row r="10" spans="1:48">
      <c r="A10" s="150" t="s">
        <v>146</v>
      </c>
      <c r="B10" s="181">
        <f ca="1">POWER((1+B9),4)-1</f>
        <v>0.24551070450321344</v>
      </c>
      <c r="C10" s="167"/>
      <c r="D10" s="167"/>
      <c r="E10" s="167"/>
      <c r="F10" s="167"/>
      <c r="G10" s="167"/>
      <c r="H10" s="167"/>
      <c r="I10" s="167"/>
      <c r="J10" s="167"/>
      <c r="K10" s="167"/>
      <c r="L10" s="167"/>
      <c r="M10" s="162"/>
      <c r="N10" s="167"/>
      <c r="O10" s="167"/>
      <c r="P10" s="167"/>
      <c r="Q10" s="167"/>
      <c r="R10" s="167"/>
      <c r="S10" s="162"/>
      <c r="T10" s="167"/>
      <c r="U10" s="167"/>
      <c r="V10" s="167"/>
      <c r="W10" s="167"/>
      <c r="X10" s="167"/>
      <c r="Y10" s="167"/>
      <c r="Z10" s="167"/>
      <c r="AA10" s="167"/>
      <c r="AB10" s="167"/>
      <c r="AC10" s="167"/>
      <c r="AD10" s="167"/>
      <c r="AE10" s="167"/>
      <c r="AF10" s="167"/>
      <c r="AG10" s="167"/>
      <c r="AH10" s="167"/>
      <c r="AI10" s="167"/>
      <c r="AJ10" s="167"/>
      <c r="AK10" s="167"/>
      <c r="AL10" s="167"/>
      <c r="AM10" s="167"/>
      <c r="AN10" s="167"/>
      <c r="AO10" s="167"/>
      <c r="AP10" s="167"/>
      <c r="AQ10" s="167"/>
      <c r="AR10" s="167"/>
      <c r="AS10" s="167"/>
      <c r="AT10" s="167"/>
      <c r="AU10" s="167"/>
      <c r="AV10" s="150"/>
    </row>
    <row r="11" spans="1:48">
      <c r="B11" s="789"/>
      <c r="G11" s="5"/>
      <c r="AB11" s="5"/>
      <c r="AE11" s="5"/>
      <c r="AI11" s="5"/>
    </row>
    <row r="12" spans="1:48">
      <c r="A12" s="780" t="s">
        <v>331</v>
      </c>
      <c r="G12" s="5"/>
      <c r="AB12" s="5"/>
      <c r="AE12" s="5"/>
      <c r="AI12" s="5"/>
    </row>
    <row r="13" spans="1:48">
      <c r="A13" s="759" t="s">
        <v>148</v>
      </c>
      <c r="G13" s="5"/>
      <c r="AB13"/>
      <c r="AC13"/>
      <c r="AD13"/>
      <c r="AE13"/>
      <c r="AI13" s="5"/>
    </row>
    <row r="14" spans="1:48">
      <c r="A14" s="759"/>
      <c r="G14" s="5"/>
      <c r="AB14"/>
      <c r="AC14"/>
      <c r="AD14"/>
      <c r="AE14"/>
      <c r="AI14" s="5"/>
      <c r="AV14" s="58" t="s">
        <v>62</v>
      </c>
    </row>
    <row r="15" spans="1:48" ht="15" thickBot="1">
      <c r="A15" s="760"/>
      <c r="B15" s="179" t="s">
        <v>149</v>
      </c>
      <c r="C15" s="182">
        <v>46023</v>
      </c>
      <c r="D15" s="102">
        <f>EOMONTH(C15,3)</f>
        <v>46142</v>
      </c>
      <c r="E15" s="102">
        <f t="shared" ref="E15" si="1">EOMONTH(D15,3)</f>
        <v>46234</v>
      </c>
      <c r="F15" s="102">
        <f t="shared" ref="F15" si="2">EOMONTH(E15,3)</f>
        <v>46326</v>
      </c>
      <c r="G15" s="102">
        <f t="shared" ref="G15" si="3">EOMONTH(F15,3)</f>
        <v>46418</v>
      </c>
      <c r="H15" s="102">
        <f t="shared" ref="H15" si="4">EOMONTH(G15,3)</f>
        <v>46507</v>
      </c>
      <c r="I15" s="102">
        <f t="shared" ref="I15" si="5">EOMONTH(H15,3)</f>
        <v>46599</v>
      </c>
      <c r="J15" s="102">
        <f t="shared" ref="J15" si="6">EOMONTH(I15,3)</f>
        <v>46691</v>
      </c>
      <c r="K15" s="102">
        <f t="shared" ref="K15" si="7">EOMONTH(J15,3)</f>
        <v>46783</v>
      </c>
      <c r="L15" s="102">
        <f t="shared" ref="L15" si="8">EOMONTH(K15,3)</f>
        <v>46873</v>
      </c>
      <c r="M15" s="102">
        <f t="shared" ref="M15" si="9">EOMONTH(L15,3)</f>
        <v>46965</v>
      </c>
      <c r="N15" s="102">
        <f t="shared" ref="N15" si="10">EOMONTH(M15,3)</f>
        <v>47057</v>
      </c>
      <c r="O15" s="102">
        <f t="shared" ref="O15" si="11">EOMONTH(N15,3)</f>
        <v>47149</v>
      </c>
      <c r="P15" s="102">
        <f t="shared" ref="P15" si="12">EOMONTH(O15,3)</f>
        <v>47238</v>
      </c>
      <c r="Q15" s="102">
        <f t="shared" ref="Q15" si="13">EOMONTH(P15,3)</f>
        <v>47330</v>
      </c>
      <c r="R15" s="102">
        <f t="shared" ref="R15" si="14">EOMONTH(Q15,3)</f>
        <v>47422</v>
      </c>
      <c r="S15" s="102">
        <f t="shared" ref="S15" si="15">EOMONTH(R15,3)</f>
        <v>47514</v>
      </c>
      <c r="T15" s="102">
        <f t="shared" ref="T15" si="16">EOMONTH(S15,3)</f>
        <v>47603</v>
      </c>
      <c r="U15" s="102">
        <f t="shared" ref="U15" si="17">EOMONTH(T15,3)</f>
        <v>47695</v>
      </c>
      <c r="V15" s="102">
        <f t="shared" ref="V15" si="18">EOMONTH(U15,3)</f>
        <v>47787</v>
      </c>
      <c r="W15" s="102">
        <f t="shared" ref="W15" si="19">EOMONTH(V15,3)</f>
        <v>47879</v>
      </c>
      <c r="X15" s="102">
        <f t="shared" ref="X15" si="20">EOMONTH(W15,3)</f>
        <v>47968</v>
      </c>
      <c r="Y15" s="102">
        <f t="shared" ref="Y15" si="21">EOMONTH(X15,3)</f>
        <v>48060</v>
      </c>
      <c r="Z15" s="102">
        <f t="shared" ref="Z15" si="22">EOMONTH(Y15,3)</f>
        <v>48152</v>
      </c>
      <c r="AA15" s="102">
        <f t="shared" ref="AA15" si="23">EOMONTH(Z15,3)</f>
        <v>48244</v>
      </c>
      <c r="AB15" s="102">
        <f t="shared" ref="AB15" si="24">EOMONTH(AA15,3)</f>
        <v>48334</v>
      </c>
      <c r="AC15" s="102">
        <f t="shared" ref="AC15" si="25">EOMONTH(AB15,3)</f>
        <v>48426</v>
      </c>
      <c r="AD15" s="102">
        <f t="shared" ref="AD15" si="26">EOMONTH(AC15,3)</f>
        <v>48518</v>
      </c>
      <c r="AE15" s="102">
        <f t="shared" ref="AE15" si="27">EOMONTH(AD15,3)</f>
        <v>48610</v>
      </c>
      <c r="AF15" s="102">
        <f t="shared" ref="AF15" si="28">EOMONTH(AE15,3)</f>
        <v>48699</v>
      </c>
      <c r="AG15" s="102">
        <f t="shared" ref="AG15" si="29">EOMONTH(AF15,3)</f>
        <v>48791</v>
      </c>
      <c r="AH15" s="102">
        <f t="shared" ref="AH15" si="30">EOMONTH(AG15,3)</f>
        <v>48883</v>
      </c>
      <c r="AI15" s="102">
        <f t="shared" ref="AI15" si="31">EOMONTH(AH15,3)</f>
        <v>48975</v>
      </c>
      <c r="AJ15" s="102">
        <f t="shared" ref="AJ15" si="32">EOMONTH(AI15,3)</f>
        <v>49064</v>
      </c>
      <c r="AK15" s="102">
        <f t="shared" ref="AK15" si="33">EOMONTH(AJ15,3)</f>
        <v>49156</v>
      </c>
      <c r="AL15" s="102">
        <f t="shared" ref="AL15" si="34">EOMONTH(AK15,3)</f>
        <v>49248</v>
      </c>
      <c r="AM15" s="102">
        <f t="shared" ref="AM15" si="35">EOMONTH(AL15,3)</f>
        <v>49340</v>
      </c>
      <c r="AN15" s="102">
        <f>EOMONTH(AM15,3)</f>
        <v>49429</v>
      </c>
      <c r="AO15" s="102">
        <f t="shared" ref="AO15" si="36">EOMONTH(AN15,3)</f>
        <v>49521</v>
      </c>
      <c r="AP15" s="102">
        <f t="shared" ref="AP15" si="37">EOMONTH(AO15,3)</f>
        <v>49613</v>
      </c>
      <c r="AQ15" s="102">
        <f t="shared" ref="AQ15" si="38">EOMONTH(AP15,3)</f>
        <v>49705</v>
      </c>
      <c r="AR15" s="102">
        <f t="shared" ref="AR15" si="39">EOMONTH(AQ15,3)</f>
        <v>49795</v>
      </c>
      <c r="AS15" s="102">
        <f t="shared" ref="AS15" si="40">EOMONTH(AR15,3)</f>
        <v>49887</v>
      </c>
      <c r="AT15" s="102">
        <f t="shared" ref="AT15" si="41">EOMONTH(AS15,3)</f>
        <v>49979</v>
      </c>
      <c r="AU15" s="102">
        <v>50040</v>
      </c>
      <c r="AV15" s="133"/>
    </row>
    <row r="16" spans="1:48">
      <c r="A16" s="158" t="s">
        <v>164</v>
      </c>
      <c r="B16" s="142">
        <f ca="1">SUM(C16:AU16)</f>
        <v>74018928.956368148</v>
      </c>
      <c r="C16" s="781">
        <f ca="1">'D DRAW'!D35+'C DRAW'!D35+'A DRAW'!D35+'B DRAW'!D35</f>
        <v>-2020662.7720000001</v>
      </c>
      <c r="D16" s="781">
        <f ca="1">'D DRAW'!E35+'C DRAW'!E35+'A DRAW'!E35+'B DRAW'!E35</f>
        <v>-3286231.7646000003</v>
      </c>
      <c r="E16" s="781">
        <f ca="1">'D DRAW'!F35+'C DRAW'!F35+'A DRAW'!F35+'B DRAW'!F35</f>
        <v>-4193987.9286000007</v>
      </c>
      <c r="F16" s="781">
        <f ca="1">'D DRAW'!G35+'C DRAW'!G35+'A DRAW'!G35+'B DRAW'!G35</f>
        <v>-4193987.9286000007</v>
      </c>
      <c r="G16" s="781">
        <f ca="1">'D DRAW'!H35+'C DRAW'!H35+'A DRAW'!H35+'B DRAW'!H35</f>
        <v>-4193987.9286000007</v>
      </c>
      <c r="H16" s="781">
        <f ca="1">'D DRAW'!I35+'C DRAW'!I35+'A DRAW'!I35+'B DRAW'!I35</f>
        <v>-6491904.0676732995</v>
      </c>
      <c r="I16" s="781">
        <f ca="1">'D DRAW'!J35+'C DRAW'!J35+'A DRAW'!J35+'B DRAW'!J35</f>
        <v>-103412267.15067998</v>
      </c>
      <c r="J16" s="781">
        <f ca="1">'D DRAW'!K35+'C DRAW'!K35+'A DRAW'!K35+'B DRAW'!K35</f>
        <v>-115952164.97637309</v>
      </c>
      <c r="K16" s="781">
        <f ca="1">'D DRAW'!L35+'C DRAW'!L35+'A DRAW'!L35+'B DRAW'!L35</f>
        <v>-107812728.97584254</v>
      </c>
      <c r="L16" s="781">
        <f ca="1">'D DRAW'!M35+'C DRAW'!M35+'A DRAW'!M35+'B DRAW'!M35</f>
        <v>-56968257.173390903</v>
      </c>
      <c r="M16" s="781">
        <f ca="1">'D DRAW'!N35+'C DRAW'!N35+'A DRAW'!N35+'B DRAW'!N35</f>
        <v>-34402938.529078431</v>
      </c>
      <c r="N16" s="781">
        <f ca="1">'D DRAW'!O35+'C DRAW'!O35+'A DRAW'!O35+'B DRAW'!O35</f>
        <v>-23905898.563895263</v>
      </c>
      <c r="O16" s="781">
        <f ca="1">'D DRAW'!P35+'C DRAW'!P35+'A DRAW'!P35+'B DRAW'!P35</f>
        <v>-39101625.82664033</v>
      </c>
      <c r="P16" s="781">
        <f ca="1">'D DRAW'!Q35+'C DRAW'!Q35+'A DRAW'!Q35+'B DRAW'!Q35</f>
        <v>165490772.16983974</v>
      </c>
      <c r="Q16" s="781">
        <f ca="1">'D DRAW'!R35+'C DRAW'!R35+'A DRAW'!R35+'B DRAW'!R35</f>
        <v>0</v>
      </c>
      <c r="R16" s="781">
        <f ca="1">'D DRAW'!S35+'C DRAW'!S35+'A DRAW'!S35+'B DRAW'!S35</f>
        <v>278936733.66075706</v>
      </c>
      <c r="S16" s="781">
        <f ca="1">'D DRAW'!T35+'C DRAW'!T35+'A DRAW'!T35+'B DRAW'!T35</f>
        <v>0</v>
      </c>
      <c r="T16" s="781">
        <f ca="1">'D DRAW'!U35+'C DRAW'!U35+'A DRAW'!U35+'B DRAW'!U35</f>
        <v>0</v>
      </c>
      <c r="U16" s="781">
        <f ca="1">'D DRAW'!V35+'C DRAW'!V35+'A DRAW'!V35+'B DRAW'!V35</f>
        <v>0</v>
      </c>
      <c r="V16" s="781">
        <f ca="1">'D DRAW'!W35+'C DRAW'!W35+'A DRAW'!W35+'B DRAW'!W35</f>
        <v>135528066.7117452</v>
      </c>
      <c r="W16" s="781">
        <f>'D DRAW'!X35+'C DRAW'!X35+'A DRAW'!X35+'B DRAW'!X35</f>
        <v>0</v>
      </c>
      <c r="X16" s="781">
        <f>'D DRAW'!Y35+'C DRAW'!Y35+'A DRAW'!Y35+'B DRAW'!Y35</f>
        <v>0</v>
      </c>
      <c r="Y16" s="781">
        <f>'D DRAW'!Z35+'C DRAW'!Z35+'A DRAW'!Z35+'B DRAW'!Z35</f>
        <v>0</v>
      </c>
      <c r="Z16" s="781">
        <f>'D DRAW'!AA35+'C DRAW'!AA35+'A DRAW'!AA35+'B DRAW'!AA35</f>
        <v>0</v>
      </c>
      <c r="AA16" s="781">
        <f>'D DRAW'!AB35+'C DRAW'!AB35+'A DRAW'!AB35+'B DRAW'!AB35</f>
        <v>0</v>
      </c>
      <c r="AB16" s="781">
        <f>'D DRAW'!AC35+'C DRAW'!AC35+'A DRAW'!AC35+'B DRAW'!AC35</f>
        <v>0</v>
      </c>
      <c r="AC16" s="781">
        <f>'D DRAW'!AD35+'C DRAW'!AD35+'A DRAW'!AD35+'B DRAW'!AD35</f>
        <v>0</v>
      </c>
      <c r="AD16" s="781">
        <f>'D DRAW'!AE35+'C DRAW'!AE35+'A DRAW'!AE35+'B DRAW'!AE35</f>
        <v>0</v>
      </c>
      <c r="AE16" s="781">
        <f>'D DRAW'!AF35+'C DRAW'!AF35+'A DRAW'!AF35+'B DRAW'!AF35</f>
        <v>0</v>
      </c>
      <c r="AF16" s="781">
        <f>'D DRAW'!AG35+'C DRAW'!AG35+'A DRAW'!AG35+'B DRAW'!AG35</f>
        <v>0</v>
      </c>
      <c r="AG16" s="781">
        <f>'D DRAW'!AH35+'C DRAW'!AH35+'A DRAW'!AH35+'B DRAW'!AH35</f>
        <v>0</v>
      </c>
      <c r="AH16" s="781">
        <f>'D DRAW'!AI35+'C DRAW'!AI35+'A DRAW'!AI35+'B DRAW'!AI35</f>
        <v>0</v>
      </c>
      <c r="AI16" s="781">
        <f>'D DRAW'!AJ35+'C DRAW'!AJ35+'A DRAW'!AJ35+'B DRAW'!AJ35</f>
        <v>0</v>
      </c>
      <c r="AJ16" s="781">
        <f>'D DRAW'!AK35+'C DRAW'!AK35+'A DRAW'!AK35+'B DRAW'!AK35</f>
        <v>0</v>
      </c>
      <c r="AK16" s="781">
        <f>'D DRAW'!AL35+'C DRAW'!AL35+'A DRAW'!AL35+'B DRAW'!AL35</f>
        <v>0</v>
      </c>
      <c r="AL16" s="781">
        <f>'D DRAW'!AM35+'C DRAW'!AM35+'A DRAW'!AM35+'B DRAW'!AM35</f>
        <v>0</v>
      </c>
      <c r="AM16" s="781">
        <f>'D DRAW'!AN35+'C DRAW'!AN35+'A DRAW'!AN35+'B DRAW'!AN35</f>
        <v>0</v>
      </c>
      <c r="AN16" s="781">
        <f>'D DRAW'!AO35+'C DRAW'!AO35+'A DRAW'!AO35+'B DRAW'!AO35</f>
        <v>0</v>
      </c>
      <c r="AO16" s="781">
        <f>'D DRAW'!AP35+'C DRAW'!AP35+'A DRAW'!AP35+'B DRAW'!AP35</f>
        <v>0</v>
      </c>
      <c r="AP16" s="781">
        <f>'D DRAW'!AQ35+'C DRAW'!AQ35+'A DRAW'!AQ35+'B DRAW'!AQ35</f>
        <v>0</v>
      </c>
      <c r="AQ16" s="781">
        <f>'D DRAW'!AR35+'C DRAW'!AR35+'A DRAW'!AR35+'B DRAW'!AR35</f>
        <v>0</v>
      </c>
      <c r="AR16" s="781">
        <f>'D DRAW'!AS35+'C DRAW'!AS35+'A DRAW'!AS35+'B DRAW'!AS35</f>
        <v>0</v>
      </c>
      <c r="AS16" s="781">
        <f>'D DRAW'!AT35+'C DRAW'!AT35+'A DRAW'!AT35+'B DRAW'!AT35</f>
        <v>0</v>
      </c>
      <c r="AT16" s="781">
        <f>'D DRAW'!AU35+'C DRAW'!AU35+'A DRAW'!AU35+'B DRAW'!AU35</f>
        <v>0</v>
      </c>
      <c r="AU16" s="781">
        <f>'D DRAW'!AV35+'C DRAW'!AV35+'A DRAW'!AV35+'B DRAW'!AV35</f>
        <v>0</v>
      </c>
      <c r="AV16" s="142"/>
    </row>
    <row r="17" spans="1:48">
      <c r="A17" s="150" t="s">
        <v>147</v>
      </c>
      <c r="B17" s="180">
        <f ca="1">IF(B16&lt;0,0,IRR(C16:AU16))</f>
        <v>1.8273745862105617E-2</v>
      </c>
      <c r="C17" s="173"/>
      <c r="D17" s="173"/>
      <c r="E17" s="173"/>
      <c r="F17" s="173"/>
      <c r="G17" s="173"/>
      <c r="H17" s="173"/>
      <c r="I17" s="173"/>
      <c r="J17" s="173"/>
      <c r="K17" s="173"/>
      <c r="L17" s="173"/>
      <c r="M17" s="173"/>
      <c r="N17" s="173"/>
      <c r="O17" s="173"/>
      <c r="P17" s="173"/>
      <c r="Q17" s="173"/>
      <c r="R17" s="173"/>
      <c r="S17" s="173"/>
      <c r="T17" s="173"/>
      <c r="U17" s="173"/>
      <c r="V17" s="173"/>
      <c r="W17" s="173"/>
      <c r="X17" s="173"/>
      <c r="Y17" s="173"/>
      <c r="Z17" s="173"/>
      <c r="AA17" s="173"/>
      <c r="AB17" s="173"/>
      <c r="AC17" s="173"/>
      <c r="AD17" s="173"/>
      <c r="AE17" s="173"/>
      <c r="AF17" s="173"/>
      <c r="AG17" s="173"/>
      <c r="AH17" s="173"/>
      <c r="AI17" s="173"/>
      <c r="AJ17" s="173"/>
      <c r="AK17" s="173"/>
      <c r="AL17" s="173"/>
      <c r="AM17" s="173"/>
      <c r="AN17" s="173"/>
      <c r="AO17" s="173"/>
      <c r="AP17" s="173"/>
      <c r="AQ17" s="173"/>
      <c r="AR17" s="173"/>
      <c r="AS17" s="173"/>
      <c r="AT17" s="173"/>
      <c r="AU17" s="173"/>
      <c r="AV17" s="174"/>
    </row>
    <row r="18" spans="1:48">
      <c r="A18" s="150" t="s">
        <v>141</v>
      </c>
      <c r="B18" s="181">
        <f ca="1">POWER((1+B17),4)-1</f>
        <v>7.5123082276837172E-2</v>
      </c>
      <c r="C18" s="167"/>
      <c r="D18" s="167"/>
      <c r="E18" s="167"/>
      <c r="F18" s="167"/>
      <c r="G18" s="167"/>
      <c r="H18" s="167"/>
      <c r="I18" s="167"/>
      <c r="J18" s="167"/>
      <c r="K18" s="167"/>
      <c r="L18" s="167"/>
      <c r="M18" s="167"/>
      <c r="N18" s="167"/>
      <c r="O18" s="167"/>
      <c r="P18" s="167"/>
      <c r="Q18" s="167"/>
      <c r="R18" s="167"/>
      <c r="S18" s="167"/>
      <c r="T18" s="167"/>
      <c r="U18" s="167"/>
      <c r="V18" s="167"/>
      <c r="W18" s="167"/>
      <c r="X18" s="167"/>
      <c r="Y18" s="167"/>
      <c r="Z18" s="167"/>
      <c r="AA18" s="167"/>
      <c r="AB18" s="167"/>
      <c r="AC18" s="167"/>
      <c r="AD18" s="167"/>
      <c r="AE18" s="167"/>
      <c r="AF18" s="167"/>
      <c r="AG18" s="167"/>
      <c r="AH18" s="167"/>
      <c r="AI18" s="167"/>
      <c r="AJ18" s="167"/>
      <c r="AK18" s="167"/>
      <c r="AL18" s="167"/>
      <c r="AM18" s="167"/>
      <c r="AN18" s="167"/>
      <c r="AO18" s="167"/>
      <c r="AP18" s="167"/>
      <c r="AQ18" s="167"/>
      <c r="AR18" s="167"/>
      <c r="AS18" s="167"/>
      <c r="AT18" s="167"/>
      <c r="AU18" s="167"/>
      <c r="AV18" s="178"/>
    </row>
    <row r="19" spans="1:48">
      <c r="A19" s="167"/>
      <c r="B19" s="183"/>
      <c r="C19" s="167"/>
      <c r="D19" s="167"/>
      <c r="E19" s="167"/>
      <c r="F19" s="167"/>
      <c r="G19" s="167"/>
      <c r="H19" s="167"/>
      <c r="I19" s="167"/>
      <c r="J19" s="167"/>
      <c r="K19" s="167"/>
      <c r="L19" s="167"/>
      <c r="M19" s="167"/>
      <c r="N19" s="167"/>
      <c r="O19" s="167"/>
      <c r="P19" s="167"/>
      <c r="Q19" s="167"/>
      <c r="R19" s="167"/>
      <c r="S19" s="167"/>
      <c r="T19" s="167"/>
      <c r="U19" s="167"/>
      <c r="V19" s="167"/>
      <c r="W19" s="167"/>
      <c r="X19" s="167"/>
      <c r="Y19" s="167"/>
      <c r="Z19" s="167"/>
      <c r="AA19" s="167"/>
      <c r="AB19" s="167"/>
      <c r="AC19" s="167"/>
      <c r="AD19" s="167"/>
      <c r="AE19" s="167"/>
      <c r="AF19" s="167"/>
      <c r="AG19" s="167"/>
      <c r="AH19" s="167"/>
      <c r="AI19" s="167"/>
      <c r="AJ19" s="167"/>
      <c r="AK19" s="167"/>
      <c r="AL19" s="167"/>
      <c r="AM19" s="167"/>
      <c r="AN19" s="167"/>
      <c r="AO19" s="167"/>
      <c r="AP19" s="167"/>
      <c r="AQ19" s="167"/>
      <c r="AR19" s="167"/>
      <c r="AS19" s="167"/>
      <c r="AT19" s="167"/>
      <c r="AU19" s="167"/>
      <c r="AV19" s="178"/>
    </row>
    <row r="20" spans="1:48">
      <c r="A20" s="150" t="s">
        <v>150</v>
      </c>
      <c r="B20" s="142">
        <f ca="1">SUM(C20:AU20)</f>
        <v>265008099.95636839</v>
      </c>
      <c r="C20" s="781">
        <f ca="1">'D DRAW'!D40+'C DRAW'!D40+'A DRAW'!D40+'B DRAW'!D40</f>
        <v>-2020662.7720000001</v>
      </c>
      <c r="D20" s="781">
        <f ca="1">'D DRAW'!E40+'C DRAW'!E40+'A DRAW'!E40+'B DRAW'!E40</f>
        <v>-3286231.7646000003</v>
      </c>
      <c r="E20" s="781">
        <f ca="1">'D DRAW'!F40+'C DRAW'!F40+'A DRAW'!F40+'B DRAW'!F40</f>
        <v>-4193987.9286000007</v>
      </c>
      <c r="F20" s="781">
        <f ca="1">'D DRAW'!G40+'C DRAW'!G40+'A DRAW'!G40+'B DRAW'!G40</f>
        <v>-4193987.9286000007</v>
      </c>
      <c r="G20" s="781">
        <f ca="1">'D DRAW'!H40+'C DRAW'!H40+'A DRAW'!H40+'B DRAW'!H40</f>
        <v>-4193987.9286000007</v>
      </c>
      <c r="H20" s="781">
        <f ca="1">'D DRAW'!I40+'C DRAW'!I40+'A DRAW'!I40+'B DRAW'!I40</f>
        <v>-6491904.0676732995</v>
      </c>
      <c r="I20" s="781">
        <f ca="1">'D DRAW'!J40+'C DRAW'!J40+'A DRAW'!J40+'B DRAW'!J40</f>
        <v>-103412267.15067998</v>
      </c>
      <c r="J20" s="781">
        <f ca="1">'D DRAW'!K40+'C DRAW'!K40+'A DRAW'!K40+'B DRAW'!K40</f>
        <v>-115952164.97637309</v>
      </c>
      <c r="K20" s="781">
        <f ca="1">'D DRAW'!L40+'C DRAW'!L40+'A DRAW'!L40+'B DRAW'!L40</f>
        <v>-144993742.08212841</v>
      </c>
      <c r="L20" s="781">
        <f ca="1">'D DRAW'!M40+'C DRAW'!M40+'A DRAW'!M40+'B DRAW'!M40</f>
        <v>-166152332.6958946</v>
      </c>
      <c r="M20" s="781">
        <f ca="1">'D DRAW'!N40+'C DRAW'!N40+'A DRAW'!N40+'B DRAW'!N40</f>
        <v>-149010117.06167704</v>
      </c>
      <c r="N20" s="781">
        <f ca="1">'D DRAW'!O40+'C DRAW'!O40+'A DRAW'!O40+'B DRAW'!O40</f>
        <v>-76315641.69621107</v>
      </c>
      <c r="O20" s="781">
        <f ca="1">'D DRAW'!P40+'C DRAW'!P40+'A DRAW'!P40+'B DRAW'!P40</f>
        <v>248005648.30733201</v>
      </c>
      <c r="P20" s="781">
        <f ca="1">'D DRAW'!Q40+'C DRAW'!Q40+'A DRAW'!Q40+'B DRAW'!Q40</f>
        <v>192085784.2306883</v>
      </c>
      <c r="Q20" s="781">
        <f ca="1">'D DRAW'!R40+'C DRAW'!R40+'A DRAW'!R40+'B DRAW'!R40</f>
        <v>-64794730.908170663</v>
      </c>
      <c r="R20" s="781">
        <f ca="1">'D DRAW'!S40+'C DRAW'!S40+'A DRAW'!S40+'B DRAW'!S40</f>
        <v>413955272.50725496</v>
      </c>
      <c r="S20" s="781">
        <f ca="1">'D DRAW'!T40+'C DRAW'!T40+'A DRAW'!T40+'B DRAW'!T40</f>
        <v>-21460459.36291036</v>
      </c>
      <c r="T20" s="781">
        <f ca="1">'D DRAW'!U40+'C DRAW'!U40+'A DRAW'!U40+'B DRAW'!U40</f>
        <v>-11971158.975455178</v>
      </c>
      <c r="U20" s="781">
        <f>'D DRAW'!V40+'C DRAW'!V40+'A DRAW'!V40+'B DRAW'!V40</f>
        <v>-800000</v>
      </c>
      <c r="V20" s="781">
        <f ca="1">'D DRAW'!W40+'C DRAW'!W40+'A DRAW'!W40+'B DRAW'!W40</f>
        <v>290204772.21066666</v>
      </c>
      <c r="W20" s="781">
        <f>'D DRAW'!X40+'C DRAW'!X40+'A DRAW'!X40+'B DRAW'!X40</f>
        <v>0</v>
      </c>
      <c r="X20" s="781">
        <f>'D DRAW'!Y40+'C DRAW'!Y40+'A DRAW'!Y40+'B DRAW'!Y40</f>
        <v>0</v>
      </c>
      <c r="Y20" s="781">
        <f>'D DRAW'!Z40+'C DRAW'!Z40+'A DRAW'!Z40+'B DRAW'!Z40</f>
        <v>0</v>
      </c>
      <c r="Z20" s="781">
        <f>'D DRAW'!AA40+'C DRAW'!AA40+'A DRAW'!AA40+'B DRAW'!AA40</f>
        <v>0</v>
      </c>
      <c r="AA20" s="781">
        <f>'D DRAW'!AB40+'C DRAW'!AB40+'A DRAW'!AB40+'B DRAW'!AB40</f>
        <v>0</v>
      </c>
      <c r="AB20" s="781">
        <f>'D DRAW'!AC40+'C DRAW'!AC40+'A DRAW'!AC40+'B DRAW'!AC40</f>
        <v>0</v>
      </c>
      <c r="AC20" s="781">
        <f>'D DRAW'!AD40+'C DRAW'!AD40+'A DRAW'!AD40+'B DRAW'!AD40</f>
        <v>0</v>
      </c>
      <c r="AD20" s="781">
        <f>'D DRAW'!AE40+'C DRAW'!AE40+'A DRAW'!AE40+'B DRAW'!AE40</f>
        <v>0</v>
      </c>
      <c r="AE20" s="781">
        <f>'D DRAW'!AF40+'C DRAW'!AF40+'A DRAW'!AF40+'B DRAW'!AF40</f>
        <v>0</v>
      </c>
      <c r="AF20" s="781">
        <f>'D DRAW'!AG40+'C DRAW'!AG40+'A DRAW'!AG40+'B DRAW'!AG40</f>
        <v>0</v>
      </c>
      <c r="AG20" s="781">
        <f>'D DRAW'!AH40+'C DRAW'!AH40+'A DRAW'!AH40+'B DRAW'!AH40</f>
        <v>0</v>
      </c>
      <c r="AH20" s="781">
        <f>'D DRAW'!AI40+'C DRAW'!AI40+'A DRAW'!AI40+'B DRAW'!AI40</f>
        <v>0</v>
      </c>
      <c r="AI20" s="781">
        <f>'D DRAW'!AJ40+'C DRAW'!AJ40+'A DRAW'!AJ40+'B DRAW'!AJ40</f>
        <v>0</v>
      </c>
      <c r="AJ20" s="781">
        <f>'D DRAW'!AK40+'C DRAW'!AK40+'A DRAW'!AK40+'B DRAW'!AK40</f>
        <v>0</v>
      </c>
      <c r="AK20" s="781">
        <f>'D DRAW'!AL40+'C DRAW'!AL40+'A DRAW'!AL40+'B DRAW'!AL40</f>
        <v>0</v>
      </c>
      <c r="AL20" s="781">
        <f>'D DRAW'!AM40+'C DRAW'!AM40+'A DRAW'!AM40+'B DRAW'!AM40</f>
        <v>0</v>
      </c>
      <c r="AM20" s="781">
        <f>'D DRAW'!AN40+'C DRAW'!AN40+'A DRAW'!AN40+'B DRAW'!AN40</f>
        <v>0</v>
      </c>
      <c r="AN20" s="781">
        <f>'D DRAW'!AO40+'C DRAW'!AO40+'A DRAW'!AO40+'B DRAW'!AO40</f>
        <v>0</v>
      </c>
      <c r="AO20" s="781">
        <f>'D DRAW'!AP40+'C DRAW'!AP40+'A DRAW'!AP40+'B DRAW'!AP40</f>
        <v>0</v>
      </c>
      <c r="AP20" s="781">
        <f>'D DRAW'!AQ40+'C DRAW'!AQ40+'A DRAW'!AQ40+'B DRAW'!AQ40</f>
        <v>0</v>
      </c>
      <c r="AQ20" s="781">
        <f>'D DRAW'!AR40+'C DRAW'!AR40+'A DRAW'!AR40+'B DRAW'!AR40</f>
        <v>0</v>
      </c>
      <c r="AR20" s="781">
        <f>'D DRAW'!AS40+'C DRAW'!AS40+'A DRAW'!AS40+'B DRAW'!AS40</f>
        <v>0</v>
      </c>
      <c r="AS20" s="781">
        <f>'D DRAW'!AT40+'C DRAW'!AT40+'A DRAW'!AT40+'B DRAW'!AT40</f>
        <v>0</v>
      </c>
      <c r="AT20" s="781">
        <f>'D DRAW'!AU40+'C DRAW'!AU40+'A DRAW'!AU40+'B DRAW'!AU40</f>
        <v>0</v>
      </c>
      <c r="AU20" s="781">
        <f>'D DRAW'!AV40+'C DRAW'!AV40+'A DRAW'!AV40+'B DRAW'!AV40</f>
        <v>0</v>
      </c>
      <c r="AV20" s="150"/>
    </row>
    <row r="21" spans="1:48">
      <c r="A21" s="150" t="s">
        <v>151</v>
      </c>
      <c r="B21" s="180">
        <f ca="1">IF(B20&lt;0,0,IRR(C20:AU20))</f>
        <v>4.4966777087940502E-2</v>
      </c>
      <c r="C21" s="162"/>
      <c r="D21" s="167"/>
      <c r="E21" s="167"/>
      <c r="F21" s="167"/>
      <c r="G21" s="167"/>
      <c r="H21" s="167"/>
      <c r="I21" s="167"/>
      <c r="J21" s="167"/>
      <c r="K21" s="167"/>
      <c r="L21" s="167"/>
      <c r="M21" s="162"/>
      <c r="N21" s="167"/>
      <c r="O21" s="167"/>
      <c r="P21" s="167"/>
      <c r="Q21" s="167"/>
      <c r="R21" s="167"/>
      <c r="S21" s="162"/>
      <c r="T21" s="167"/>
      <c r="U21" s="167"/>
      <c r="V21" s="167"/>
      <c r="W21" s="167"/>
      <c r="X21" s="167"/>
      <c r="Y21" s="167"/>
      <c r="Z21" s="167"/>
      <c r="AA21" s="167"/>
      <c r="AB21" s="167"/>
      <c r="AC21" s="167"/>
      <c r="AD21" s="167"/>
      <c r="AE21" s="167"/>
      <c r="AF21" s="167"/>
      <c r="AG21" s="167"/>
      <c r="AH21" s="167"/>
      <c r="AI21" s="167"/>
      <c r="AJ21" s="167"/>
      <c r="AK21" s="167"/>
      <c r="AL21" s="167"/>
      <c r="AM21" s="167"/>
      <c r="AN21" s="167"/>
      <c r="AO21" s="167"/>
      <c r="AP21" s="167"/>
      <c r="AQ21" s="167"/>
      <c r="AR21" s="167"/>
      <c r="AS21" s="167"/>
      <c r="AT21" s="167"/>
      <c r="AU21" s="167"/>
      <c r="AV21" s="150"/>
    </row>
    <row r="22" spans="1:48">
      <c r="A22" s="150" t="s">
        <v>146</v>
      </c>
      <c r="B22" s="181">
        <f ca="1">POWER((1+B21),4)-1</f>
        <v>0.19236695640959534</v>
      </c>
      <c r="C22" s="167"/>
      <c r="D22" s="167"/>
      <c r="E22" s="167"/>
      <c r="F22" s="167"/>
      <c r="G22" s="167"/>
      <c r="H22" s="167"/>
      <c r="I22" s="167"/>
      <c r="J22" s="167"/>
      <c r="K22" s="167"/>
      <c r="L22" s="167"/>
      <c r="M22" s="162"/>
      <c r="N22" s="167"/>
      <c r="O22" s="167"/>
      <c r="P22" s="167"/>
      <c r="Q22" s="167"/>
      <c r="R22" s="167"/>
      <c r="S22" s="162"/>
      <c r="T22" s="167"/>
      <c r="U22" s="167"/>
      <c r="V22" s="167"/>
      <c r="W22" s="167"/>
      <c r="X22" s="167"/>
      <c r="Y22" s="167"/>
      <c r="Z22" s="167"/>
      <c r="AA22" s="167"/>
      <c r="AB22" s="167"/>
      <c r="AC22" s="167"/>
      <c r="AD22" s="167"/>
      <c r="AE22" s="167"/>
      <c r="AF22" s="167"/>
      <c r="AG22" s="167"/>
      <c r="AH22" s="167"/>
      <c r="AI22" s="167"/>
      <c r="AJ22" s="167"/>
      <c r="AK22" s="167"/>
      <c r="AL22" s="167"/>
      <c r="AM22" s="167"/>
      <c r="AN22" s="167"/>
      <c r="AO22" s="167"/>
      <c r="AP22" s="167"/>
      <c r="AQ22" s="167"/>
      <c r="AR22" s="167"/>
      <c r="AS22" s="167"/>
      <c r="AT22" s="167"/>
      <c r="AU22" s="167"/>
      <c r="AV22" s="150"/>
    </row>
    <row r="23" spans="1:48">
      <c r="G23" s="5"/>
      <c r="AA23"/>
      <c r="AB23"/>
      <c r="AC23"/>
      <c r="AD23"/>
      <c r="AE23"/>
      <c r="AF23"/>
      <c r="AH23"/>
      <c r="AI23"/>
      <c r="AJ23"/>
    </row>
    <row r="24" spans="1:48">
      <c r="A24" s="780" t="s">
        <v>332</v>
      </c>
      <c r="G24" s="5"/>
      <c r="AB24" s="5"/>
      <c r="AE24" s="5"/>
      <c r="AI24" s="5"/>
    </row>
    <row r="25" spans="1:48">
      <c r="A25" s="759" t="s">
        <v>148</v>
      </c>
      <c r="G25" s="5"/>
      <c r="AB25"/>
      <c r="AC25"/>
      <c r="AD25"/>
      <c r="AE25"/>
      <c r="AI25" s="5"/>
    </row>
    <row r="26" spans="1:48">
      <c r="A26" s="759"/>
      <c r="G26" s="5"/>
      <c r="AB26"/>
      <c r="AC26"/>
      <c r="AD26"/>
      <c r="AE26"/>
      <c r="AI26" s="5"/>
      <c r="AV26" s="58" t="s">
        <v>62</v>
      </c>
    </row>
    <row r="27" spans="1:48" ht="15" thickBot="1">
      <c r="A27" s="760"/>
      <c r="B27" s="179" t="s">
        <v>149</v>
      </c>
      <c r="C27" s="182">
        <v>46023</v>
      </c>
      <c r="D27" s="102">
        <f>EOMONTH(C27,3)</f>
        <v>46142</v>
      </c>
      <c r="E27" s="102">
        <f t="shared" ref="E27" si="42">EOMONTH(D27,3)</f>
        <v>46234</v>
      </c>
      <c r="F27" s="102">
        <f t="shared" ref="F27" si="43">EOMONTH(E27,3)</f>
        <v>46326</v>
      </c>
      <c r="G27" s="102">
        <f t="shared" ref="G27" si="44">EOMONTH(F27,3)</f>
        <v>46418</v>
      </c>
      <c r="H27" s="102">
        <f t="shared" ref="H27" si="45">EOMONTH(G27,3)</f>
        <v>46507</v>
      </c>
      <c r="I27" s="102">
        <f t="shared" ref="I27" si="46">EOMONTH(H27,3)</f>
        <v>46599</v>
      </c>
      <c r="J27" s="102">
        <f t="shared" ref="J27" si="47">EOMONTH(I27,3)</f>
        <v>46691</v>
      </c>
      <c r="K27" s="102">
        <f t="shared" ref="K27" si="48">EOMONTH(J27,3)</f>
        <v>46783</v>
      </c>
      <c r="L27" s="102">
        <f t="shared" ref="L27" si="49">EOMONTH(K27,3)</f>
        <v>46873</v>
      </c>
      <c r="M27" s="102">
        <f t="shared" ref="M27" si="50">EOMONTH(L27,3)</f>
        <v>46965</v>
      </c>
      <c r="N27" s="102">
        <f t="shared" ref="N27" si="51">EOMONTH(M27,3)</f>
        <v>47057</v>
      </c>
      <c r="O27" s="102">
        <f t="shared" ref="O27" si="52">EOMONTH(N27,3)</f>
        <v>47149</v>
      </c>
      <c r="P27" s="102">
        <f t="shared" ref="P27" si="53">EOMONTH(O27,3)</f>
        <v>47238</v>
      </c>
      <c r="Q27" s="102">
        <f t="shared" ref="Q27" si="54">EOMONTH(P27,3)</f>
        <v>47330</v>
      </c>
      <c r="R27" s="102">
        <f t="shared" ref="R27" si="55">EOMONTH(Q27,3)</f>
        <v>47422</v>
      </c>
      <c r="S27" s="102">
        <f t="shared" ref="S27" si="56">EOMONTH(R27,3)</f>
        <v>47514</v>
      </c>
      <c r="T27" s="102">
        <f t="shared" ref="T27" si="57">EOMONTH(S27,3)</f>
        <v>47603</v>
      </c>
      <c r="U27" s="102">
        <f t="shared" ref="U27" si="58">EOMONTH(T27,3)</f>
        <v>47695</v>
      </c>
      <c r="V27" s="102">
        <f t="shared" ref="V27" si="59">EOMONTH(U27,3)</f>
        <v>47787</v>
      </c>
      <c r="W27" s="102">
        <f t="shared" ref="W27" si="60">EOMONTH(V27,3)</f>
        <v>47879</v>
      </c>
      <c r="X27" s="102">
        <f t="shared" ref="X27" si="61">EOMONTH(W27,3)</f>
        <v>47968</v>
      </c>
      <c r="Y27" s="102">
        <f t="shared" ref="Y27" si="62">EOMONTH(X27,3)</f>
        <v>48060</v>
      </c>
      <c r="Z27" s="102">
        <f t="shared" ref="Z27" si="63">EOMONTH(Y27,3)</f>
        <v>48152</v>
      </c>
      <c r="AA27" s="102">
        <f t="shared" ref="AA27" si="64">EOMONTH(Z27,3)</f>
        <v>48244</v>
      </c>
      <c r="AB27" s="102">
        <f t="shared" ref="AB27" si="65">EOMONTH(AA27,3)</f>
        <v>48334</v>
      </c>
      <c r="AC27" s="102">
        <f t="shared" ref="AC27" si="66">EOMONTH(AB27,3)</f>
        <v>48426</v>
      </c>
      <c r="AD27" s="102">
        <f t="shared" ref="AD27" si="67">EOMONTH(AC27,3)</f>
        <v>48518</v>
      </c>
      <c r="AE27" s="102">
        <f t="shared" ref="AE27" si="68">EOMONTH(AD27,3)</f>
        <v>48610</v>
      </c>
      <c r="AF27" s="102">
        <f t="shared" ref="AF27" si="69">EOMONTH(AE27,3)</f>
        <v>48699</v>
      </c>
      <c r="AG27" s="102">
        <f t="shared" ref="AG27" si="70">EOMONTH(AF27,3)</f>
        <v>48791</v>
      </c>
      <c r="AH27" s="102">
        <f t="shared" ref="AH27" si="71">EOMONTH(AG27,3)</f>
        <v>48883</v>
      </c>
      <c r="AI27" s="102">
        <f t="shared" ref="AI27" si="72">EOMONTH(AH27,3)</f>
        <v>48975</v>
      </c>
      <c r="AJ27" s="102">
        <f t="shared" ref="AJ27" si="73">EOMONTH(AI27,3)</f>
        <v>49064</v>
      </c>
      <c r="AK27" s="102">
        <f t="shared" ref="AK27" si="74">EOMONTH(AJ27,3)</f>
        <v>49156</v>
      </c>
      <c r="AL27" s="102">
        <f t="shared" ref="AL27" si="75">EOMONTH(AK27,3)</f>
        <v>49248</v>
      </c>
      <c r="AM27" s="102">
        <f t="shared" ref="AM27" si="76">EOMONTH(AL27,3)</f>
        <v>49340</v>
      </c>
      <c r="AN27" s="102">
        <f>EOMONTH(AM27,3)</f>
        <v>49429</v>
      </c>
      <c r="AO27" s="102">
        <f t="shared" ref="AO27" si="77">EOMONTH(AN27,3)</f>
        <v>49521</v>
      </c>
      <c r="AP27" s="102">
        <f t="shared" ref="AP27" si="78">EOMONTH(AO27,3)</f>
        <v>49613</v>
      </c>
      <c r="AQ27" s="102">
        <f t="shared" ref="AQ27" si="79">EOMONTH(AP27,3)</f>
        <v>49705</v>
      </c>
      <c r="AR27" s="102">
        <f t="shared" ref="AR27" si="80">EOMONTH(AQ27,3)</f>
        <v>49795</v>
      </c>
      <c r="AS27" s="102">
        <f t="shared" ref="AS27" si="81">EOMONTH(AR27,3)</f>
        <v>49887</v>
      </c>
      <c r="AT27" s="102">
        <f t="shared" ref="AT27" si="82">EOMONTH(AS27,3)</f>
        <v>49979</v>
      </c>
      <c r="AU27" s="102">
        <v>50040</v>
      </c>
      <c r="AV27" s="133"/>
    </row>
    <row r="28" spans="1:48">
      <c r="A28" s="158" t="s">
        <v>164</v>
      </c>
      <c r="B28" s="142">
        <f ca="1">SUM(C28:AU28)</f>
        <v>333156261.1149534</v>
      </c>
      <c r="C28" s="781">
        <f ca="1">'F DRAW'!D35+'E DRAW'!D35</f>
        <v>0</v>
      </c>
      <c r="D28" s="781">
        <f ca="1">'F DRAW'!E35+'E DRAW'!E35</f>
        <v>0</v>
      </c>
      <c r="E28" s="781">
        <f ca="1">'F DRAW'!F35+'E DRAW'!F35</f>
        <v>0</v>
      </c>
      <c r="F28" s="781">
        <f ca="1">'F DRAW'!G35+'E DRAW'!G35</f>
        <v>0</v>
      </c>
      <c r="G28" s="781">
        <f ca="1">'F DRAW'!H35+'E DRAW'!H35</f>
        <v>0</v>
      </c>
      <c r="H28" s="781">
        <f ca="1">'F DRAW'!I35+'E DRAW'!I35</f>
        <v>0</v>
      </c>
      <c r="I28" s="781">
        <f ca="1">'F DRAW'!J35+'E DRAW'!J35</f>
        <v>0</v>
      </c>
      <c r="J28" s="781">
        <f ca="1">'F DRAW'!K35+'E DRAW'!K35</f>
        <v>0</v>
      </c>
      <c r="K28" s="781">
        <f ca="1">'F DRAW'!L35+'E DRAW'!L35</f>
        <v>0</v>
      </c>
      <c r="L28" s="781">
        <f ca="1">'F DRAW'!M35+'E DRAW'!M35</f>
        <v>-3073690.29</v>
      </c>
      <c r="M28" s="781">
        <f ca="1">'F DRAW'!N35+'E DRAW'!N35</f>
        <v>-5531795.0966666657</v>
      </c>
      <c r="N28" s="781">
        <f ca="1">'F DRAW'!O35+'E DRAW'!O35</f>
        <v>-5531795.0966666657</v>
      </c>
      <c r="O28" s="781">
        <f ca="1">'F DRAW'!P35+'E DRAW'!P35</f>
        <v>-5531795.0966666657</v>
      </c>
      <c r="P28" s="781">
        <f ca="1">'F DRAW'!Q35+'E DRAW'!Q35</f>
        <v>-23599690.087209228</v>
      </c>
      <c r="Q28" s="781">
        <f ca="1">'F DRAW'!R35+'E DRAW'!R35</f>
        <v>-93626210.920016736</v>
      </c>
      <c r="R28" s="781">
        <f ca="1">'F DRAW'!S35+'E DRAW'!S35</f>
        <v>-91205347.216639429</v>
      </c>
      <c r="S28" s="781">
        <f ca="1">'F DRAW'!T35+'E DRAW'!T35</f>
        <v>-107041892.91008392</v>
      </c>
      <c r="T28" s="781">
        <f ca="1">'F DRAW'!U35+'E DRAW'!U35</f>
        <v>-140192992.74201548</v>
      </c>
      <c r="U28" s="781">
        <f ca="1">'F DRAW'!V35+'E DRAW'!V35</f>
        <v>-126569006.09726737</v>
      </c>
      <c r="V28" s="781">
        <f ca="1">'F DRAW'!W35+'E DRAW'!W35</f>
        <v>-95647851.053977981</v>
      </c>
      <c r="W28" s="781">
        <f ca="1">'F DRAW'!X35+'E DRAW'!X35</f>
        <v>-71631283.534527212</v>
      </c>
      <c r="X28" s="781">
        <f ca="1">'F DRAW'!Y35+'E DRAW'!Y35</f>
        <v>-71631283.534527212</v>
      </c>
      <c r="Y28" s="781">
        <f ca="1">'F DRAW'!Z35+'E DRAW'!Z35</f>
        <v>-44825499.774094999</v>
      </c>
      <c r="Z28" s="781">
        <f ca="1">'F DRAW'!AA35+'E DRAW'!AA35</f>
        <v>-68151063.211925909</v>
      </c>
      <c r="AA28" s="781">
        <f ca="1">'F DRAW'!AB35+'E DRAW'!AB35</f>
        <v>1286947457.7772388</v>
      </c>
      <c r="AB28" s="781">
        <f>'F DRAW'!AC35+'E DRAW'!AC35</f>
        <v>0</v>
      </c>
      <c r="AC28" s="781">
        <f>'F DRAW'!AD35+'E DRAW'!AD35</f>
        <v>0</v>
      </c>
      <c r="AD28" s="781">
        <f>'F DRAW'!AE35+'E DRAW'!AE35</f>
        <v>0</v>
      </c>
      <c r="AE28" s="781">
        <f>'F DRAW'!AF35+'E DRAW'!AF35</f>
        <v>0</v>
      </c>
      <c r="AF28" s="781">
        <f>'F DRAW'!AG35+'E DRAW'!AG35</f>
        <v>0</v>
      </c>
      <c r="AG28" s="781">
        <f>'F DRAW'!AH35+'E DRAW'!AH35</f>
        <v>0</v>
      </c>
      <c r="AH28" s="781">
        <f>'F DRAW'!AI35+'E DRAW'!AI35</f>
        <v>0</v>
      </c>
      <c r="AI28" s="781">
        <f>'F DRAW'!AJ35+'E DRAW'!AJ35</f>
        <v>0</v>
      </c>
      <c r="AJ28" s="781">
        <f>'F DRAW'!AK35+'E DRAW'!AK35</f>
        <v>0</v>
      </c>
      <c r="AK28" s="781">
        <f>'F DRAW'!AL35+'E DRAW'!AL35</f>
        <v>0</v>
      </c>
      <c r="AL28" s="781">
        <f>'F DRAW'!AM35+'E DRAW'!AM35</f>
        <v>0</v>
      </c>
      <c r="AM28" s="781">
        <f>'F DRAW'!AN35+'E DRAW'!AN35</f>
        <v>0</v>
      </c>
      <c r="AN28" s="781">
        <f>'F DRAW'!AO35+'E DRAW'!AO35</f>
        <v>0</v>
      </c>
      <c r="AO28" s="781">
        <f>'F DRAW'!AP35+'E DRAW'!AP35</f>
        <v>0</v>
      </c>
      <c r="AP28" s="781">
        <f>'F DRAW'!AQ35+'E DRAW'!AQ35</f>
        <v>0</v>
      </c>
      <c r="AQ28" s="781">
        <f>'F DRAW'!AR35+'E DRAW'!AR35</f>
        <v>0</v>
      </c>
      <c r="AR28" s="781">
        <f>'F DRAW'!AS35+'E DRAW'!AS35</f>
        <v>0</v>
      </c>
      <c r="AS28" s="781">
        <f>'F DRAW'!AT35+'E DRAW'!AT35</f>
        <v>0</v>
      </c>
      <c r="AT28" s="781">
        <f>'F DRAW'!AU35+'E DRAW'!AU35</f>
        <v>0</v>
      </c>
      <c r="AU28" s="781">
        <f>'F DRAW'!AV35+'E DRAW'!AV35</f>
        <v>0</v>
      </c>
      <c r="AV28" s="142"/>
    </row>
    <row r="29" spans="1:48">
      <c r="A29" s="150" t="s">
        <v>147</v>
      </c>
      <c r="B29" s="180">
        <f ca="1">IF(B28&lt;0,0,IRR(C28:AU28))</f>
        <v>4.7203192591511289E-2</v>
      </c>
      <c r="C29" s="173"/>
      <c r="D29" s="173"/>
      <c r="E29" s="173"/>
      <c r="F29" s="173"/>
      <c r="G29" s="173"/>
      <c r="H29" s="173"/>
      <c r="I29" s="173"/>
      <c r="J29" s="173"/>
      <c r="K29" s="173"/>
      <c r="L29" s="173"/>
      <c r="M29" s="173"/>
      <c r="N29" s="173"/>
      <c r="O29" s="173"/>
      <c r="P29" s="173"/>
      <c r="Q29" s="173"/>
      <c r="R29" s="173"/>
      <c r="S29" s="173"/>
      <c r="T29" s="173"/>
      <c r="U29" s="173"/>
      <c r="V29" s="173"/>
      <c r="W29" s="173"/>
      <c r="X29" s="173"/>
      <c r="Y29" s="173"/>
      <c r="Z29" s="173"/>
      <c r="AA29" s="173"/>
      <c r="AB29" s="173"/>
      <c r="AC29" s="173"/>
      <c r="AD29" s="173"/>
      <c r="AE29" s="173"/>
      <c r="AF29" s="173"/>
      <c r="AG29" s="173"/>
      <c r="AH29" s="173"/>
      <c r="AI29" s="173"/>
      <c r="AJ29" s="173"/>
      <c r="AK29" s="173"/>
      <c r="AL29" s="173"/>
      <c r="AM29" s="173"/>
      <c r="AN29" s="173"/>
      <c r="AO29" s="173"/>
      <c r="AP29" s="173"/>
      <c r="AQ29" s="173"/>
      <c r="AR29" s="173"/>
      <c r="AS29" s="173"/>
      <c r="AT29" s="173"/>
      <c r="AU29" s="173"/>
      <c r="AV29" s="174"/>
    </row>
    <row r="30" spans="1:48">
      <c r="A30" s="150" t="s">
        <v>141</v>
      </c>
      <c r="B30" s="181">
        <f ca="1">POWER((1+B29),4)-1</f>
        <v>0.2026072848738607</v>
      </c>
      <c r="C30" s="167"/>
      <c r="D30" s="167"/>
      <c r="E30" s="167"/>
      <c r="F30" s="167"/>
      <c r="G30" s="167"/>
      <c r="H30" s="167"/>
      <c r="I30" s="167"/>
      <c r="J30" s="167"/>
      <c r="K30" s="167"/>
      <c r="L30" s="167"/>
      <c r="M30" s="167"/>
      <c r="N30" s="167"/>
      <c r="O30" s="167"/>
      <c r="P30" s="167"/>
      <c r="Q30" s="167"/>
      <c r="R30" s="167"/>
      <c r="S30" s="167"/>
      <c r="T30" s="167"/>
      <c r="U30" s="167"/>
      <c r="V30" s="167"/>
      <c r="W30" s="167"/>
      <c r="X30" s="167"/>
      <c r="Y30" s="167"/>
      <c r="Z30" s="167"/>
      <c r="AA30" s="167"/>
      <c r="AB30" s="167"/>
      <c r="AC30" s="167"/>
      <c r="AD30" s="167"/>
      <c r="AE30" s="167"/>
      <c r="AF30" s="167"/>
      <c r="AG30" s="167"/>
      <c r="AH30" s="167"/>
      <c r="AI30" s="167"/>
      <c r="AJ30" s="167"/>
      <c r="AK30" s="167"/>
      <c r="AL30" s="167"/>
      <c r="AM30" s="167"/>
      <c r="AN30" s="167"/>
      <c r="AO30" s="167"/>
      <c r="AP30" s="167"/>
      <c r="AQ30" s="167"/>
      <c r="AR30" s="167"/>
      <c r="AS30" s="167"/>
      <c r="AT30" s="167"/>
      <c r="AU30" s="167"/>
      <c r="AV30" s="178"/>
    </row>
    <row r="31" spans="1:48">
      <c r="A31" s="167"/>
      <c r="B31" s="183"/>
      <c r="C31" s="167"/>
      <c r="D31" s="167"/>
      <c r="E31" s="167"/>
      <c r="F31" s="167"/>
      <c r="G31" s="167"/>
      <c r="H31" s="167"/>
      <c r="I31" s="167"/>
      <c r="J31" s="167"/>
      <c r="K31" s="167"/>
      <c r="L31" s="167"/>
      <c r="M31" s="167"/>
      <c r="N31" s="167"/>
      <c r="O31" s="167"/>
      <c r="P31" s="167"/>
      <c r="Q31" s="167"/>
      <c r="R31" s="167"/>
      <c r="S31" s="167"/>
      <c r="T31" s="167"/>
      <c r="U31" s="167"/>
      <c r="V31" s="167"/>
      <c r="W31" s="167"/>
      <c r="X31" s="167"/>
      <c r="Y31" s="167"/>
      <c r="Z31" s="167"/>
      <c r="AA31" s="167"/>
      <c r="AB31" s="167"/>
      <c r="AC31" s="167"/>
      <c r="AD31" s="167"/>
      <c r="AE31" s="167"/>
      <c r="AF31" s="167"/>
      <c r="AG31" s="167"/>
      <c r="AH31" s="167"/>
      <c r="AI31" s="167"/>
      <c r="AJ31" s="167"/>
      <c r="AK31" s="167"/>
      <c r="AL31" s="167"/>
      <c r="AM31" s="167"/>
      <c r="AN31" s="167"/>
      <c r="AO31" s="167"/>
      <c r="AP31" s="167"/>
      <c r="AQ31" s="167"/>
      <c r="AR31" s="167"/>
      <c r="AS31" s="167"/>
      <c r="AT31" s="167"/>
      <c r="AU31" s="167"/>
      <c r="AV31" s="178"/>
    </row>
    <row r="32" spans="1:48">
      <c r="A32" s="150" t="s">
        <v>150</v>
      </c>
      <c r="B32" s="142">
        <f ca="1">SUM(C32:AU32)</f>
        <v>507120583.86495328</v>
      </c>
      <c r="C32" s="142">
        <f ca="1">'F DRAW'!D40+'E DRAW'!D40</f>
        <v>0</v>
      </c>
      <c r="D32" s="142">
        <f ca="1">'F DRAW'!E40+'E DRAW'!E40</f>
        <v>0</v>
      </c>
      <c r="E32" s="142">
        <f ca="1">'F DRAW'!F40+'E DRAW'!F40</f>
        <v>0</v>
      </c>
      <c r="F32" s="142">
        <f ca="1">'F DRAW'!G40+'E DRAW'!G40</f>
        <v>0</v>
      </c>
      <c r="G32" s="142">
        <f ca="1">'F DRAW'!H40+'E DRAW'!H40</f>
        <v>0</v>
      </c>
      <c r="H32" s="142">
        <f ca="1">'F DRAW'!I40+'E DRAW'!I40</f>
        <v>0</v>
      </c>
      <c r="I32" s="142">
        <f ca="1">'F DRAW'!J40+'E DRAW'!J40</f>
        <v>0</v>
      </c>
      <c r="J32" s="142">
        <f ca="1">'F DRAW'!K40+'E DRAW'!K40</f>
        <v>0</v>
      </c>
      <c r="K32" s="142">
        <f ca="1">'F DRAW'!L40+'E DRAW'!L40</f>
        <v>0</v>
      </c>
      <c r="L32" s="142">
        <f ca="1">'F DRAW'!M40+'E DRAW'!M40</f>
        <v>-3073690.29</v>
      </c>
      <c r="M32" s="142">
        <f ca="1">'F DRAW'!N40+'E DRAW'!N40</f>
        <v>-5531795.0966666657</v>
      </c>
      <c r="N32" s="142">
        <f ca="1">'F DRAW'!O40+'E DRAW'!O40</f>
        <v>-5531795.0966666657</v>
      </c>
      <c r="O32" s="142">
        <f ca="1">'F DRAW'!P40+'E DRAW'!P40</f>
        <v>-5531795.0966666657</v>
      </c>
      <c r="P32" s="142">
        <f ca="1">'F DRAW'!Q40+'E DRAW'!Q40</f>
        <v>-23599690.087209228</v>
      </c>
      <c r="Q32" s="142">
        <f ca="1">'F DRAW'!R40+'E DRAW'!R40</f>
        <v>-93626210.920016736</v>
      </c>
      <c r="R32" s="142">
        <f ca="1">'F DRAW'!S40+'E DRAW'!S40</f>
        <v>-91205347.216639429</v>
      </c>
      <c r="S32" s="142">
        <f ca="1">'F DRAW'!T40+'E DRAW'!T40</f>
        <v>-107041892.91008392</v>
      </c>
      <c r="T32" s="142">
        <f ca="1">'F DRAW'!U40+'E DRAW'!U40</f>
        <v>-146272392.69670665</v>
      </c>
      <c r="U32" s="142">
        <f ca="1">'F DRAW'!V40+'E DRAW'!V40</f>
        <v>-174735442.93332934</v>
      </c>
      <c r="V32" s="142">
        <f ca="1">'F DRAW'!W40+'E DRAW'!W40</f>
        <v>-133046838.34003997</v>
      </c>
      <c r="W32" s="142">
        <f ca="1">'F DRAW'!X40+'E DRAW'!X40</f>
        <v>-98536630.79439871</v>
      </c>
      <c r="X32" s="142">
        <f ca="1">'F DRAW'!Y40+'E DRAW'!Y40</f>
        <v>-87769181.244398713</v>
      </c>
      <c r="Y32" s="142">
        <f ca="1">'F DRAW'!Z40+'E DRAW'!Z40</f>
        <v>-48048728.150614843</v>
      </c>
      <c r="Z32" s="142">
        <f ca="1">'F DRAW'!AA40+'E DRAW'!AA40</f>
        <v>271152305.21115202</v>
      </c>
      <c r="AA32" s="142">
        <f ca="1">'F DRAW'!AB40+'E DRAW'!AB40</f>
        <v>1259519709.5272388</v>
      </c>
      <c r="AB32" s="142">
        <f>'F DRAW'!AC40+'E DRAW'!AC40</f>
        <v>0</v>
      </c>
      <c r="AC32" s="142">
        <f>'F DRAW'!AD40+'E DRAW'!AD40</f>
        <v>0</v>
      </c>
      <c r="AD32" s="142">
        <f>'F DRAW'!AE40+'E DRAW'!AE40</f>
        <v>0</v>
      </c>
      <c r="AE32" s="142">
        <f>'F DRAW'!AF40+'E DRAW'!AF40</f>
        <v>0</v>
      </c>
      <c r="AF32" s="142">
        <f>'F DRAW'!AG40+'E DRAW'!AG40</f>
        <v>0</v>
      </c>
      <c r="AG32" s="142">
        <f>'F DRAW'!AH40+'E DRAW'!AH40</f>
        <v>0</v>
      </c>
      <c r="AH32" s="142">
        <f>'F DRAW'!AI40+'E DRAW'!AI40</f>
        <v>0</v>
      </c>
      <c r="AI32" s="142">
        <f>'F DRAW'!AJ40+'E DRAW'!AJ40</f>
        <v>0</v>
      </c>
      <c r="AJ32" s="142">
        <f>'F DRAW'!AK40+'E DRAW'!AK40</f>
        <v>0</v>
      </c>
      <c r="AK32" s="142">
        <f>'F DRAW'!AL40+'E DRAW'!AL40</f>
        <v>0</v>
      </c>
      <c r="AL32" s="142">
        <f>'F DRAW'!AM40+'E DRAW'!AM40</f>
        <v>0</v>
      </c>
      <c r="AM32" s="142">
        <f>'F DRAW'!AN40+'E DRAW'!AN40</f>
        <v>0</v>
      </c>
      <c r="AN32" s="142">
        <f>'F DRAW'!AO40+'E DRAW'!AO40</f>
        <v>0</v>
      </c>
      <c r="AO32" s="142">
        <f>'F DRAW'!AP40+'E DRAW'!AP40</f>
        <v>0</v>
      </c>
      <c r="AP32" s="142">
        <f>'F DRAW'!AQ40+'E DRAW'!AQ40</f>
        <v>0</v>
      </c>
      <c r="AQ32" s="142">
        <f>'F DRAW'!AR40+'E DRAW'!AR40</f>
        <v>0</v>
      </c>
      <c r="AR32" s="142">
        <f>'F DRAW'!AS40+'E DRAW'!AS40</f>
        <v>0</v>
      </c>
      <c r="AS32" s="142">
        <f>'F DRAW'!AT40+'E DRAW'!AT40</f>
        <v>0</v>
      </c>
      <c r="AT32" s="142">
        <f>'F DRAW'!AU40+'E DRAW'!AU40</f>
        <v>0</v>
      </c>
      <c r="AU32" s="142">
        <f>'F DRAW'!AV40+'E DRAW'!AV40</f>
        <v>0</v>
      </c>
      <c r="AV32" s="150"/>
    </row>
    <row r="33" spans="1:48">
      <c r="A33" s="150" t="s">
        <v>151</v>
      </c>
      <c r="B33" s="180">
        <f ca="1">IF(B32&lt;0,0,IRR(C32:AU32))</f>
        <v>6.3978993196551315E-2</v>
      </c>
      <c r="C33" s="162"/>
      <c r="D33" s="167"/>
      <c r="E33" s="167"/>
      <c r="F33" s="167"/>
      <c r="G33" s="167"/>
      <c r="H33" s="167"/>
      <c r="I33" s="167"/>
      <c r="J33" s="167"/>
      <c r="K33" s="167"/>
      <c r="L33" s="167"/>
      <c r="M33" s="162"/>
      <c r="N33" s="167"/>
      <c r="O33" s="167"/>
      <c r="P33" s="167"/>
      <c r="Q33" s="167"/>
      <c r="R33" s="167"/>
      <c r="S33" s="162"/>
      <c r="T33" s="167"/>
      <c r="U33" s="167"/>
      <c r="V33" s="167"/>
      <c r="W33" s="167"/>
      <c r="X33" s="167"/>
      <c r="Y33" s="167"/>
      <c r="Z33" s="167"/>
      <c r="AA33" s="167"/>
      <c r="AB33" s="167"/>
      <c r="AC33" s="167"/>
      <c r="AD33" s="167"/>
      <c r="AE33" s="167"/>
      <c r="AF33" s="167"/>
      <c r="AG33" s="167"/>
      <c r="AH33" s="167"/>
      <c r="AI33" s="167"/>
      <c r="AJ33" s="167"/>
      <c r="AK33" s="167"/>
      <c r="AL33" s="167"/>
      <c r="AM33" s="167"/>
      <c r="AN33" s="167"/>
      <c r="AO33" s="167"/>
      <c r="AP33" s="167"/>
      <c r="AQ33" s="167"/>
      <c r="AR33" s="167"/>
      <c r="AS33" s="167"/>
      <c r="AT33" s="167"/>
      <c r="AU33" s="167"/>
      <c r="AV33" s="150"/>
    </row>
    <row r="34" spans="1:48">
      <c r="A34" s="150" t="s">
        <v>146</v>
      </c>
      <c r="B34" s="181">
        <f ca="1">POWER((1+B33),4)-1</f>
        <v>0.28154014122095172</v>
      </c>
      <c r="C34" s="167"/>
      <c r="D34" s="167"/>
      <c r="E34" s="167"/>
      <c r="F34" s="167"/>
      <c r="G34" s="167"/>
      <c r="H34" s="167"/>
      <c r="I34" s="167"/>
      <c r="J34" s="167"/>
      <c r="K34" s="167"/>
      <c r="L34" s="167"/>
      <c r="M34" s="162"/>
      <c r="N34" s="167"/>
      <c r="O34" s="167"/>
      <c r="P34" s="167"/>
      <c r="Q34" s="167"/>
      <c r="R34" s="167"/>
      <c r="S34" s="162"/>
      <c r="T34" s="167"/>
      <c r="U34" s="167"/>
      <c r="V34" s="167"/>
      <c r="W34" s="167"/>
      <c r="X34" s="167"/>
      <c r="Y34" s="167"/>
      <c r="Z34" s="167"/>
      <c r="AA34" s="167"/>
      <c r="AB34" s="167"/>
      <c r="AC34" s="167"/>
      <c r="AD34" s="167"/>
      <c r="AE34" s="167"/>
      <c r="AF34" s="167"/>
      <c r="AG34" s="167"/>
      <c r="AH34" s="167"/>
      <c r="AI34" s="167"/>
      <c r="AJ34" s="167"/>
      <c r="AK34" s="167"/>
      <c r="AL34" s="167"/>
      <c r="AM34" s="167"/>
      <c r="AN34" s="167"/>
      <c r="AO34" s="167"/>
      <c r="AP34" s="167"/>
      <c r="AQ34" s="167"/>
      <c r="AR34" s="167"/>
      <c r="AS34" s="167"/>
      <c r="AT34" s="167"/>
      <c r="AU34" s="167"/>
      <c r="AV34" s="150"/>
    </row>
    <row r="35" spans="1:48">
      <c r="G35" s="5"/>
      <c r="AA35"/>
      <c r="AB35"/>
      <c r="AC35"/>
      <c r="AD35"/>
      <c r="AE35"/>
      <c r="AF35"/>
      <c r="AH35"/>
      <c r="AI35"/>
      <c r="AJ35"/>
    </row>
    <row r="36" spans="1:48">
      <c r="A36" s="5" t="s">
        <v>333</v>
      </c>
      <c r="G36" s="5"/>
      <c r="AB36" s="5"/>
      <c r="AE36" s="5"/>
      <c r="AI36" s="5"/>
    </row>
    <row r="37" spans="1:48">
      <c r="A37" s="759" t="s">
        <v>148</v>
      </c>
      <c r="G37" s="5"/>
      <c r="AB37"/>
      <c r="AC37"/>
      <c r="AD37"/>
      <c r="AE37"/>
      <c r="AI37" s="5"/>
    </row>
    <row r="38" spans="1:48">
      <c r="A38" s="759"/>
      <c r="G38" s="5"/>
      <c r="AB38"/>
      <c r="AC38"/>
      <c r="AD38"/>
      <c r="AE38"/>
      <c r="AI38" s="5"/>
      <c r="AV38" s="58" t="s">
        <v>62</v>
      </c>
    </row>
    <row r="39" spans="1:48" ht="15" thickBot="1">
      <c r="A39" s="760"/>
      <c r="B39" s="179" t="s">
        <v>149</v>
      </c>
      <c r="C39" s="182">
        <v>46023</v>
      </c>
      <c r="D39" s="102">
        <f>EOMONTH(C39,3)</f>
        <v>46142</v>
      </c>
      <c r="E39" s="102">
        <f t="shared" ref="E39" si="83">EOMONTH(D39,3)</f>
        <v>46234</v>
      </c>
      <c r="F39" s="102">
        <f t="shared" ref="F39" si="84">EOMONTH(E39,3)</f>
        <v>46326</v>
      </c>
      <c r="G39" s="102">
        <f t="shared" ref="G39" si="85">EOMONTH(F39,3)</f>
        <v>46418</v>
      </c>
      <c r="H39" s="102">
        <f t="shared" ref="H39" si="86">EOMONTH(G39,3)</f>
        <v>46507</v>
      </c>
      <c r="I39" s="102">
        <f t="shared" ref="I39" si="87">EOMONTH(H39,3)</f>
        <v>46599</v>
      </c>
      <c r="J39" s="102">
        <f t="shared" ref="J39" si="88">EOMONTH(I39,3)</f>
        <v>46691</v>
      </c>
      <c r="K39" s="102">
        <f t="shared" ref="K39" si="89">EOMONTH(J39,3)</f>
        <v>46783</v>
      </c>
      <c r="L39" s="102">
        <f t="shared" ref="L39" si="90">EOMONTH(K39,3)</f>
        <v>46873</v>
      </c>
      <c r="M39" s="102">
        <f t="shared" ref="M39" si="91">EOMONTH(L39,3)</f>
        <v>46965</v>
      </c>
      <c r="N39" s="102">
        <f t="shared" ref="N39" si="92">EOMONTH(M39,3)</f>
        <v>47057</v>
      </c>
      <c r="O39" s="102">
        <f t="shared" ref="O39" si="93">EOMONTH(N39,3)</f>
        <v>47149</v>
      </c>
      <c r="P39" s="102">
        <f t="shared" ref="P39" si="94">EOMONTH(O39,3)</f>
        <v>47238</v>
      </c>
      <c r="Q39" s="102">
        <f t="shared" ref="Q39" si="95">EOMONTH(P39,3)</f>
        <v>47330</v>
      </c>
      <c r="R39" s="102">
        <f t="shared" ref="R39" si="96">EOMONTH(Q39,3)</f>
        <v>47422</v>
      </c>
      <c r="S39" s="102">
        <f t="shared" ref="S39" si="97">EOMONTH(R39,3)</f>
        <v>47514</v>
      </c>
      <c r="T39" s="102">
        <f t="shared" ref="T39" si="98">EOMONTH(S39,3)</f>
        <v>47603</v>
      </c>
      <c r="U39" s="102">
        <f t="shared" ref="U39" si="99">EOMONTH(T39,3)</f>
        <v>47695</v>
      </c>
      <c r="V39" s="102">
        <f t="shared" ref="V39" si="100">EOMONTH(U39,3)</f>
        <v>47787</v>
      </c>
      <c r="W39" s="102">
        <f t="shared" ref="W39" si="101">EOMONTH(V39,3)</f>
        <v>47879</v>
      </c>
      <c r="X39" s="102">
        <f t="shared" ref="X39" si="102">EOMONTH(W39,3)</f>
        <v>47968</v>
      </c>
      <c r="Y39" s="102">
        <f t="shared" ref="Y39" si="103">EOMONTH(X39,3)</f>
        <v>48060</v>
      </c>
      <c r="Z39" s="102">
        <f t="shared" ref="Z39" si="104">EOMONTH(Y39,3)</f>
        <v>48152</v>
      </c>
      <c r="AA39" s="102">
        <f t="shared" ref="AA39" si="105">EOMONTH(Z39,3)</f>
        <v>48244</v>
      </c>
      <c r="AB39" s="102">
        <f t="shared" ref="AB39" si="106">EOMONTH(AA39,3)</f>
        <v>48334</v>
      </c>
      <c r="AC39" s="102">
        <f t="shared" ref="AC39" si="107">EOMONTH(AB39,3)</f>
        <v>48426</v>
      </c>
      <c r="AD39" s="102">
        <f t="shared" ref="AD39" si="108">EOMONTH(AC39,3)</f>
        <v>48518</v>
      </c>
      <c r="AE39" s="102">
        <f t="shared" ref="AE39" si="109">EOMONTH(AD39,3)</f>
        <v>48610</v>
      </c>
      <c r="AF39" s="102">
        <f t="shared" ref="AF39" si="110">EOMONTH(AE39,3)</f>
        <v>48699</v>
      </c>
      <c r="AG39" s="102">
        <f t="shared" ref="AG39" si="111">EOMONTH(AF39,3)</f>
        <v>48791</v>
      </c>
      <c r="AH39" s="102">
        <f t="shared" ref="AH39" si="112">EOMONTH(AG39,3)</f>
        <v>48883</v>
      </c>
      <c r="AI39" s="102">
        <f t="shared" ref="AI39" si="113">EOMONTH(AH39,3)</f>
        <v>48975</v>
      </c>
      <c r="AJ39" s="102">
        <f t="shared" ref="AJ39" si="114">EOMONTH(AI39,3)</f>
        <v>49064</v>
      </c>
      <c r="AK39" s="102">
        <f t="shared" ref="AK39" si="115">EOMONTH(AJ39,3)</f>
        <v>49156</v>
      </c>
      <c r="AL39" s="102">
        <f t="shared" ref="AL39" si="116">EOMONTH(AK39,3)</f>
        <v>49248</v>
      </c>
      <c r="AM39" s="102">
        <f t="shared" ref="AM39" si="117">EOMONTH(AL39,3)</f>
        <v>49340</v>
      </c>
      <c r="AN39" s="102">
        <f>EOMONTH(AM39,3)</f>
        <v>49429</v>
      </c>
      <c r="AO39" s="102">
        <f t="shared" ref="AO39" si="118">EOMONTH(AN39,3)</f>
        <v>49521</v>
      </c>
      <c r="AP39" s="102">
        <f t="shared" ref="AP39" si="119">EOMONTH(AO39,3)</f>
        <v>49613</v>
      </c>
      <c r="AQ39" s="102">
        <f t="shared" ref="AQ39" si="120">EOMONTH(AP39,3)</f>
        <v>49705</v>
      </c>
      <c r="AR39" s="102">
        <f t="shared" ref="AR39" si="121">EOMONTH(AQ39,3)</f>
        <v>49795</v>
      </c>
      <c r="AS39" s="102">
        <f t="shared" ref="AS39" si="122">EOMONTH(AR39,3)</f>
        <v>49887</v>
      </c>
      <c r="AT39" s="102">
        <f t="shared" ref="AT39" si="123">EOMONTH(AS39,3)</f>
        <v>49979</v>
      </c>
      <c r="AU39" s="102">
        <v>50040</v>
      </c>
      <c r="AV39" s="133"/>
    </row>
    <row r="40" spans="1:48">
      <c r="A40" s="158" t="s">
        <v>164</v>
      </c>
      <c r="B40" s="142">
        <f ca="1">SUM(C40:AU40)</f>
        <v>325746218.42323732</v>
      </c>
      <c r="C40" s="781">
        <f ca="1">'H DRAW'!D35+'G DRAW'!D35</f>
        <v>0</v>
      </c>
      <c r="D40" s="781">
        <f ca="1">'H DRAW'!E35+'G DRAW'!E35</f>
        <v>0</v>
      </c>
      <c r="E40" s="781">
        <f ca="1">'H DRAW'!F35+'G DRAW'!F35</f>
        <v>0</v>
      </c>
      <c r="F40" s="781">
        <f ca="1">'H DRAW'!G35+'G DRAW'!G35</f>
        <v>0</v>
      </c>
      <c r="G40" s="781">
        <f ca="1">'H DRAW'!H35+'G DRAW'!H35</f>
        <v>0</v>
      </c>
      <c r="H40" s="781">
        <f ca="1">'H DRAW'!I35+'G DRAW'!I35</f>
        <v>0</v>
      </c>
      <c r="I40" s="781">
        <f ca="1">'H DRAW'!J35+'G DRAW'!J35</f>
        <v>0</v>
      </c>
      <c r="J40" s="781">
        <f ca="1">'H DRAW'!K35+'G DRAW'!K35</f>
        <v>0</v>
      </c>
      <c r="K40" s="781">
        <f ca="1">'H DRAW'!L35+'G DRAW'!L35</f>
        <v>0</v>
      </c>
      <c r="L40" s="781">
        <f ca="1">'H DRAW'!M35+'G DRAW'!M35</f>
        <v>0</v>
      </c>
      <c r="M40" s="781">
        <f ca="1">'H DRAW'!N35+'G DRAW'!N35</f>
        <v>0</v>
      </c>
      <c r="N40" s="781">
        <f ca="1">'H DRAW'!O35+'G DRAW'!O35</f>
        <v>0</v>
      </c>
      <c r="O40" s="781">
        <f ca="1">'H DRAW'!P35+'G DRAW'!P35</f>
        <v>-926513.02919999999</v>
      </c>
      <c r="P40" s="781">
        <f ca="1">'H DRAW'!Q35+'G DRAW'!Q35</f>
        <v>-1992906.9996</v>
      </c>
      <c r="Q40" s="781">
        <f ca="1">'H DRAW'!R35+'G DRAW'!R35</f>
        <v>-1992906.9996</v>
      </c>
      <c r="R40" s="781">
        <f ca="1">'H DRAW'!S35+'G DRAW'!S35</f>
        <v>-1992906.9996</v>
      </c>
      <c r="S40" s="781">
        <f ca="1">'H DRAW'!T35+'G DRAW'!T35</f>
        <v>-19785430.248488568</v>
      </c>
      <c r="T40" s="781">
        <f ca="1">'H DRAW'!U35+'G DRAW'!U35</f>
        <v>-33793142.29925926</v>
      </c>
      <c r="U40" s="781">
        <f ca="1">'H DRAW'!V35+'G DRAW'!V35</f>
        <v>-44806435.432300493</v>
      </c>
      <c r="V40" s="781">
        <f ca="1">'H DRAW'!W35+'G DRAW'!W35</f>
        <v>-45889558.235109396</v>
      </c>
      <c r="W40" s="781">
        <f ca="1">'H DRAW'!X35+'G DRAW'!X35</f>
        <v>-63244234.715237655</v>
      </c>
      <c r="X40" s="781">
        <f ca="1">'H DRAW'!Y35+'G DRAW'!Y35</f>
        <v>-32188498.105945643</v>
      </c>
      <c r="Y40" s="781">
        <f ca="1">'H DRAW'!Z35+'G DRAW'!Z35</f>
        <v>-32873379.864544537</v>
      </c>
      <c r="Z40" s="781">
        <f ca="1">'H DRAW'!AA35+'G DRAW'!AA35</f>
        <v>-48284386.093177885</v>
      </c>
      <c r="AA40" s="781">
        <f ca="1">'H DRAW'!AB35+'G DRAW'!AB35</f>
        <v>0</v>
      </c>
      <c r="AB40" s="781">
        <f ca="1">'H DRAW'!AC35+'G DRAW'!AC35</f>
        <v>0</v>
      </c>
      <c r="AC40" s="781">
        <f ca="1">'H DRAW'!AD35+'G DRAW'!AD35</f>
        <v>0</v>
      </c>
      <c r="AD40" s="781">
        <f ca="1">'H DRAW'!AE35+'G DRAW'!AE35</f>
        <v>-27472415.718027353</v>
      </c>
      <c r="AE40" s="781">
        <f ca="1">'H DRAW'!AF35+'G DRAW'!AF35</f>
        <v>0</v>
      </c>
      <c r="AF40" s="781">
        <f ca="1">'H DRAW'!AG35+'G DRAW'!AG35</f>
        <v>0</v>
      </c>
      <c r="AG40" s="781">
        <f ca="1">'H DRAW'!AH35+'G DRAW'!AH35</f>
        <v>0</v>
      </c>
      <c r="AH40" s="781">
        <f ca="1">'H DRAW'!AI35+'G DRAW'!AI35</f>
        <v>680988933.16332805</v>
      </c>
      <c r="AI40" s="781">
        <f>'H DRAW'!AJ35+'G DRAW'!AJ35</f>
        <v>0</v>
      </c>
      <c r="AJ40" s="781">
        <f>'H DRAW'!AK35+'G DRAW'!AK35</f>
        <v>0</v>
      </c>
      <c r="AK40" s="781">
        <f>'H DRAW'!AL35+'G DRAW'!AL35</f>
        <v>0</v>
      </c>
      <c r="AL40" s="781">
        <f>'H DRAW'!AM35+'G DRAW'!AM35</f>
        <v>0</v>
      </c>
      <c r="AM40" s="781">
        <f>'H DRAW'!AN35+'G DRAW'!AN35</f>
        <v>0</v>
      </c>
      <c r="AN40" s="781">
        <f>'H DRAW'!AO35+'G DRAW'!AO35</f>
        <v>0</v>
      </c>
      <c r="AO40" s="781">
        <f>'H DRAW'!AP35+'G DRAW'!AP35</f>
        <v>0</v>
      </c>
      <c r="AP40" s="781">
        <f>'H DRAW'!AQ35+'G DRAW'!AQ35</f>
        <v>0</v>
      </c>
      <c r="AQ40" s="781">
        <f>'H DRAW'!AR35+'G DRAW'!AR35</f>
        <v>0</v>
      </c>
      <c r="AR40" s="781">
        <f>'H DRAW'!AS35+'G DRAW'!AS35</f>
        <v>0</v>
      </c>
      <c r="AS40" s="781">
        <f>'H DRAW'!AT35+'G DRAW'!AT35</f>
        <v>0</v>
      </c>
      <c r="AT40" s="781">
        <f>'H DRAW'!AU35+'G DRAW'!AU35</f>
        <v>0</v>
      </c>
      <c r="AU40" s="781">
        <f>'H DRAW'!AV35+'G DRAW'!AV35</f>
        <v>0</v>
      </c>
      <c r="AV40" s="142"/>
    </row>
    <row r="41" spans="1:48">
      <c r="A41" s="150" t="s">
        <v>147</v>
      </c>
      <c r="B41" s="180">
        <f ca="1">IF(B40&lt;0,0,IRR(C40:AU40))</f>
        <v>6.0757372863345926E-2</v>
      </c>
      <c r="C41" s="173"/>
      <c r="D41" s="173"/>
      <c r="E41" s="173"/>
      <c r="F41" s="173"/>
      <c r="G41" s="173"/>
      <c r="H41" s="173"/>
      <c r="I41" s="173"/>
      <c r="J41" s="173"/>
      <c r="K41" s="173"/>
      <c r="L41" s="173"/>
      <c r="M41" s="173"/>
      <c r="N41" s="173"/>
      <c r="O41" s="173"/>
      <c r="P41" s="173"/>
      <c r="Q41" s="173"/>
      <c r="R41" s="173"/>
      <c r="S41" s="173"/>
      <c r="T41" s="173"/>
      <c r="U41" s="173"/>
      <c r="V41" s="173"/>
      <c r="W41" s="173"/>
      <c r="X41" s="173"/>
      <c r="Y41" s="173"/>
      <c r="Z41" s="173"/>
      <c r="AA41" s="173"/>
      <c r="AB41" s="173"/>
      <c r="AC41" s="173"/>
      <c r="AD41" s="173"/>
      <c r="AE41" s="173"/>
      <c r="AF41" s="173"/>
      <c r="AG41" s="173"/>
      <c r="AH41" s="173"/>
      <c r="AI41" s="173"/>
      <c r="AJ41" s="173"/>
      <c r="AK41" s="173"/>
      <c r="AL41" s="173"/>
      <c r="AM41" s="173"/>
      <c r="AN41" s="173"/>
      <c r="AO41" s="173"/>
      <c r="AP41" s="173"/>
      <c r="AQ41" s="173"/>
      <c r="AR41" s="173"/>
      <c r="AS41" s="173"/>
      <c r="AT41" s="173"/>
      <c r="AU41" s="173"/>
      <c r="AV41" s="174"/>
    </row>
    <row r="42" spans="1:48">
      <c r="A42" s="150" t="s">
        <v>141</v>
      </c>
      <c r="B42" s="181">
        <f ca="1">POWER((1+B41),4)-1</f>
        <v>0.26608900170900607</v>
      </c>
      <c r="C42" s="167"/>
      <c r="D42" s="167"/>
      <c r="E42" s="167"/>
      <c r="F42" s="167"/>
      <c r="G42" s="167"/>
      <c r="H42" s="167"/>
      <c r="I42" s="167"/>
      <c r="J42" s="167"/>
      <c r="K42" s="167"/>
      <c r="L42" s="167"/>
      <c r="M42" s="167"/>
      <c r="N42" s="167"/>
      <c r="O42" s="167"/>
      <c r="P42" s="167"/>
      <c r="Q42" s="167"/>
      <c r="R42" s="167"/>
      <c r="S42" s="167"/>
      <c r="T42" s="167"/>
      <c r="U42" s="167"/>
      <c r="V42" s="167"/>
      <c r="W42" s="167"/>
      <c r="X42" s="167"/>
      <c r="Y42" s="167"/>
      <c r="Z42" s="167"/>
      <c r="AA42" s="167"/>
      <c r="AB42" s="167"/>
      <c r="AC42" s="167"/>
      <c r="AD42" s="167"/>
      <c r="AE42" s="167"/>
      <c r="AF42" s="167"/>
      <c r="AG42" s="167"/>
      <c r="AH42" s="167"/>
      <c r="AI42" s="167"/>
      <c r="AJ42" s="167"/>
      <c r="AK42" s="167"/>
      <c r="AL42" s="167"/>
      <c r="AM42" s="167"/>
      <c r="AN42" s="167"/>
      <c r="AO42" s="167"/>
      <c r="AP42" s="167"/>
      <c r="AQ42" s="167"/>
      <c r="AR42" s="167"/>
      <c r="AS42" s="167"/>
      <c r="AT42" s="167"/>
      <c r="AU42" s="167"/>
      <c r="AV42" s="178"/>
    </row>
    <row r="43" spans="1:48">
      <c r="A43" s="167"/>
      <c r="B43" s="183"/>
      <c r="C43" s="167"/>
      <c r="D43" s="167"/>
      <c r="E43" s="167"/>
      <c r="F43" s="167"/>
      <c r="G43" s="167"/>
      <c r="H43" s="167"/>
      <c r="I43" s="167"/>
      <c r="J43" s="167"/>
      <c r="K43" s="167"/>
      <c r="L43" s="167"/>
      <c r="M43" s="167"/>
      <c r="N43" s="167"/>
      <c r="O43" s="167"/>
      <c r="P43" s="167"/>
      <c r="Q43" s="167"/>
      <c r="R43" s="167"/>
      <c r="S43" s="167"/>
      <c r="T43" s="167"/>
      <c r="U43" s="167"/>
      <c r="V43" s="167"/>
      <c r="W43" s="167"/>
      <c r="X43" s="167"/>
      <c r="Y43" s="167"/>
      <c r="Z43" s="167"/>
      <c r="AA43" s="167"/>
      <c r="AB43" s="167"/>
      <c r="AC43" s="167"/>
      <c r="AD43" s="167"/>
      <c r="AE43" s="167"/>
      <c r="AF43" s="167"/>
      <c r="AG43" s="167"/>
      <c r="AH43" s="167"/>
      <c r="AI43" s="167"/>
      <c r="AJ43" s="167"/>
      <c r="AK43" s="167"/>
      <c r="AL43" s="167"/>
      <c r="AM43" s="167"/>
      <c r="AN43" s="167"/>
      <c r="AO43" s="167"/>
      <c r="AP43" s="167"/>
      <c r="AQ43" s="167"/>
      <c r="AR43" s="167"/>
      <c r="AS43" s="167"/>
      <c r="AT43" s="167"/>
      <c r="AU43" s="167"/>
      <c r="AV43" s="178"/>
    </row>
    <row r="44" spans="1:48">
      <c r="A44" s="150" t="s">
        <v>150</v>
      </c>
      <c r="B44" s="142">
        <f ca="1">SUM(C44:AU44)</f>
        <v>497100188.71981519</v>
      </c>
      <c r="C44" s="781">
        <f>'H DRAW'!D40+'G DRAW'!D40</f>
        <v>0</v>
      </c>
      <c r="D44" s="781">
        <f>'H DRAW'!E40+'G DRAW'!E40</f>
        <v>0</v>
      </c>
      <c r="E44" s="781">
        <f>'H DRAW'!F40+'G DRAW'!F40</f>
        <v>0</v>
      </c>
      <c r="F44" s="781">
        <f>'H DRAW'!G40+'G DRAW'!G40</f>
        <v>0</v>
      </c>
      <c r="G44" s="781">
        <f>'H DRAW'!H40+'G DRAW'!H40</f>
        <v>0</v>
      </c>
      <c r="H44" s="781">
        <f>'H DRAW'!I40+'G DRAW'!I40</f>
        <v>0</v>
      </c>
      <c r="I44" s="781">
        <f>'H DRAW'!J40+'G DRAW'!J40</f>
        <v>0</v>
      </c>
      <c r="J44" s="781">
        <f>'H DRAW'!K40+'G DRAW'!K40</f>
        <v>0</v>
      </c>
      <c r="K44" s="781">
        <f>'H DRAW'!L40+'G DRAW'!L40</f>
        <v>0</v>
      </c>
      <c r="L44" s="781">
        <f>'H DRAW'!M40+'G DRAW'!M40</f>
        <v>0</v>
      </c>
      <c r="M44" s="781">
        <f>'H DRAW'!N40+'G DRAW'!N40</f>
        <v>0</v>
      </c>
      <c r="N44" s="781">
        <f>'H DRAW'!O40+'G DRAW'!O40</f>
        <v>0</v>
      </c>
      <c r="O44" s="781">
        <f>'H DRAW'!P40+'G DRAW'!P40</f>
        <v>-926513.02919999999</v>
      </c>
      <c r="P44" s="781">
        <f ca="1">'H DRAW'!Q40+'G DRAW'!Q40</f>
        <v>-1992906.9996</v>
      </c>
      <c r="Q44" s="781">
        <f ca="1">'H DRAW'!R40+'G DRAW'!R40</f>
        <v>-1992906.9996</v>
      </c>
      <c r="R44" s="781">
        <f ca="1">'H DRAW'!S40+'G DRAW'!S40</f>
        <v>-1992906.9996</v>
      </c>
      <c r="S44" s="781">
        <f ca="1">'H DRAW'!T40+'G DRAW'!T40</f>
        <v>-19785430.248488568</v>
      </c>
      <c r="T44" s="781">
        <f ca="1">'H DRAW'!U40+'G DRAW'!U40</f>
        <v>-33793142.29925926</v>
      </c>
      <c r="U44" s="781">
        <f ca="1">'H DRAW'!V40+'G DRAW'!V40</f>
        <v>-44806435.432300493</v>
      </c>
      <c r="V44" s="781">
        <f ca="1">'H DRAW'!W40+'G DRAW'!W40</f>
        <v>-45889558.235109396</v>
      </c>
      <c r="W44" s="781">
        <f ca="1">'H DRAW'!X40+'G DRAW'!X40</f>
        <v>-63244234.715237655</v>
      </c>
      <c r="X44" s="781">
        <f ca="1">'H DRAW'!Y40+'G DRAW'!Y40</f>
        <v>-87186745.526645094</v>
      </c>
      <c r="Y44" s="781">
        <f ca="1">'H DRAW'!Z40+'G DRAW'!Z40</f>
        <v>-66722566.390454352</v>
      </c>
      <c r="Z44" s="781">
        <f ca="1">'H DRAW'!AA40+'G DRAW'!AA40</f>
        <v>-82585594.51049751</v>
      </c>
      <c r="AA44" s="781">
        <f ca="1">'H DRAW'!AB40+'G DRAW'!AB40</f>
        <v>-50176817.058314785</v>
      </c>
      <c r="AB44" s="781">
        <f ca="1">'H DRAW'!AC40+'G DRAW'!AC40</f>
        <v>-41788872.975530066</v>
      </c>
      <c r="AC44" s="781">
        <f ca="1">'H DRAW'!AD40+'G DRAW'!AD40</f>
        <v>-28950817.596664853</v>
      </c>
      <c r="AD44" s="781">
        <f ca="1">'H DRAW'!AE40+'G DRAW'!AE40</f>
        <v>282322526.82813466</v>
      </c>
      <c r="AE44" s="781">
        <f ca="1">'H DRAW'!AF40+'G DRAW'!AF40</f>
        <v>-4949336.281139777</v>
      </c>
      <c r="AF44" s="781">
        <f ca="1">'H DRAW'!AG40+'G DRAW'!AG40</f>
        <v>-21242903.294473108</v>
      </c>
      <c r="AG44" s="781">
        <f ca="1">'H DRAW'!AH40+'G DRAW'!AH40</f>
        <v>-30946238.007616837</v>
      </c>
      <c r="AH44" s="781">
        <f ca="1">'H DRAW'!AI40+'G DRAW'!AI40</f>
        <v>843751588.49141228</v>
      </c>
      <c r="AI44" s="781">
        <f>'H DRAW'!AJ40+'G DRAW'!AJ40</f>
        <v>0</v>
      </c>
      <c r="AJ44" s="781">
        <f>'H DRAW'!AK40+'G DRAW'!AK40</f>
        <v>0</v>
      </c>
      <c r="AK44" s="781">
        <f>'H DRAW'!AL40+'G DRAW'!AL40</f>
        <v>0</v>
      </c>
      <c r="AL44" s="781">
        <f>'H DRAW'!AM40+'G DRAW'!AM40</f>
        <v>0</v>
      </c>
      <c r="AM44" s="781">
        <f>'H DRAW'!AN40+'G DRAW'!AN40</f>
        <v>0</v>
      </c>
      <c r="AN44" s="781">
        <f>'H DRAW'!AO40+'G DRAW'!AO40</f>
        <v>0</v>
      </c>
      <c r="AO44" s="781">
        <f>'H DRAW'!AP40+'G DRAW'!AP40</f>
        <v>0</v>
      </c>
      <c r="AP44" s="781">
        <f>'H DRAW'!AQ40+'G DRAW'!AQ40</f>
        <v>0</v>
      </c>
      <c r="AQ44" s="781">
        <f>'H DRAW'!AR40+'G DRAW'!AR40</f>
        <v>0</v>
      </c>
      <c r="AR44" s="781">
        <f>'H DRAW'!AS40+'G DRAW'!AS40</f>
        <v>0</v>
      </c>
      <c r="AS44" s="781">
        <f>'H DRAW'!AT40+'G DRAW'!AT40</f>
        <v>0</v>
      </c>
      <c r="AT44" s="781">
        <f>'H DRAW'!AU40+'G DRAW'!AU40</f>
        <v>0</v>
      </c>
      <c r="AU44" s="781">
        <f>'H DRAW'!AV40+'G DRAW'!AV40</f>
        <v>0</v>
      </c>
      <c r="AV44" s="150"/>
    </row>
    <row r="45" spans="1:48">
      <c r="A45" s="150" t="s">
        <v>151</v>
      </c>
      <c r="B45" s="180">
        <f ca="1">IF(B44&lt;0,0,IRR(C44:AU44))</f>
        <v>7.2261448325215749E-2</v>
      </c>
      <c r="C45" s="162"/>
      <c r="D45" s="167"/>
      <c r="E45" s="167"/>
      <c r="F45" s="167"/>
      <c r="G45" s="167"/>
      <c r="H45" s="167"/>
      <c r="I45" s="167"/>
      <c r="J45" s="167"/>
      <c r="K45" s="167"/>
      <c r="L45" s="167"/>
      <c r="M45" s="162"/>
      <c r="N45" s="167"/>
      <c r="O45" s="167"/>
      <c r="P45" s="167"/>
      <c r="Q45" s="167"/>
      <c r="R45" s="167"/>
      <c r="S45" s="162"/>
      <c r="T45" s="167"/>
      <c r="U45" s="167"/>
      <c r="V45" s="167"/>
      <c r="W45" s="167"/>
      <c r="X45" s="167"/>
      <c r="Y45" s="167"/>
      <c r="Z45" s="167"/>
      <c r="AA45" s="167"/>
      <c r="AB45" s="167"/>
      <c r="AC45" s="167"/>
      <c r="AD45" s="167"/>
      <c r="AE45" s="167"/>
      <c r="AF45" s="167"/>
      <c r="AG45" s="167"/>
      <c r="AH45" s="167"/>
      <c r="AI45" s="167"/>
      <c r="AJ45" s="167"/>
      <c r="AK45" s="167"/>
      <c r="AL45" s="167"/>
      <c r="AM45" s="167"/>
      <c r="AN45" s="167"/>
      <c r="AO45" s="167"/>
      <c r="AP45" s="167"/>
      <c r="AQ45" s="167"/>
      <c r="AR45" s="167"/>
      <c r="AS45" s="167"/>
      <c r="AT45" s="167"/>
      <c r="AU45" s="167"/>
      <c r="AV45" s="150"/>
    </row>
    <row r="46" spans="1:48">
      <c r="A46" s="150" t="s">
        <v>146</v>
      </c>
      <c r="B46" s="181">
        <f ca="1">POWER((1+B45),4)-1</f>
        <v>0.32191267642055688</v>
      </c>
      <c r="C46" s="167"/>
      <c r="D46" s="167"/>
      <c r="E46" s="167"/>
      <c r="F46" s="167"/>
      <c r="G46" s="167"/>
      <c r="H46" s="167"/>
      <c r="I46" s="167"/>
      <c r="J46" s="167"/>
      <c r="K46" s="167"/>
      <c r="L46" s="167"/>
      <c r="M46" s="162"/>
      <c r="N46" s="167"/>
      <c r="O46" s="167"/>
      <c r="P46" s="167"/>
      <c r="Q46" s="167"/>
      <c r="R46" s="167"/>
      <c r="S46" s="162"/>
      <c r="T46" s="167"/>
      <c r="U46" s="167"/>
      <c r="V46" s="167"/>
      <c r="W46" s="167"/>
      <c r="X46" s="167"/>
      <c r="Y46" s="167"/>
      <c r="Z46" s="167"/>
      <c r="AA46" s="167"/>
      <c r="AB46" s="167"/>
      <c r="AC46" s="167"/>
      <c r="AD46" s="167"/>
      <c r="AE46" s="167"/>
      <c r="AF46" s="167"/>
      <c r="AG46" s="167"/>
      <c r="AH46" s="167"/>
      <c r="AI46" s="167"/>
      <c r="AJ46" s="167"/>
      <c r="AK46" s="167"/>
      <c r="AL46" s="167"/>
      <c r="AM46" s="167"/>
      <c r="AN46" s="167"/>
      <c r="AO46" s="167"/>
      <c r="AP46" s="167"/>
      <c r="AQ46" s="167"/>
      <c r="AR46" s="167"/>
      <c r="AS46" s="167"/>
      <c r="AT46" s="167"/>
      <c r="AU46" s="167"/>
      <c r="AV46" s="150"/>
    </row>
    <row r="47" spans="1:48">
      <c r="G47" s="5"/>
      <c r="AA47"/>
      <c r="AB47"/>
      <c r="AC47"/>
      <c r="AD47"/>
      <c r="AE47"/>
      <c r="AF47"/>
      <c r="AH47"/>
      <c r="AI47"/>
      <c r="AJ47"/>
    </row>
    <row r="48" spans="1:48">
      <c r="A48" s="5" t="s">
        <v>334</v>
      </c>
      <c r="G48" s="5"/>
      <c r="AB48" s="5"/>
      <c r="AE48" s="5"/>
      <c r="AI48" s="5"/>
    </row>
    <row r="49" spans="1:48">
      <c r="A49" s="759" t="s">
        <v>148</v>
      </c>
      <c r="G49" s="5"/>
      <c r="AB49"/>
      <c r="AC49"/>
      <c r="AD49"/>
      <c r="AE49"/>
      <c r="AI49" s="5"/>
    </row>
    <row r="50" spans="1:48">
      <c r="A50" s="759"/>
      <c r="G50" s="5"/>
      <c r="AB50"/>
      <c r="AC50"/>
      <c r="AD50"/>
      <c r="AE50"/>
      <c r="AI50" s="5"/>
      <c r="AV50" s="58" t="s">
        <v>62</v>
      </c>
    </row>
    <row r="51" spans="1:48" ht="15" thickBot="1">
      <c r="A51" s="760"/>
      <c r="B51" s="179" t="s">
        <v>149</v>
      </c>
      <c r="C51" s="182">
        <v>46023</v>
      </c>
      <c r="D51" s="102">
        <f>EOMONTH(C51,3)</f>
        <v>46142</v>
      </c>
      <c r="E51" s="102">
        <f t="shared" ref="E51" si="124">EOMONTH(D51,3)</f>
        <v>46234</v>
      </c>
      <c r="F51" s="102">
        <f t="shared" ref="F51" si="125">EOMONTH(E51,3)</f>
        <v>46326</v>
      </c>
      <c r="G51" s="102">
        <f t="shared" ref="G51" si="126">EOMONTH(F51,3)</f>
        <v>46418</v>
      </c>
      <c r="H51" s="102">
        <f t="shared" ref="H51" si="127">EOMONTH(G51,3)</f>
        <v>46507</v>
      </c>
      <c r="I51" s="102">
        <f t="shared" ref="I51" si="128">EOMONTH(H51,3)</f>
        <v>46599</v>
      </c>
      <c r="J51" s="102">
        <f t="shared" ref="J51" si="129">EOMONTH(I51,3)</f>
        <v>46691</v>
      </c>
      <c r="K51" s="102">
        <f t="shared" ref="K51" si="130">EOMONTH(J51,3)</f>
        <v>46783</v>
      </c>
      <c r="L51" s="102">
        <f t="shared" ref="L51" si="131">EOMONTH(K51,3)</f>
        <v>46873</v>
      </c>
      <c r="M51" s="102">
        <f t="shared" ref="M51" si="132">EOMONTH(L51,3)</f>
        <v>46965</v>
      </c>
      <c r="N51" s="102">
        <f t="shared" ref="N51" si="133">EOMONTH(M51,3)</f>
        <v>47057</v>
      </c>
      <c r="O51" s="102">
        <f t="shared" ref="O51" si="134">EOMONTH(N51,3)</f>
        <v>47149</v>
      </c>
      <c r="P51" s="102">
        <f t="shared" ref="P51" si="135">EOMONTH(O51,3)</f>
        <v>47238</v>
      </c>
      <c r="Q51" s="102">
        <f t="shared" ref="Q51" si="136">EOMONTH(P51,3)</f>
        <v>47330</v>
      </c>
      <c r="R51" s="102">
        <f t="shared" ref="R51" si="137">EOMONTH(Q51,3)</f>
        <v>47422</v>
      </c>
      <c r="S51" s="102">
        <f t="shared" ref="S51" si="138">EOMONTH(R51,3)</f>
        <v>47514</v>
      </c>
      <c r="T51" s="102">
        <f t="shared" ref="T51" si="139">EOMONTH(S51,3)</f>
        <v>47603</v>
      </c>
      <c r="U51" s="102">
        <f t="shared" ref="U51" si="140">EOMONTH(T51,3)</f>
        <v>47695</v>
      </c>
      <c r="V51" s="102">
        <f t="shared" ref="V51" si="141">EOMONTH(U51,3)</f>
        <v>47787</v>
      </c>
      <c r="W51" s="102">
        <f t="shared" ref="W51" si="142">EOMONTH(V51,3)</f>
        <v>47879</v>
      </c>
      <c r="X51" s="102">
        <f t="shared" ref="X51" si="143">EOMONTH(W51,3)</f>
        <v>47968</v>
      </c>
      <c r="Y51" s="102">
        <f t="shared" ref="Y51" si="144">EOMONTH(X51,3)</f>
        <v>48060</v>
      </c>
      <c r="Z51" s="102">
        <f t="shared" ref="Z51" si="145">EOMONTH(Y51,3)</f>
        <v>48152</v>
      </c>
      <c r="AA51" s="102">
        <f t="shared" ref="AA51" si="146">EOMONTH(Z51,3)</f>
        <v>48244</v>
      </c>
      <c r="AB51" s="102">
        <f t="shared" ref="AB51" si="147">EOMONTH(AA51,3)</f>
        <v>48334</v>
      </c>
      <c r="AC51" s="102">
        <f t="shared" ref="AC51" si="148">EOMONTH(AB51,3)</f>
        <v>48426</v>
      </c>
      <c r="AD51" s="102">
        <f t="shared" ref="AD51" si="149">EOMONTH(AC51,3)</f>
        <v>48518</v>
      </c>
      <c r="AE51" s="102">
        <f t="shared" ref="AE51" si="150">EOMONTH(AD51,3)</f>
        <v>48610</v>
      </c>
      <c r="AF51" s="102">
        <f t="shared" ref="AF51" si="151">EOMONTH(AE51,3)</f>
        <v>48699</v>
      </c>
      <c r="AG51" s="102">
        <f t="shared" ref="AG51" si="152">EOMONTH(AF51,3)</f>
        <v>48791</v>
      </c>
      <c r="AH51" s="102">
        <f t="shared" ref="AH51" si="153">EOMONTH(AG51,3)</f>
        <v>48883</v>
      </c>
      <c r="AI51" s="102">
        <f t="shared" ref="AI51" si="154">EOMONTH(AH51,3)</f>
        <v>48975</v>
      </c>
      <c r="AJ51" s="102">
        <f t="shared" ref="AJ51" si="155">EOMONTH(AI51,3)</f>
        <v>49064</v>
      </c>
      <c r="AK51" s="102">
        <f t="shared" ref="AK51" si="156">EOMONTH(AJ51,3)</f>
        <v>49156</v>
      </c>
      <c r="AL51" s="102">
        <f t="shared" ref="AL51" si="157">EOMONTH(AK51,3)</f>
        <v>49248</v>
      </c>
      <c r="AM51" s="102">
        <f t="shared" ref="AM51" si="158">EOMONTH(AL51,3)</f>
        <v>49340</v>
      </c>
      <c r="AN51" s="102">
        <f>EOMONTH(AM51,3)</f>
        <v>49429</v>
      </c>
      <c r="AO51" s="102">
        <f t="shared" ref="AO51" si="159">EOMONTH(AN51,3)</f>
        <v>49521</v>
      </c>
      <c r="AP51" s="102">
        <f t="shared" ref="AP51" si="160">EOMONTH(AO51,3)</f>
        <v>49613</v>
      </c>
      <c r="AQ51" s="102">
        <f t="shared" ref="AQ51" si="161">EOMONTH(AP51,3)</f>
        <v>49705</v>
      </c>
      <c r="AR51" s="102">
        <f t="shared" ref="AR51" si="162">EOMONTH(AQ51,3)</f>
        <v>49795</v>
      </c>
      <c r="AS51" s="102">
        <f t="shared" ref="AS51" si="163">EOMONTH(AR51,3)</f>
        <v>49887</v>
      </c>
      <c r="AT51" s="102">
        <f t="shared" ref="AT51" si="164">EOMONTH(AS51,3)</f>
        <v>49979</v>
      </c>
      <c r="AU51" s="102">
        <v>50040</v>
      </c>
      <c r="AV51" s="133"/>
    </row>
    <row r="52" spans="1:48">
      <c r="A52" s="158" t="s">
        <v>164</v>
      </c>
      <c r="B52" s="142">
        <f>SUM(C52:AU52)</f>
        <v>-104858646.6663969</v>
      </c>
      <c r="C52" s="142">
        <f>'I DRAW'!D35</f>
        <v>0</v>
      </c>
      <c r="D52" s="142">
        <f>'I DRAW'!E35</f>
        <v>0</v>
      </c>
      <c r="E52" s="142">
        <f>'I DRAW'!F35</f>
        <v>0</v>
      </c>
      <c r="F52" s="142">
        <f>'I DRAW'!G35</f>
        <v>0</v>
      </c>
      <c r="G52" s="142">
        <f>'I DRAW'!H35</f>
        <v>0</v>
      </c>
      <c r="H52" s="142">
        <f>'I DRAW'!I35</f>
        <v>0</v>
      </c>
      <c r="I52" s="142">
        <f>'I DRAW'!J35</f>
        <v>0</v>
      </c>
      <c r="J52" s="142">
        <f>'I DRAW'!K35</f>
        <v>0</v>
      </c>
      <c r="K52" s="142">
        <f>'I DRAW'!L35</f>
        <v>0</v>
      </c>
      <c r="L52" s="142">
        <f>'I DRAW'!M35</f>
        <v>0</v>
      </c>
      <c r="M52" s="142">
        <f>'I DRAW'!N35</f>
        <v>0</v>
      </c>
      <c r="N52" s="142">
        <f>'I DRAW'!O35</f>
        <v>0</v>
      </c>
      <c r="O52" s="142">
        <f>'I DRAW'!P35</f>
        <v>0</v>
      </c>
      <c r="P52" s="142">
        <f>'I DRAW'!Q35</f>
        <v>0</v>
      </c>
      <c r="Q52" s="142">
        <f>'I DRAW'!R35</f>
        <v>0</v>
      </c>
      <c r="R52" s="142">
        <f>'I DRAW'!S35</f>
        <v>0</v>
      </c>
      <c r="S52" s="142">
        <f>'I DRAW'!T35</f>
        <v>-527922.66119999997</v>
      </c>
      <c r="T52" s="142">
        <f>'I DRAW'!U35</f>
        <v>-7126955.9262000006</v>
      </c>
      <c r="U52" s="142">
        <f>'I DRAW'!V35</f>
        <v>-527922.66119999997</v>
      </c>
      <c r="V52" s="142">
        <f>'I DRAW'!W35</f>
        <v>-1077922.6612</v>
      </c>
      <c r="W52" s="142">
        <f>'I DRAW'!X35</f>
        <v>-4083850.772925219</v>
      </c>
      <c r="X52" s="142">
        <f>'I DRAW'!Y35</f>
        <v>-8829693.481369134</v>
      </c>
      <c r="Y52" s="142">
        <f>'I DRAW'!Z35</f>
        <v>-15566665.11029809</v>
      </c>
      <c r="Z52" s="142">
        <f>'I DRAW'!AA35</f>
        <v>-23354448.827377185</v>
      </c>
      <c r="AA52" s="142">
        <f>'I DRAW'!AB35</f>
        <v>-24149240.633318722</v>
      </c>
      <c r="AB52" s="142">
        <f>'I DRAW'!AC35</f>
        <v>0</v>
      </c>
      <c r="AC52" s="142">
        <f>'I DRAW'!AD35</f>
        <v>0</v>
      </c>
      <c r="AD52" s="142">
        <f>'I DRAW'!AE35</f>
        <v>0</v>
      </c>
      <c r="AE52" s="142">
        <f>'I DRAW'!AF35</f>
        <v>0</v>
      </c>
      <c r="AF52" s="142">
        <f>'I DRAW'!AG35</f>
        <v>0</v>
      </c>
      <c r="AG52" s="142">
        <f>'I DRAW'!AH35</f>
        <v>-19614023.931308553</v>
      </c>
      <c r="AH52" s="142">
        <f>'I DRAW'!AI35</f>
        <v>0</v>
      </c>
      <c r="AI52" s="142">
        <f>'I DRAW'!AJ35</f>
        <v>0</v>
      </c>
      <c r="AJ52" s="142">
        <f>'I DRAW'!AK35</f>
        <v>0</v>
      </c>
      <c r="AK52" s="142">
        <f>'I DRAW'!AL35</f>
        <v>0</v>
      </c>
      <c r="AL52" s="142">
        <f>'I DRAW'!AM35</f>
        <v>0</v>
      </c>
      <c r="AM52" s="142">
        <f>'I DRAW'!AN35</f>
        <v>0</v>
      </c>
      <c r="AN52" s="142">
        <f>'I DRAW'!AO35</f>
        <v>0</v>
      </c>
      <c r="AO52" s="142">
        <f>'I DRAW'!AP35</f>
        <v>0</v>
      </c>
      <c r="AP52" s="142">
        <f>'I DRAW'!AQ35</f>
        <v>0</v>
      </c>
      <c r="AQ52" s="142">
        <f>'I DRAW'!AR35</f>
        <v>0</v>
      </c>
      <c r="AR52" s="142">
        <f>'I DRAW'!AS35</f>
        <v>0</v>
      </c>
      <c r="AS52" s="142">
        <f>'I DRAW'!AT35</f>
        <v>0</v>
      </c>
      <c r="AT52" s="142">
        <f>'I DRAW'!AU35</f>
        <v>0</v>
      </c>
      <c r="AU52" s="142">
        <f>'I DRAW'!AV35</f>
        <v>0</v>
      </c>
      <c r="AV52" s="142"/>
    </row>
    <row r="53" spans="1:48">
      <c r="A53" s="150" t="s">
        <v>147</v>
      </c>
      <c r="B53" s="180">
        <f>IF(B52&lt;0,0,IRR(C52:AU52))</f>
        <v>0</v>
      </c>
      <c r="C53" s="173"/>
      <c r="D53" s="173"/>
      <c r="E53" s="173"/>
      <c r="F53" s="173"/>
      <c r="G53" s="173"/>
      <c r="H53" s="173"/>
      <c r="I53" s="173"/>
      <c r="J53" s="173"/>
      <c r="K53" s="173"/>
      <c r="L53" s="173"/>
      <c r="M53" s="173"/>
      <c r="N53" s="173"/>
      <c r="O53" s="173"/>
      <c r="P53" s="173"/>
      <c r="Q53" s="173"/>
      <c r="R53" s="173"/>
      <c r="S53" s="173"/>
      <c r="T53" s="173"/>
      <c r="U53" s="173"/>
      <c r="V53" s="173"/>
      <c r="W53" s="173"/>
      <c r="X53" s="173"/>
      <c r="Y53" s="173"/>
      <c r="Z53" s="173"/>
      <c r="AA53" s="173"/>
      <c r="AB53" s="173"/>
      <c r="AC53" s="173"/>
      <c r="AD53" s="173"/>
      <c r="AE53" s="173"/>
      <c r="AF53" s="173"/>
      <c r="AG53" s="173"/>
      <c r="AH53" s="173"/>
      <c r="AI53" s="173"/>
      <c r="AJ53" s="173"/>
      <c r="AK53" s="173"/>
      <c r="AL53" s="173"/>
      <c r="AM53" s="173"/>
      <c r="AN53" s="173"/>
      <c r="AO53" s="173"/>
      <c r="AP53" s="173"/>
      <c r="AQ53" s="173"/>
      <c r="AR53" s="173"/>
      <c r="AS53" s="173"/>
      <c r="AT53" s="173"/>
      <c r="AU53" s="173"/>
      <c r="AV53" s="174"/>
    </row>
    <row r="54" spans="1:48">
      <c r="A54" s="150" t="s">
        <v>141</v>
      </c>
      <c r="B54" s="181">
        <f>POWER((1+B53),4)-1</f>
        <v>0</v>
      </c>
      <c r="C54" s="167"/>
      <c r="D54" s="167"/>
      <c r="E54" s="167"/>
      <c r="F54" s="167"/>
      <c r="G54" s="167"/>
      <c r="H54" s="167"/>
      <c r="I54" s="167"/>
      <c r="J54" s="167"/>
      <c r="K54" s="167"/>
      <c r="L54" s="167"/>
      <c r="M54" s="167"/>
      <c r="N54" s="167"/>
      <c r="O54" s="167"/>
      <c r="P54" s="167"/>
      <c r="Q54" s="167"/>
      <c r="R54" s="167"/>
      <c r="S54" s="167"/>
      <c r="T54" s="167"/>
      <c r="U54" s="167"/>
      <c r="V54" s="167"/>
      <c r="W54" s="167"/>
      <c r="X54" s="167"/>
      <c r="Y54" s="167"/>
      <c r="Z54" s="167"/>
      <c r="AA54" s="167"/>
      <c r="AB54" s="167"/>
      <c r="AC54" s="167"/>
      <c r="AD54" s="167"/>
      <c r="AE54" s="167"/>
      <c r="AF54" s="167"/>
      <c r="AG54" s="167"/>
      <c r="AH54" s="167"/>
      <c r="AI54" s="167"/>
      <c r="AJ54" s="167"/>
      <c r="AK54" s="167"/>
      <c r="AL54" s="167"/>
      <c r="AM54" s="167"/>
      <c r="AN54" s="167"/>
      <c r="AO54" s="167"/>
      <c r="AP54" s="167"/>
      <c r="AQ54" s="167"/>
      <c r="AR54" s="167"/>
      <c r="AS54" s="167"/>
      <c r="AT54" s="167"/>
      <c r="AU54" s="167"/>
      <c r="AV54" s="178"/>
    </row>
    <row r="55" spans="1:48">
      <c r="A55" s="167"/>
      <c r="B55" s="183"/>
      <c r="C55" s="167"/>
      <c r="D55" s="167"/>
      <c r="E55" s="167"/>
      <c r="F55" s="167"/>
      <c r="G55" s="167"/>
      <c r="H55" s="167"/>
      <c r="I55" s="167"/>
      <c r="J55" s="167"/>
      <c r="K55" s="167"/>
      <c r="L55" s="167"/>
      <c r="M55" s="167"/>
      <c r="N55" s="167"/>
      <c r="O55" s="167"/>
      <c r="P55" s="167"/>
      <c r="Q55" s="167"/>
      <c r="R55" s="167"/>
      <c r="S55" s="167"/>
      <c r="T55" s="167"/>
      <c r="U55" s="167"/>
      <c r="V55" s="167"/>
      <c r="W55" s="167"/>
      <c r="X55" s="167"/>
      <c r="Y55" s="167"/>
      <c r="Z55" s="167"/>
      <c r="AA55" s="167"/>
      <c r="AB55" s="167"/>
      <c r="AC55" s="167"/>
      <c r="AD55" s="167"/>
      <c r="AE55" s="167"/>
      <c r="AF55" s="167"/>
      <c r="AG55" s="167"/>
      <c r="AH55" s="167"/>
      <c r="AI55" s="167"/>
      <c r="AJ55" s="167"/>
      <c r="AK55" s="167"/>
      <c r="AL55" s="167"/>
      <c r="AM55" s="167"/>
      <c r="AN55" s="167"/>
      <c r="AO55" s="167"/>
      <c r="AP55" s="167"/>
      <c r="AQ55" s="167"/>
      <c r="AR55" s="167"/>
      <c r="AS55" s="167"/>
      <c r="AT55" s="167"/>
      <c r="AU55" s="167"/>
      <c r="AV55" s="178"/>
    </row>
    <row r="56" spans="1:48">
      <c r="A56" s="150" t="s">
        <v>150</v>
      </c>
      <c r="B56" s="142">
        <f>SUM(C56:AU56)</f>
        <v>11356448.055023968</v>
      </c>
      <c r="C56" s="142">
        <f>'I DRAW'!D40</f>
        <v>0</v>
      </c>
      <c r="D56" s="142">
        <f>'I DRAW'!E40</f>
        <v>0</v>
      </c>
      <c r="E56" s="142">
        <f>'I DRAW'!F40</f>
        <v>0</v>
      </c>
      <c r="F56" s="142">
        <f>'I DRAW'!G40</f>
        <v>0</v>
      </c>
      <c r="G56" s="142">
        <f>'I DRAW'!H40</f>
        <v>0</v>
      </c>
      <c r="H56" s="142">
        <f>'I DRAW'!I40</f>
        <v>0</v>
      </c>
      <c r="I56" s="142">
        <f>'I DRAW'!J40</f>
        <v>0</v>
      </c>
      <c r="J56" s="142">
        <f>'I DRAW'!K40</f>
        <v>0</v>
      </c>
      <c r="K56" s="142">
        <f>'I DRAW'!L40</f>
        <v>0</v>
      </c>
      <c r="L56" s="142">
        <f>'I DRAW'!M40</f>
        <v>0</v>
      </c>
      <c r="M56" s="142">
        <f>'I DRAW'!N40</f>
        <v>0</v>
      </c>
      <c r="N56" s="142">
        <f>'I DRAW'!O40</f>
        <v>0</v>
      </c>
      <c r="O56" s="142">
        <f>'I DRAW'!P40</f>
        <v>0</v>
      </c>
      <c r="P56" s="142">
        <f>'I DRAW'!Q40</f>
        <v>0</v>
      </c>
      <c r="Q56" s="142">
        <f>'I DRAW'!R40</f>
        <v>0</v>
      </c>
      <c r="R56" s="142">
        <f>'I DRAW'!S40</f>
        <v>0</v>
      </c>
      <c r="S56" s="142">
        <f>'I DRAW'!T40</f>
        <v>-527922.66119999997</v>
      </c>
      <c r="T56" s="142">
        <f>'I DRAW'!U40</f>
        <v>-7126955.9262000006</v>
      </c>
      <c r="U56" s="142">
        <f>'I DRAW'!V40</f>
        <v>-527922.66119999997</v>
      </c>
      <c r="V56" s="142">
        <f>'I DRAW'!W40</f>
        <v>-1077922.6612</v>
      </c>
      <c r="W56" s="142">
        <f>'I DRAW'!X40</f>
        <v>-4083850.772925219</v>
      </c>
      <c r="X56" s="142">
        <f>'I DRAW'!Y40</f>
        <v>-8829693.481369134</v>
      </c>
      <c r="Y56" s="142">
        <f>'I DRAW'!Z40</f>
        <v>-15566665.11029809</v>
      </c>
      <c r="Z56" s="142">
        <f>'I DRAW'!AA40</f>
        <v>-23354448.827377185</v>
      </c>
      <c r="AA56" s="142">
        <f>'I DRAW'!AB40</f>
        <v>-36828392.085235082</v>
      </c>
      <c r="AB56" s="142">
        <f>'I DRAW'!AC40</f>
        <v>-23354448.827377185</v>
      </c>
      <c r="AC56" s="142">
        <f>'I DRAW'!AD40</f>
        <v>-20659660.175805602</v>
      </c>
      <c r="AD56" s="142">
        <f>'I DRAW'!AE40</f>
        <v>-18586075.373829339</v>
      </c>
      <c r="AE56" s="142">
        <f>'I DRAW'!AF40</f>
        <v>-9154315.0933288038</v>
      </c>
      <c r="AF56" s="142">
        <f>'I DRAW'!AG40</f>
        <v>-2310275.5897801463</v>
      </c>
      <c r="AG56" s="142">
        <f>'I DRAW'!AH40</f>
        <v>183344997.30214977</v>
      </c>
      <c r="AH56" s="142">
        <f>'I DRAW'!AI40</f>
        <v>0</v>
      </c>
      <c r="AI56" s="142">
        <f>'I DRAW'!AJ40</f>
        <v>0</v>
      </c>
      <c r="AJ56" s="142">
        <f>'I DRAW'!AK40</f>
        <v>0</v>
      </c>
      <c r="AK56" s="142">
        <f>'I DRAW'!AL40</f>
        <v>0</v>
      </c>
      <c r="AL56" s="142">
        <f>'I DRAW'!AM40</f>
        <v>0</v>
      </c>
      <c r="AM56" s="142">
        <f>'I DRAW'!AN40</f>
        <v>0</v>
      </c>
      <c r="AN56" s="142">
        <f>'I DRAW'!AO40</f>
        <v>0</v>
      </c>
      <c r="AO56" s="142">
        <f>'I DRAW'!AP40</f>
        <v>0</v>
      </c>
      <c r="AP56" s="142">
        <f>'I DRAW'!AQ40</f>
        <v>0</v>
      </c>
      <c r="AQ56" s="142">
        <f>'I DRAW'!AR40</f>
        <v>0</v>
      </c>
      <c r="AR56" s="142">
        <f>'I DRAW'!AS40</f>
        <v>0</v>
      </c>
      <c r="AS56" s="142">
        <f>'I DRAW'!AT40</f>
        <v>0</v>
      </c>
      <c r="AT56" s="142">
        <f>'I DRAW'!AU40</f>
        <v>0</v>
      </c>
      <c r="AU56" s="142">
        <f>'I DRAW'!AV40</f>
        <v>0</v>
      </c>
      <c r="AV56" s="150"/>
    </row>
    <row r="57" spans="1:48">
      <c r="A57" s="150" t="s">
        <v>151</v>
      </c>
      <c r="B57" s="180">
        <f>IF(B56&lt;0,0,IRR(C56:AU56))</f>
        <v>1.0740164027120747E-2</v>
      </c>
      <c r="C57" s="162"/>
      <c r="D57" s="167"/>
      <c r="E57" s="167"/>
      <c r="F57" s="167"/>
      <c r="G57" s="167"/>
      <c r="H57" s="167"/>
      <c r="I57" s="167"/>
      <c r="J57" s="167"/>
      <c r="K57" s="167"/>
      <c r="L57" s="167"/>
      <c r="M57" s="162"/>
      <c r="N57" s="167"/>
      <c r="O57" s="167"/>
      <c r="P57" s="167"/>
      <c r="Q57" s="167"/>
      <c r="R57" s="167"/>
      <c r="S57" s="162"/>
      <c r="T57" s="167"/>
      <c r="U57" s="167"/>
      <c r="V57" s="167"/>
      <c r="W57" s="167"/>
      <c r="X57" s="167"/>
      <c r="Y57" s="167"/>
      <c r="Z57" s="167"/>
      <c r="AA57" s="167"/>
      <c r="AB57" s="167"/>
      <c r="AC57" s="167"/>
      <c r="AD57" s="167"/>
      <c r="AE57" s="167"/>
      <c r="AF57" s="167"/>
      <c r="AG57" s="167"/>
      <c r="AH57" s="167"/>
      <c r="AI57" s="167"/>
      <c r="AJ57" s="167"/>
      <c r="AK57" s="167"/>
      <c r="AL57" s="167"/>
      <c r="AM57" s="167"/>
      <c r="AN57" s="167"/>
      <c r="AO57" s="167"/>
      <c r="AP57" s="167"/>
      <c r="AQ57" s="167"/>
      <c r="AR57" s="167"/>
      <c r="AS57" s="167"/>
      <c r="AT57" s="167"/>
      <c r="AU57" s="167"/>
      <c r="AV57" s="150"/>
    </row>
    <row r="58" spans="1:48">
      <c r="A58" s="150" t="s">
        <v>146</v>
      </c>
      <c r="B58" s="181">
        <f>POWER((1+B57),4)-1</f>
        <v>4.3657731714282333E-2</v>
      </c>
      <c r="C58" s="167"/>
      <c r="D58" s="167"/>
      <c r="E58" s="167"/>
      <c r="F58" s="167"/>
      <c r="G58" s="167"/>
      <c r="H58" s="167"/>
      <c r="I58" s="167"/>
      <c r="J58" s="167"/>
      <c r="K58" s="167"/>
      <c r="L58" s="167"/>
      <c r="M58" s="162"/>
      <c r="N58" s="167"/>
      <c r="O58" s="167"/>
      <c r="P58" s="167"/>
      <c r="Q58" s="167"/>
      <c r="R58" s="167"/>
      <c r="S58" s="162"/>
      <c r="T58" s="167"/>
      <c r="U58" s="167"/>
      <c r="V58" s="167"/>
      <c r="W58" s="167"/>
      <c r="X58" s="167"/>
      <c r="Y58" s="167"/>
      <c r="Z58" s="167"/>
      <c r="AA58" s="167"/>
      <c r="AB58" s="167"/>
      <c r="AC58" s="167"/>
      <c r="AD58" s="167"/>
      <c r="AE58" s="167"/>
      <c r="AF58" s="167"/>
      <c r="AG58" s="167"/>
      <c r="AH58" s="167"/>
      <c r="AI58" s="167"/>
      <c r="AJ58" s="167"/>
      <c r="AK58" s="167"/>
      <c r="AL58" s="167"/>
      <c r="AM58" s="167"/>
      <c r="AN58" s="167"/>
      <c r="AO58" s="167"/>
      <c r="AP58" s="167"/>
      <c r="AQ58" s="167"/>
      <c r="AR58" s="167"/>
      <c r="AS58" s="167"/>
      <c r="AT58" s="167"/>
      <c r="AU58" s="167"/>
      <c r="AV58" s="150"/>
    </row>
    <row r="59" spans="1:48">
      <c r="G59" s="5"/>
      <c r="AA59"/>
      <c r="AB59"/>
      <c r="AC59"/>
      <c r="AD59"/>
      <c r="AE59"/>
      <c r="AF59"/>
    </row>
    <row r="60" spans="1:48">
      <c r="G60" s="5"/>
      <c r="AA60"/>
      <c r="AB60"/>
      <c r="AC60"/>
      <c r="AD60"/>
      <c r="AE60"/>
      <c r="AF60"/>
    </row>
    <row r="61" spans="1:48">
      <c r="G61" s="5"/>
      <c r="AA61"/>
      <c r="AB61"/>
      <c r="AC61"/>
      <c r="AD61"/>
      <c r="AE61"/>
      <c r="AF61"/>
    </row>
    <row r="62" spans="1:48">
      <c r="G62" s="5"/>
      <c r="AA62"/>
      <c r="AB62"/>
      <c r="AC62"/>
      <c r="AD62"/>
      <c r="AE62"/>
      <c r="AF62"/>
    </row>
    <row r="63" spans="1:48">
      <c r="G63" s="5"/>
      <c r="AA63"/>
      <c r="AB63"/>
      <c r="AC63"/>
      <c r="AD63"/>
      <c r="AE63"/>
      <c r="AF63"/>
    </row>
    <row r="64" spans="1:48">
      <c r="G64" s="5"/>
      <c r="AA64"/>
      <c r="AB64"/>
      <c r="AC64"/>
      <c r="AD64"/>
      <c r="AE64"/>
      <c r="AF64"/>
    </row>
    <row r="65" spans="7:32">
      <c r="G65" s="5"/>
      <c r="AA65"/>
      <c r="AB65"/>
      <c r="AC65"/>
      <c r="AD65"/>
      <c r="AE65"/>
      <c r="AF65"/>
    </row>
    <row r="66" spans="7:32">
      <c r="G66" s="5"/>
      <c r="AA66"/>
      <c r="AB66"/>
      <c r="AC66"/>
      <c r="AD66"/>
      <c r="AE66"/>
      <c r="AF66"/>
    </row>
    <row r="67" spans="7:32">
      <c r="G67" s="5"/>
      <c r="AA67"/>
      <c r="AB67"/>
      <c r="AC67"/>
      <c r="AD67"/>
      <c r="AE67"/>
      <c r="AF67"/>
    </row>
    <row r="68" spans="7:32">
      <c r="G68" s="5"/>
      <c r="AA68"/>
      <c r="AB68"/>
      <c r="AC68"/>
      <c r="AD68"/>
      <c r="AE68"/>
      <c r="AF68"/>
    </row>
    <row r="69" spans="7:32">
      <c r="G69" s="5"/>
      <c r="AA69"/>
      <c r="AB69"/>
      <c r="AC69"/>
      <c r="AD69"/>
      <c r="AE69"/>
      <c r="AF69"/>
    </row>
    <row r="70" spans="7:32">
      <c r="G70" s="5"/>
      <c r="AA70"/>
      <c r="AB70"/>
      <c r="AC70"/>
      <c r="AD70"/>
      <c r="AE70"/>
      <c r="AF70"/>
    </row>
    <row r="71" spans="7:32">
      <c r="G71" s="5"/>
      <c r="AA71"/>
      <c r="AB71"/>
      <c r="AC71"/>
      <c r="AD71"/>
      <c r="AE71"/>
      <c r="AF71"/>
    </row>
    <row r="72" spans="7:32">
      <c r="G72" s="5"/>
      <c r="AA72"/>
      <c r="AB72"/>
      <c r="AC72"/>
      <c r="AD72"/>
      <c r="AE72"/>
      <c r="AF72"/>
    </row>
    <row r="73" spans="7:32">
      <c r="G73" s="5"/>
      <c r="AA73"/>
      <c r="AB73"/>
      <c r="AC73"/>
      <c r="AD73"/>
      <c r="AE73"/>
      <c r="AF73"/>
    </row>
    <row r="74" spans="7:32">
      <c r="G74" s="5"/>
      <c r="AA74"/>
      <c r="AB74"/>
      <c r="AC74"/>
      <c r="AD74"/>
      <c r="AE74"/>
      <c r="AF74"/>
    </row>
    <row r="75" spans="7:32">
      <c r="G75" s="5"/>
      <c r="AA75"/>
      <c r="AB75"/>
      <c r="AC75"/>
      <c r="AD75"/>
      <c r="AE75"/>
      <c r="AF75"/>
    </row>
    <row r="76" spans="7:32">
      <c r="G76" s="5"/>
      <c r="AA76"/>
      <c r="AB76"/>
      <c r="AC76"/>
      <c r="AD76"/>
      <c r="AE76"/>
      <c r="AF76"/>
    </row>
    <row r="77" spans="7:32">
      <c r="G77" s="5"/>
      <c r="AA77"/>
      <c r="AB77"/>
      <c r="AC77"/>
      <c r="AD77"/>
      <c r="AE77"/>
      <c r="AF77"/>
    </row>
    <row r="78" spans="7:32">
      <c r="G78" s="5"/>
      <c r="AA78"/>
      <c r="AB78"/>
      <c r="AC78"/>
      <c r="AD78"/>
      <c r="AE78"/>
      <c r="AF78"/>
    </row>
    <row r="79" spans="7:32">
      <c r="G79" s="5"/>
      <c r="AA79"/>
      <c r="AB79"/>
      <c r="AC79"/>
      <c r="AD79"/>
      <c r="AE79"/>
      <c r="AF79"/>
    </row>
    <row r="80" spans="7:32">
      <c r="G80" s="5"/>
      <c r="AA80"/>
      <c r="AB80"/>
      <c r="AC80"/>
      <c r="AD80"/>
      <c r="AE80"/>
      <c r="AF80"/>
    </row>
    <row r="81" spans="7:32">
      <c r="G81" s="5"/>
      <c r="AA81"/>
      <c r="AB81"/>
      <c r="AC81"/>
      <c r="AD81"/>
      <c r="AE81"/>
      <c r="AF81"/>
    </row>
    <row r="82" spans="7:32">
      <c r="G82" s="5"/>
      <c r="AA82"/>
      <c r="AB82"/>
      <c r="AC82"/>
      <c r="AD82"/>
      <c r="AE82"/>
      <c r="AF82"/>
    </row>
    <row r="83" spans="7:32">
      <c r="G83" s="5"/>
      <c r="AA83"/>
      <c r="AB83"/>
      <c r="AC83"/>
      <c r="AD83"/>
      <c r="AE83"/>
      <c r="AF83"/>
    </row>
    <row r="84" spans="7:32">
      <c r="G84" s="5"/>
      <c r="AA84"/>
      <c r="AB84"/>
      <c r="AC84"/>
      <c r="AD84"/>
      <c r="AE84"/>
      <c r="AF84"/>
    </row>
    <row r="85" spans="7:32">
      <c r="G85" s="5"/>
      <c r="AA85"/>
      <c r="AB85"/>
      <c r="AC85"/>
      <c r="AD85"/>
      <c r="AE85"/>
      <c r="AF85"/>
    </row>
    <row r="86" spans="7:32">
      <c r="G86" s="5"/>
      <c r="AA86"/>
      <c r="AB86"/>
      <c r="AC86"/>
      <c r="AD86"/>
      <c r="AE86"/>
      <c r="AF86"/>
    </row>
    <row r="87" spans="7:32">
      <c r="G87" s="5"/>
      <c r="AA87"/>
      <c r="AB87"/>
      <c r="AC87"/>
      <c r="AD87"/>
      <c r="AE87"/>
      <c r="AF87"/>
    </row>
    <row r="88" spans="7:32">
      <c r="G88" s="5"/>
      <c r="AA88"/>
      <c r="AB88"/>
      <c r="AC88"/>
      <c r="AD88"/>
      <c r="AE88"/>
      <c r="AF88"/>
    </row>
    <row r="89" spans="7:32">
      <c r="G89" s="5"/>
      <c r="AA89"/>
      <c r="AB89"/>
      <c r="AC89"/>
      <c r="AD89"/>
      <c r="AE89"/>
      <c r="AF89"/>
    </row>
    <row r="90" spans="7:32">
      <c r="G90" s="5"/>
      <c r="AA90"/>
      <c r="AB90"/>
      <c r="AC90"/>
      <c r="AD90"/>
      <c r="AE90"/>
      <c r="AF90"/>
    </row>
    <row r="91" spans="7:32">
      <c r="G91" s="5"/>
      <c r="AA91"/>
      <c r="AB91"/>
      <c r="AC91"/>
      <c r="AD91"/>
      <c r="AE91"/>
      <c r="AF91"/>
    </row>
    <row r="92" spans="7:32">
      <c r="G92" s="5"/>
      <c r="AA92"/>
      <c r="AB92"/>
      <c r="AC92"/>
      <c r="AD92"/>
      <c r="AE92"/>
      <c r="AF92"/>
    </row>
    <row r="93" spans="7:32">
      <c r="G93" s="5"/>
      <c r="AA93"/>
      <c r="AB93"/>
      <c r="AC93"/>
      <c r="AD93"/>
      <c r="AE93"/>
      <c r="AF93"/>
    </row>
    <row r="94" spans="7:32">
      <c r="G94" s="5"/>
      <c r="AA94"/>
      <c r="AB94"/>
      <c r="AC94"/>
      <c r="AD94"/>
      <c r="AE94"/>
      <c r="AF94"/>
    </row>
    <row r="95" spans="7:32">
      <c r="G95" s="5"/>
      <c r="AA95"/>
      <c r="AB95"/>
      <c r="AC95"/>
      <c r="AD95"/>
      <c r="AE95"/>
      <c r="AF95"/>
    </row>
    <row r="96" spans="7:32">
      <c r="G96" s="5"/>
      <c r="AA96"/>
      <c r="AB96"/>
      <c r="AC96"/>
      <c r="AD96"/>
      <c r="AE96"/>
      <c r="AF96"/>
    </row>
    <row r="97" spans="7:32">
      <c r="G97" s="5"/>
      <c r="AA97"/>
      <c r="AB97"/>
      <c r="AC97"/>
      <c r="AD97"/>
      <c r="AE97"/>
      <c r="AF97"/>
    </row>
    <row r="98" spans="7:32">
      <c r="G98" s="5"/>
      <c r="AA98"/>
      <c r="AB98"/>
      <c r="AC98"/>
      <c r="AD98"/>
      <c r="AE98"/>
      <c r="AF98"/>
    </row>
    <row r="99" spans="7:32">
      <c r="G99" s="5"/>
      <c r="AA99"/>
      <c r="AB99"/>
      <c r="AC99"/>
      <c r="AD99"/>
      <c r="AE99"/>
      <c r="AF99"/>
    </row>
    <row r="100" spans="7:32">
      <c r="G100" s="5"/>
      <c r="AA100"/>
      <c r="AB100"/>
      <c r="AC100"/>
      <c r="AD100"/>
      <c r="AE100"/>
      <c r="AF100"/>
    </row>
    <row r="101" spans="7:32">
      <c r="G101" s="5"/>
      <c r="AA101"/>
      <c r="AB101"/>
      <c r="AC101"/>
      <c r="AD101"/>
      <c r="AE101"/>
      <c r="AF101"/>
    </row>
    <row r="102" spans="7:32">
      <c r="G102" s="5"/>
      <c r="AA102"/>
      <c r="AB102"/>
      <c r="AC102"/>
      <c r="AD102"/>
      <c r="AE102"/>
      <c r="AF102"/>
    </row>
    <row r="103" spans="7:32">
      <c r="G103" s="5"/>
      <c r="AA103"/>
      <c r="AB103"/>
      <c r="AC103"/>
      <c r="AD103"/>
      <c r="AE103"/>
      <c r="AF103"/>
    </row>
    <row r="104" spans="7:32">
      <c r="G104" s="5"/>
      <c r="AA104"/>
      <c r="AB104"/>
      <c r="AC104"/>
      <c r="AD104"/>
      <c r="AE104"/>
      <c r="AF104"/>
    </row>
    <row r="105" spans="7:32">
      <c r="G105" s="5"/>
      <c r="AA105"/>
      <c r="AB105"/>
      <c r="AC105"/>
      <c r="AD105"/>
      <c r="AE105"/>
      <c r="AF105"/>
    </row>
    <row r="106" spans="7:32">
      <c r="G106" s="5"/>
      <c r="AA106"/>
      <c r="AB106"/>
      <c r="AC106"/>
      <c r="AD106"/>
      <c r="AE106"/>
      <c r="AF106"/>
    </row>
    <row r="107" spans="7:32">
      <c r="G107" s="5"/>
      <c r="AA107"/>
      <c r="AB107"/>
      <c r="AC107"/>
      <c r="AD107"/>
      <c r="AE107"/>
      <c r="AF107"/>
    </row>
    <row r="108" spans="7:32">
      <c r="G108" s="5"/>
      <c r="AA108"/>
      <c r="AB108"/>
      <c r="AC108"/>
      <c r="AD108"/>
      <c r="AE108"/>
      <c r="AF108"/>
    </row>
    <row r="109" spans="7:32">
      <c r="G109" s="5"/>
      <c r="AA109"/>
      <c r="AB109"/>
      <c r="AC109"/>
      <c r="AD109"/>
      <c r="AE109"/>
      <c r="AF109"/>
    </row>
    <row r="110" spans="7:32">
      <c r="G110" s="5"/>
      <c r="AA110"/>
      <c r="AB110"/>
      <c r="AC110"/>
      <c r="AD110"/>
      <c r="AE110"/>
      <c r="AF110"/>
    </row>
    <row r="111" spans="7:32">
      <c r="G111" s="5"/>
      <c r="AA111"/>
      <c r="AB111"/>
      <c r="AC111"/>
      <c r="AD111"/>
      <c r="AE111"/>
      <c r="AF111"/>
    </row>
    <row r="112" spans="7:32">
      <c r="G112" s="5"/>
      <c r="AA112"/>
      <c r="AB112"/>
      <c r="AC112"/>
      <c r="AD112"/>
      <c r="AE112"/>
      <c r="AF112"/>
    </row>
    <row r="113" spans="7:32">
      <c r="G113" s="5"/>
      <c r="AA113"/>
      <c r="AB113"/>
      <c r="AC113"/>
      <c r="AD113"/>
      <c r="AE113"/>
      <c r="AF113"/>
    </row>
    <row r="114" spans="7:32">
      <c r="G114" s="5"/>
      <c r="AA114"/>
      <c r="AB114"/>
      <c r="AC114"/>
      <c r="AD114"/>
      <c r="AE114"/>
      <c r="AF114"/>
    </row>
    <row r="115" spans="7:32">
      <c r="G115" s="5"/>
      <c r="AA115"/>
      <c r="AB115"/>
      <c r="AC115"/>
      <c r="AD115"/>
      <c r="AE115"/>
      <c r="AF115"/>
    </row>
    <row r="116" spans="7:32">
      <c r="G116" s="5"/>
      <c r="AA116"/>
      <c r="AB116"/>
      <c r="AC116"/>
      <c r="AD116"/>
      <c r="AE116"/>
      <c r="AF116"/>
    </row>
    <row r="117" spans="7:32">
      <c r="G117" s="5"/>
      <c r="AA117"/>
      <c r="AB117"/>
      <c r="AC117"/>
      <c r="AD117"/>
      <c r="AE117"/>
      <c r="AF117"/>
    </row>
    <row r="118" spans="7:32">
      <c r="G118" s="5"/>
      <c r="AA118"/>
      <c r="AB118"/>
      <c r="AC118"/>
      <c r="AD118"/>
      <c r="AE118"/>
      <c r="AF118"/>
    </row>
    <row r="119" spans="7:32">
      <c r="G119" s="5"/>
      <c r="AA119"/>
      <c r="AB119"/>
      <c r="AC119"/>
      <c r="AD119"/>
      <c r="AE119"/>
      <c r="AF119"/>
    </row>
    <row r="120" spans="7:32">
      <c r="G120" s="5"/>
      <c r="AA120"/>
      <c r="AB120"/>
      <c r="AC120"/>
      <c r="AD120"/>
      <c r="AE120"/>
      <c r="AF120"/>
    </row>
    <row r="121" spans="7:32">
      <c r="G121" s="5"/>
      <c r="AA121"/>
      <c r="AB121"/>
      <c r="AC121"/>
      <c r="AD121"/>
      <c r="AE121"/>
      <c r="AF121"/>
    </row>
    <row r="122" spans="7:32">
      <c r="G122" s="5"/>
      <c r="AA122"/>
      <c r="AB122"/>
      <c r="AC122"/>
      <c r="AD122"/>
      <c r="AE122"/>
      <c r="AF122"/>
    </row>
    <row r="123" spans="7:32">
      <c r="G123" s="5"/>
      <c r="AA123"/>
      <c r="AB123"/>
      <c r="AC123"/>
      <c r="AD123"/>
      <c r="AE123"/>
      <c r="AF123"/>
    </row>
    <row r="124" spans="7:32">
      <c r="G124" s="5"/>
      <c r="AA124"/>
      <c r="AB124"/>
      <c r="AC124"/>
      <c r="AD124"/>
      <c r="AE124"/>
      <c r="AF124"/>
    </row>
    <row r="125" spans="7:32">
      <c r="G125" s="5"/>
      <c r="AA125"/>
      <c r="AB125"/>
      <c r="AC125"/>
      <c r="AD125"/>
      <c r="AE125"/>
      <c r="AF125"/>
    </row>
    <row r="126" spans="7:32">
      <c r="G126" s="5"/>
      <c r="AA126"/>
      <c r="AB126"/>
      <c r="AC126"/>
      <c r="AD126"/>
      <c r="AE126"/>
      <c r="AF126"/>
    </row>
    <row r="127" spans="7:32">
      <c r="G127" s="5"/>
      <c r="AA127"/>
      <c r="AB127"/>
      <c r="AC127"/>
      <c r="AD127"/>
      <c r="AE127"/>
      <c r="AF127"/>
    </row>
    <row r="128" spans="7:32">
      <c r="G128" s="5"/>
      <c r="AA128"/>
      <c r="AB128"/>
      <c r="AC128"/>
      <c r="AD128"/>
      <c r="AE128"/>
      <c r="AF128"/>
    </row>
    <row r="129" spans="7:32">
      <c r="G129" s="5"/>
      <c r="AA129"/>
      <c r="AB129"/>
      <c r="AC129"/>
      <c r="AD129"/>
      <c r="AE129"/>
      <c r="AF129"/>
    </row>
    <row r="130" spans="7:32">
      <c r="G130" s="5"/>
      <c r="AA130"/>
      <c r="AB130"/>
      <c r="AC130"/>
      <c r="AD130"/>
      <c r="AE130"/>
      <c r="AF130"/>
    </row>
    <row r="131" spans="7:32">
      <c r="G131" s="5"/>
      <c r="AA131"/>
      <c r="AB131"/>
      <c r="AC131"/>
      <c r="AD131"/>
      <c r="AE131"/>
      <c r="AF131"/>
    </row>
    <row r="132" spans="7:32">
      <c r="G132" s="5"/>
      <c r="AA132"/>
      <c r="AB132"/>
      <c r="AC132"/>
      <c r="AD132"/>
      <c r="AE132"/>
      <c r="AF132"/>
    </row>
    <row r="133" spans="7:32">
      <c r="G133" s="5"/>
      <c r="AA133"/>
      <c r="AB133"/>
      <c r="AC133"/>
      <c r="AD133"/>
      <c r="AE133"/>
      <c r="AF133"/>
    </row>
    <row r="134" spans="7:32">
      <c r="G134" s="5"/>
      <c r="AA134"/>
      <c r="AB134"/>
      <c r="AC134"/>
      <c r="AD134"/>
      <c r="AE134"/>
      <c r="AF134"/>
    </row>
    <row r="135" spans="7:32">
      <c r="G135" s="5"/>
      <c r="AA135"/>
      <c r="AB135"/>
      <c r="AC135"/>
      <c r="AD135"/>
      <c r="AE135"/>
      <c r="AF135"/>
    </row>
    <row r="136" spans="7:32">
      <c r="G136" s="5"/>
      <c r="AA136"/>
      <c r="AB136"/>
      <c r="AC136"/>
      <c r="AD136"/>
      <c r="AE136"/>
      <c r="AF136"/>
    </row>
    <row r="137" spans="7:32">
      <c r="G137" s="5"/>
      <c r="AA137"/>
      <c r="AB137"/>
      <c r="AC137"/>
      <c r="AD137"/>
      <c r="AE137"/>
      <c r="AF137"/>
    </row>
    <row r="138" spans="7:32">
      <c r="G138" s="5"/>
      <c r="AA138"/>
      <c r="AB138"/>
      <c r="AC138"/>
      <c r="AD138"/>
      <c r="AE138"/>
      <c r="AF138"/>
    </row>
    <row r="139" spans="7:32">
      <c r="G139" s="5"/>
      <c r="AA139"/>
      <c r="AB139"/>
      <c r="AC139"/>
      <c r="AD139"/>
      <c r="AE139"/>
      <c r="AF139"/>
    </row>
    <row r="140" spans="7:32">
      <c r="G140" s="5"/>
      <c r="AA140"/>
      <c r="AB140"/>
      <c r="AC140"/>
      <c r="AD140"/>
      <c r="AE140"/>
      <c r="AF140"/>
    </row>
    <row r="141" spans="7:32">
      <c r="G141" s="5"/>
      <c r="AA141"/>
      <c r="AB141"/>
      <c r="AC141"/>
      <c r="AD141"/>
      <c r="AE141"/>
      <c r="AF141"/>
    </row>
    <row r="142" spans="7:32">
      <c r="G142" s="5"/>
      <c r="AA142"/>
      <c r="AB142"/>
      <c r="AC142"/>
      <c r="AD142"/>
      <c r="AE142"/>
      <c r="AF142"/>
    </row>
    <row r="143" spans="7:32">
      <c r="G143" s="5"/>
      <c r="AA143"/>
      <c r="AB143"/>
      <c r="AC143"/>
      <c r="AD143"/>
      <c r="AE143"/>
      <c r="AF143"/>
    </row>
    <row r="144" spans="7:32">
      <c r="G144" s="5"/>
      <c r="AA144"/>
      <c r="AB144"/>
      <c r="AC144"/>
      <c r="AD144"/>
      <c r="AE144"/>
      <c r="AF144"/>
    </row>
    <row r="145" spans="7:32">
      <c r="G145" s="5"/>
      <c r="AA145"/>
      <c r="AB145"/>
      <c r="AC145"/>
      <c r="AD145"/>
      <c r="AE145"/>
      <c r="AF145"/>
    </row>
    <row r="146" spans="7:32">
      <c r="G146" s="5"/>
      <c r="AA146"/>
      <c r="AB146"/>
      <c r="AC146"/>
      <c r="AD146"/>
      <c r="AE146"/>
      <c r="AF146"/>
    </row>
    <row r="147" spans="7:32">
      <c r="G147" s="5"/>
      <c r="AA147"/>
      <c r="AB147"/>
      <c r="AC147"/>
      <c r="AD147"/>
      <c r="AE147"/>
      <c r="AF147"/>
    </row>
    <row r="148" spans="7:32">
      <c r="G148" s="5"/>
      <c r="AA148"/>
      <c r="AB148"/>
      <c r="AC148"/>
      <c r="AD148"/>
      <c r="AE148"/>
      <c r="AF148"/>
    </row>
    <row r="149" spans="7:32">
      <c r="G149" s="5"/>
      <c r="AA149"/>
      <c r="AB149"/>
      <c r="AC149"/>
      <c r="AD149"/>
      <c r="AE149"/>
      <c r="AF149"/>
    </row>
    <row r="150" spans="7:32">
      <c r="G150" s="5"/>
      <c r="AA150"/>
      <c r="AB150"/>
      <c r="AC150"/>
      <c r="AD150"/>
      <c r="AE150"/>
      <c r="AF150"/>
    </row>
    <row r="151" spans="7:32">
      <c r="G151" s="5"/>
      <c r="AA151"/>
      <c r="AB151"/>
      <c r="AC151"/>
      <c r="AD151"/>
      <c r="AE151"/>
      <c r="AF151"/>
    </row>
    <row r="152" spans="7:32">
      <c r="G152" s="5"/>
      <c r="AA152"/>
      <c r="AB152"/>
      <c r="AC152"/>
      <c r="AD152"/>
      <c r="AE152"/>
      <c r="AF152"/>
    </row>
    <row r="153" spans="7:32">
      <c r="G153" s="5"/>
      <c r="AA153"/>
      <c r="AB153"/>
      <c r="AC153"/>
      <c r="AD153"/>
      <c r="AE153"/>
      <c r="AF153"/>
    </row>
    <row r="154" spans="7:32">
      <c r="G154" s="5"/>
      <c r="AA154"/>
      <c r="AB154"/>
      <c r="AC154"/>
      <c r="AD154"/>
      <c r="AE154"/>
      <c r="AF154"/>
    </row>
    <row r="155" spans="7:32">
      <c r="G155" s="5"/>
      <c r="AA155"/>
      <c r="AB155"/>
      <c r="AC155"/>
      <c r="AD155"/>
      <c r="AE155"/>
      <c r="AF155"/>
    </row>
    <row r="156" spans="7:32">
      <c r="G156" s="5"/>
      <c r="AA156"/>
      <c r="AB156"/>
      <c r="AC156"/>
      <c r="AD156"/>
      <c r="AE156"/>
      <c r="AF156"/>
    </row>
    <row r="157" spans="7:32">
      <c r="G157" s="5"/>
      <c r="AA157"/>
      <c r="AB157"/>
      <c r="AC157"/>
      <c r="AD157"/>
      <c r="AE157"/>
      <c r="AF157"/>
    </row>
    <row r="158" spans="7:32">
      <c r="G158" s="5"/>
      <c r="AA158"/>
      <c r="AB158"/>
      <c r="AC158"/>
      <c r="AD158"/>
      <c r="AE158"/>
      <c r="AF158"/>
    </row>
    <row r="159" spans="7:32">
      <c r="G159" s="5"/>
      <c r="AA159"/>
      <c r="AB159"/>
      <c r="AC159"/>
      <c r="AD159"/>
      <c r="AE159"/>
      <c r="AF159"/>
    </row>
    <row r="160" spans="7:32">
      <c r="G160" s="5"/>
      <c r="AA160"/>
      <c r="AB160"/>
      <c r="AC160"/>
      <c r="AD160"/>
      <c r="AE160"/>
      <c r="AF160"/>
    </row>
    <row r="161" spans="7:32">
      <c r="G161" s="5"/>
      <c r="AA161"/>
      <c r="AB161"/>
      <c r="AC161"/>
      <c r="AD161"/>
      <c r="AE161"/>
      <c r="AF161"/>
    </row>
    <row r="162" spans="7:32">
      <c r="G162" s="5"/>
      <c r="AA162"/>
      <c r="AB162"/>
      <c r="AC162"/>
      <c r="AD162"/>
      <c r="AE162"/>
      <c r="AF162"/>
    </row>
    <row r="163" spans="7:32">
      <c r="G163" s="5"/>
      <c r="AA163"/>
      <c r="AB163"/>
      <c r="AC163"/>
      <c r="AD163"/>
      <c r="AE163"/>
      <c r="AF163"/>
    </row>
    <row r="164" spans="7:32">
      <c r="G164" s="5"/>
      <c r="AA164"/>
      <c r="AB164"/>
      <c r="AC164"/>
      <c r="AD164"/>
      <c r="AE164"/>
      <c r="AF164"/>
    </row>
    <row r="165" spans="7:32">
      <c r="G165" s="5"/>
      <c r="AA165"/>
      <c r="AB165"/>
      <c r="AC165"/>
      <c r="AD165"/>
      <c r="AE165"/>
      <c r="AF165"/>
    </row>
    <row r="166" spans="7:32">
      <c r="G166" s="5"/>
      <c r="AA166"/>
      <c r="AB166"/>
      <c r="AC166"/>
      <c r="AD166"/>
      <c r="AE166"/>
      <c r="AF166"/>
    </row>
    <row r="167" spans="7:32">
      <c r="G167" s="5"/>
      <c r="AA167"/>
      <c r="AB167"/>
      <c r="AC167"/>
      <c r="AD167"/>
      <c r="AE167"/>
      <c r="AF167"/>
    </row>
    <row r="168" spans="7:32">
      <c r="G168" s="5"/>
      <c r="AA168"/>
      <c r="AB168"/>
      <c r="AC168"/>
      <c r="AD168"/>
      <c r="AE168"/>
      <c r="AF168"/>
    </row>
    <row r="169" spans="7:32">
      <c r="G169" s="5"/>
      <c r="AA169"/>
      <c r="AB169"/>
      <c r="AC169"/>
      <c r="AD169"/>
      <c r="AE169"/>
      <c r="AF169"/>
    </row>
    <row r="170" spans="7:32">
      <c r="G170" s="5"/>
      <c r="AA170"/>
      <c r="AB170"/>
      <c r="AC170"/>
      <c r="AD170"/>
      <c r="AE170"/>
      <c r="AF170"/>
    </row>
    <row r="171" spans="7:32">
      <c r="G171" s="5"/>
      <c r="AA171"/>
      <c r="AB171"/>
      <c r="AC171"/>
      <c r="AD171"/>
      <c r="AE171"/>
      <c r="AF171"/>
    </row>
    <row r="172" spans="7:32">
      <c r="G172" s="5"/>
      <c r="AA172"/>
      <c r="AB172"/>
      <c r="AC172"/>
      <c r="AD172"/>
      <c r="AE172"/>
      <c r="AF172"/>
    </row>
    <row r="173" spans="7:32">
      <c r="G173" s="5"/>
      <c r="AA173"/>
      <c r="AB173"/>
      <c r="AC173"/>
      <c r="AD173"/>
      <c r="AE173"/>
      <c r="AF173"/>
    </row>
    <row r="174" spans="7:32">
      <c r="G174" s="5"/>
      <c r="AA174"/>
      <c r="AB174"/>
      <c r="AC174"/>
      <c r="AD174"/>
      <c r="AE174"/>
      <c r="AF174"/>
    </row>
    <row r="175" spans="7:32">
      <c r="G175" s="5"/>
      <c r="AA175"/>
      <c r="AB175"/>
      <c r="AC175"/>
      <c r="AD175"/>
      <c r="AE175"/>
      <c r="AF175"/>
    </row>
    <row r="176" spans="7:32">
      <c r="G176" s="5"/>
      <c r="AA176"/>
      <c r="AB176"/>
      <c r="AC176"/>
      <c r="AD176"/>
      <c r="AE176"/>
      <c r="AF176"/>
    </row>
    <row r="177" spans="7:32">
      <c r="G177" s="5"/>
      <c r="AA177"/>
      <c r="AB177"/>
      <c r="AC177"/>
      <c r="AD177"/>
      <c r="AE177"/>
      <c r="AF177"/>
    </row>
    <row r="178" spans="7:32">
      <c r="G178" s="5"/>
      <c r="AA178"/>
      <c r="AB178"/>
      <c r="AC178"/>
      <c r="AD178"/>
      <c r="AE178"/>
      <c r="AF178"/>
    </row>
    <row r="179" spans="7:32">
      <c r="G179" s="5"/>
      <c r="AA179"/>
      <c r="AB179"/>
      <c r="AC179"/>
      <c r="AD179"/>
      <c r="AE179"/>
      <c r="AF179"/>
    </row>
    <row r="180" spans="7:32">
      <c r="G180" s="5"/>
      <c r="AA180"/>
      <c r="AB180"/>
      <c r="AC180"/>
      <c r="AD180"/>
      <c r="AE180"/>
      <c r="AF180"/>
    </row>
    <row r="181" spans="7:32">
      <c r="G181" s="5"/>
      <c r="AA181"/>
      <c r="AB181"/>
      <c r="AC181"/>
      <c r="AD181"/>
      <c r="AE181"/>
      <c r="AF181"/>
    </row>
    <row r="182" spans="7:32">
      <c r="G182" s="5"/>
      <c r="AA182"/>
      <c r="AB182"/>
      <c r="AC182"/>
      <c r="AD182"/>
      <c r="AE182"/>
      <c r="AF182"/>
    </row>
    <row r="183" spans="7:32">
      <c r="G183" s="5"/>
      <c r="AA183"/>
      <c r="AB183"/>
      <c r="AC183"/>
      <c r="AD183"/>
      <c r="AE183"/>
      <c r="AF183"/>
    </row>
    <row r="184" spans="7:32">
      <c r="G184" s="5"/>
      <c r="AA184"/>
      <c r="AB184"/>
      <c r="AC184"/>
      <c r="AD184"/>
      <c r="AE184"/>
      <c r="AF184"/>
    </row>
    <row r="185" spans="7:32">
      <c r="G185" s="5"/>
      <c r="AA185"/>
      <c r="AB185"/>
      <c r="AC185"/>
      <c r="AD185"/>
      <c r="AE185"/>
      <c r="AF185"/>
    </row>
    <row r="186" spans="7:32">
      <c r="G186" s="5"/>
      <c r="AA186"/>
      <c r="AB186"/>
      <c r="AC186"/>
      <c r="AD186"/>
      <c r="AE186"/>
      <c r="AF186"/>
    </row>
    <row r="187" spans="7:32">
      <c r="G187" s="5"/>
      <c r="AA187"/>
      <c r="AB187"/>
      <c r="AC187"/>
      <c r="AD187"/>
      <c r="AE187"/>
      <c r="AF187"/>
    </row>
    <row r="188" spans="7:32">
      <c r="G188" s="5"/>
      <c r="AA188"/>
      <c r="AB188"/>
      <c r="AC188"/>
      <c r="AD188"/>
      <c r="AE188"/>
      <c r="AF188"/>
    </row>
    <row r="189" spans="7:32">
      <c r="G189" s="5"/>
      <c r="AA189"/>
      <c r="AB189"/>
      <c r="AC189"/>
      <c r="AD189"/>
      <c r="AE189"/>
      <c r="AF189"/>
    </row>
    <row r="190" spans="7:32">
      <c r="G190" s="5"/>
      <c r="AA190"/>
      <c r="AB190"/>
      <c r="AC190"/>
      <c r="AD190"/>
      <c r="AE190"/>
      <c r="AF190"/>
    </row>
    <row r="191" spans="7:32">
      <c r="G191" s="5"/>
      <c r="AA191"/>
      <c r="AB191"/>
      <c r="AC191"/>
      <c r="AD191"/>
      <c r="AE191"/>
      <c r="AF191"/>
    </row>
    <row r="192" spans="7:32">
      <c r="G192" s="5"/>
      <c r="AA192"/>
      <c r="AB192"/>
      <c r="AC192"/>
      <c r="AD192"/>
      <c r="AE192"/>
      <c r="AF192"/>
    </row>
    <row r="193" spans="7:32">
      <c r="G193" s="5"/>
      <c r="AA193"/>
      <c r="AB193"/>
      <c r="AC193"/>
      <c r="AD193"/>
      <c r="AE193"/>
      <c r="AF193"/>
    </row>
    <row r="194" spans="7:32">
      <c r="G194" s="5"/>
      <c r="AA194"/>
      <c r="AB194"/>
      <c r="AC194"/>
      <c r="AD194"/>
      <c r="AE194"/>
      <c r="AF194"/>
    </row>
    <row r="195" spans="7:32">
      <c r="G195" s="5"/>
      <c r="AA195"/>
      <c r="AB195"/>
      <c r="AC195"/>
      <c r="AD195"/>
      <c r="AE195"/>
      <c r="AF195"/>
    </row>
    <row r="196" spans="7:32">
      <c r="G196" s="5"/>
      <c r="AA196"/>
      <c r="AB196"/>
      <c r="AC196"/>
      <c r="AD196"/>
      <c r="AE196"/>
      <c r="AF196"/>
    </row>
    <row r="197" spans="7:32">
      <c r="G197" s="5"/>
      <c r="AA197"/>
      <c r="AB197"/>
      <c r="AC197"/>
      <c r="AD197"/>
      <c r="AE197"/>
      <c r="AF197"/>
    </row>
    <row r="198" spans="7:32">
      <c r="G198" s="5"/>
      <c r="AA198"/>
      <c r="AB198"/>
      <c r="AC198"/>
      <c r="AD198"/>
      <c r="AE198"/>
      <c r="AF198"/>
    </row>
    <row r="199" spans="7:32">
      <c r="G199" s="5"/>
      <c r="AA199"/>
      <c r="AB199"/>
      <c r="AC199"/>
      <c r="AD199"/>
      <c r="AE199"/>
      <c r="AF199"/>
    </row>
    <row r="200" spans="7:32">
      <c r="G200" s="5"/>
      <c r="AA200"/>
      <c r="AB200"/>
      <c r="AC200"/>
      <c r="AD200"/>
      <c r="AE200"/>
      <c r="AF200"/>
    </row>
    <row r="201" spans="7:32">
      <c r="G201" s="5"/>
      <c r="AA201"/>
      <c r="AB201"/>
      <c r="AC201"/>
      <c r="AD201"/>
      <c r="AE201"/>
      <c r="AF201"/>
    </row>
    <row r="202" spans="7:32">
      <c r="G202" s="5"/>
      <c r="AA202"/>
      <c r="AB202"/>
      <c r="AC202"/>
      <c r="AD202"/>
      <c r="AE202"/>
      <c r="AF202"/>
    </row>
    <row r="203" spans="7:32">
      <c r="G203" s="5"/>
      <c r="AA203"/>
      <c r="AB203"/>
      <c r="AC203"/>
      <c r="AD203"/>
      <c r="AE203"/>
      <c r="AF203"/>
    </row>
    <row r="204" spans="7:32">
      <c r="G204" s="5"/>
      <c r="AA204"/>
      <c r="AB204"/>
      <c r="AC204"/>
      <c r="AD204"/>
      <c r="AE204"/>
      <c r="AF204"/>
    </row>
    <row r="205" spans="7:32">
      <c r="G205" s="5"/>
      <c r="AA205"/>
      <c r="AB205"/>
      <c r="AC205"/>
      <c r="AD205"/>
      <c r="AE205"/>
      <c r="AF205"/>
    </row>
    <row r="206" spans="7:32">
      <c r="G206" s="5"/>
      <c r="AA206"/>
      <c r="AB206"/>
      <c r="AC206"/>
      <c r="AD206"/>
      <c r="AE206"/>
      <c r="AF206"/>
    </row>
    <row r="207" spans="7:32">
      <c r="G207" s="5"/>
      <c r="AA207"/>
      <c r="AB207"/>
      <c r="AC207"/>
      <c r="AD207"/>
      <c r="AE207"/>
      <c r="AF207"/>
    </row>
    <row r="208" spans="7:32">
      <c r="G208" s="5"/>
      <c r="AA208"/>
      <c r="AB208"/>
      <c r="AC208"/>
      <c r="AD208"/>
      <c r="AE208"/>
      <c r="AF208"/>
    </row>
    <row r="209" spans="7:32">
      <c r="G209" s="5"/>
      <c r="AA209"/>
      <c r="AB209"/>
      <c r="AC209"/>
      <c r="AD209"/>
      <c r="AE209"/>
      <c r="AF209"/>
    </row>
    <row r="210" spans="7:32">
      <c r="G210" s="5"/>
      <c r="AA210"/>
      <c r="AB210"/>
      <c r="AC210"/>
      <c r="AD210"/>
      <c r="AE210"/>
      <c r="AF210"/>
    </row>
    <row r="211" spans="7:32">
      <c r="G211" s="5"/>
      <c r="AA211"/>
      <c r="AB211"/>
      <c r="AC211"/>
      <c r="AD211"/>
      <c r="AE211"/>
      <c r="AF211"/>
    </row>
    <row r="212" spans="7:32">
      <c r="G212" s="5"/>
      <c r="AA212"/>
      <c r="AB212"/>
      <c r="AC212"/>
      <c r="AD212"/>
      <c r="AE212"/>
      <c r="AF212"/>
    </row>
    <row r="213" spans="7:32">
      <c r="G213" s="5"/>
      <c r="AA213"/>
      <c r="AB213"/>
      <c r="AC213"/>
      <c r="AD213"/>
      <c r="AE213"/>
      <c r="AF213"/>
    </row>
    <row r="214" spans="7:32">
      <c r="G214" s="5"/>
      <c r="AA214"/>
      <c r="AB214"/>
      <c r="AC214"/>
      <c r="AD214"/>
      <c r="AE214"/>
      <c r="AF214"/>
    </row>
    <row r="215" spans="7:32">
      <c r="G215" s="5"/>
      <c r="AA215"/>
      <c r="AB215"/>
      <c r="AC215"/>
      <c r="AD215"/>
      <c r="AE215"/>
      <c r="AF215"/>
    </row>
    <row r="216" spans="7:32">
      <c r="G216" s="5"/>
      <c r="AA216"/>
      <c r="AB216"/>
      <c r="AC216"/>
      <c r="AD216"/>
      <c r="AE216"/>
      <c r="AF216"/>
    </row>
    <row r="217" spans="7:32">
      <c r="G217" s="5"/>
      <c r="AA217"/>
      <c r="AB217"/>
      <c r="AC217"/>
      <c r="AD217"/>
      <c r="AE217"/>
      <c r="AF217"/>
    </row>
    <row r="218" spans="7:32">
      <c r="G218" s="5"/>
      <c r="AA218"/>
      <c r="AB218"/>
      <c r="AC218"/>
      <c r="AD218"/>
      <c r="AE218"/>
      <c r="AF218"/>
    </row>
    <row r="219" spans="7:32">
      <c r="G219" s="5"/>
      <c r="AA219"/>
      <c r="AB219"/>
      <c r="AC219"/>
      <c r="AD219"/>
      <c r="AE219"/>
      <c r="AF219"/>
    </row>
    <row r="220" spans="7:32">
      <c r="G220" s="5"/>
      <c r="AA220"/>
      <c r="AB220"/>
      <c r="AC220"/>
      <c r="AD220"/>
      <c r="AE220"/>
      <c r="AF220"/>
    </row>
    <row r="221" spans="7:32">
      <c r="G221" s="5"/>
      <c r="AA221"/>
      <c r="AB221"/>
      <c r="AC221"/>
      <c r="AD221"/>
      <c r="AE221"/>
      <c r="AF221"/>
    </row>
    <row r="222" spans="7:32">
      <c r="G222" s="5"/>
      <c r="AA222"/>
      <c r="AB222"/>
      <c r="AC222"/>
      <c r="AD222"/>
      <c r="AE222"/>
      <c r="AF222"/>
    </row>
    <row r="223" spans="7:32">
      <c r="G223" s="5"/>
      <c r="AA223"/>
      <c r="AB223"/>
      <c r="AC223"/>
      <c r="AD223"/>
      <c r="AE223"/>
      <c r="AF223"/>
    </row>
    <row r="224" spans="7:32">
      <c r="G224" s="5"/>
      <c r="AA224"/>
      <c r="AB224"/>
      <c r="AC224"/>
      <c r="AD224"/>
      <c r="AE224"/>
      <c r="AF224"/>
    </row>
    <row r="225" spans="7:32">
      <c r="G225" s="5"/>
      <c r="AA225"/>
      <c r="AB225"/>
      <c r="AC225"/>
      <c r="AD225"/>
      <c r="AE225"/>
      <c r="AF225"/>
    </row>
    <row r="226" spans="7:32">
      <c r="G226" s="5"/>
      <c r="AA226"/>
      <c r="AB226"/>
      <c r="AC226"/>
      <c r="AD226"/>
      <c r="AE226"/>
      <c r="AF226"/>
    </row>
    <row r="227" spans="7:32">
      <c r="G227" s="5"/>
      <c r="AA227"/>
      <c r="AB227"/>
      <c r="AC227"/>
      <c r="AD227"/>
      <c r="AE227"/>
      <c r="AF227"/>
    </row>
    <row r="228" spans="7:32">
      <c r="G228" s="5"/>
      <c r="AA228"/>
      <c r="AB228"/>
      <c r="AC228"/>
      <c r="AD228"/>
      <c r="AE228"/>
      <c r="AF228"/>
    </row>
    <row r="229" spans="7:32">
      <c r="G229" s="5"/>
      <c r="AA229"/>
      <c r="AB229"/>
      <c r="AC229"/>
      <c r="AD229"/>
      <c r="AE229"/>
      <c r="AF229"/>
    </row>
    <row r="230" spans="7:32">
      <c r="G230" s="5"/>
      <c r="AA230"/>
      <c r="AB230"/>
      <c r="AC230"/>
      <c r="AD230"/>
      <c r="AE230"/>
      <c r="AF230"/>
    </row>
    <row r="231" spans="7:32">
      <c r="G231" s="5"/>
      <c r="AA231"/>
      <c r="AB231"/>
      <c r="AC231"/>
      <c r="AD231"/>
      <c r="AE231"/>
      <c r="AF231"/>
    </row>
    <row r="232" spans="7:32">
      <c r="G232" s="5"/>
      <c r="AA232"/>
      <c r="AB232"/>
      <c r="AC232"/>
      <c r="AD232"/>
      <c r="AE232"/>
      <c r="AF232"/>
    </row>
    <row r="233" spans="7:32">
      <c r="G233" s="5"/>
      <c r="AA233"/>
      <c r="AB233"/>
      <c r="AC233"/>
      <c r="AD233"/>
      <c r="AE233"/>
      <c r="AF233"/>
    </row>
    <row r="234" spans="7:32">
      <c r="G234" s="5"/>
      <c r="AA234"/>
      <c r="AB234"/>
      <c r="AC234"/>
      <c r="AD234"/>
      <c r="AE234"/>
      <c r="AF234"/>
    </row>
    <row r="235" spans="7:32">
      <c r="G235" s="5"/>
      <c r="AA235"/>
      <c r="AB235"/>
      <c r="AC235"/>
      <c r="AD235"/>
      <c r="AE235"/>
      <c r="AF235"/>
    </row>
    <row r="236" spans="7:32">
      <c r="G236" s="5"/>
      <c r="AA236"/>
      <c r="AB236"/>
      <c r="AC236"/>
      <c r="AD236"/>
      <c r="AE236"/>
      <c r="AF236"/>
    </row>
    <row r="237" spans="7:32">
      <c r="G237" s="5"/>
      <c r="AA237"/>
      <c r="AB237"/>
      <c r="AC237"/>
      <c r="AD237"/>
      <c r="AE237"/>
      <c r="AF237"/>
    </row>
    <row r="238" spans="7:32">
      <c r="G238" s="5"/>
      <c r="AA238"/>
      <c r="AB238"/>
      <c r="AC238"/>
      <c r="AD238"/>
      <c r="AE238"/>
      <c r="AF238"/>
    </row>
    <row r="239" spans="7:32">
      <c r="G239" s="5"/>
      <c r="AA239"/>
      <c r="AB239"/>
      <c r="AC239"/>
      <c r="AD239"/>
      <c r="AE239"/>
      <c r="AF239"/>
    </row>
    <row r="240" spans="7:32">
      <c r="G240" s="5"/>
      <c r="AA240"/>
      <c r="AB240"/>
      <c r="AC240"/>
      <c r="AD240"/>
      <c r="AE240"/>
      <c r="AF240"/>
    </row>
    <row r="241" spans="7:32">
      <c r="G241" s="5"/>
      <c r="AA241"/>
      <c r="AB241"/>
      <c r="AC241"/>
      <c r="AD241"/>
      <c r="AE241"/>
      <c r="AF241"/>
    </row>
    <row r="242" spans="7:32">
      <c r="G242" s="5"/>
      <c r="AA242"/>
      <c r="AB242"/>
      <c r="AC242"/>
      <c r="AD242"/>
      <c r="AE242"/>
      <c r="AF242"/>
    </row>
    <row r="243" spans="7:32">
      <c r="G243" s="5"/>
      <c r="AA243"/>
      <c r="AB243"/>
      <c r="AC243"/>
      <c r="AD243"/>
      <c r="AE243"/>
      <c r="AF243"/>
    </row>
    <row r="244" spans="7:32">
      <c r="G244" s="5"/>
      <c r="AA244"/>
      <c r="AB244"/>
      <c r="AC244"/>
      <c r="AD244"/>
      <c r="AE244"/>
      <c r="AF244"/>
    </row>
    <row r="245" spans="7:32">
      <c r="G245" s="5"/>
      <c r="AA245"/>
      <c r="AB245"/>
      <c r="AC245"/>
      <c r="AD245"/>
      <c r="AE245"/>
      <c r="AF245"/>
    </row>
    <row r="246" spans="7:32">
      <c r="G246" s="5"/>
      <c r="AA246"/>
      <c r="AB246"/>
      <c r="AC246"/>
      <c r="AD246"/>
      <c r="AE246"/>
      <c r="AF246"/>
    </row>
    <row r="247" spans="7:32">
      <c r="G247" s="5"/>
      <c r="AA247"/>
      <c r="AB247"/>
      <c r="AC247"/>
      <c r="AD247"/>
      <c r="AE247"/>
      <c r="AF247"/>
    </row>
    <row r="248" spans="7:32">
      <c r="G248" s="5"/>
      <c r="AA248"/>
      <c r="AB248"/>
      <c r="AC248"/>
      <c r="AD248"/>
      <c r="AE248"/>
      <c r="AF248"/>
    </row>
    <row r="249" spans="7:32">
      <c r="G249" s="5"/>
      <c r="AA249"/>
      <c r="AB249"/>
      <c r="AC249"/>
      <c r="AD249"/>
      <c r="AE249"/>
      <c r="AF249"/>
    </row>
    <row r="250" spans="7:32">
      <c r="G250" s="5"/>
      <c r="AA250"/>
      <c r="AB250"/>
      <c r="AC250"/>
      <c r="AD250"/>
      <c r="AE250"/>
      <c r="AF250"/>
    </row>
    <row r="251" spans="7:32">
      <c r="G251" s="5"/>
      <c r="AA251"/>
      <c r="AB251"/>
      <c r="AC251"/>
      <c r="AD251"/>
      <c r="AE251"/>
      <c r="AF251"/>
    </row>
    <row r="252" spans="7:32">
      <c r="G252" s="5"/>
      <c r="AA252"/>
      <c r="AB252"/>
      <c r="AC252"/>
      <c r="AD252"/>
      <c r="AE252"/>
      <c r="AF252"/>
    </row>
    <row r="253" spans="7:32">
      <c r="G253" s="5"/>
      <c r="AA253"/>
      <c r="AB253"/>
      <c r="AC253"/>
      <c r="AD253"/>
      <c r="AE253"/>
      <c r="AF253"/>
    </row>
    <row r="254" spans="7:32">
      <c r="G254" s="5"/>
      <c r="AA254"/>
      <c r="AB254"/>
      <c r="AC254"/>
      <c r="AD254"/>
      <c r="AE254"/>
      <c r="AF254"/>
    </row>
    <row r="255" spans="7:32">
      <c r="G255" s="5"/>
      <c r="AA255"/>
      <c r="AB255"/>
      <c r="AC255"/>
      <c r="AD255"/>
      <c r="AE255"/>
      <c r="AF255"/>
    </row>
    <row r="256" spans="7:32">
      <c r="G256" s="5"/>
      <c r="AA256"/>
      <c r="AB256"/>
      <c r="AC256"/>
      <c r="AD256"/>
      <c r="AE256"/>
      <c r="AF256"/>
    </row>
    <row r="257" spans="7:32">
      <c r="G257" s="5"/>
      <c r="AA257"/>
      <c r="AB257"/>
      <c r="AC257"/>
      <c r="AD257"/>
      <c r="AE257"/>
      <c r="AF257"/>
    </row>
    <row r="258" spans="7:32">
      <c r="G258" s="5"/>
      <c r="AA258"/>
      <c r="AB258"/>
      <c r="AC258"/>
      <c r="AD258"/>
      <c r="AE258"/>
      <c r="AF258"/>
    </row>
    <row r="259" spans="7:32">
      <c r="G259" s="5"/>
      <c r="AA259"/>
      <c r="AB259"/>
      <c r="AC259"/>
      <c r="AD259"/>
      <c r="AE259"/>
      <c r="AF259"/>
    </row>
    <row r="260" spans="7:32">
      <c r="G260" s="5"/>
      <c r="AA260"/>
      <c r="AB260"/>
      <c r="AC260"/>
      <c r="AD260"/>
      <c r="AE260"/>
      <c r="AF260"/>
    </row>
    <row r="261" spans="7:32">
      <c r="G261" s="5"/>
      <c r="AA261"/>
      <c r="AB261"/>
      <c r="AC261"/>
      <c r="AD261"/>
      <c r="AE261"/>
      <c r="AF261"/>
    </row>
    <row r="262" spans="7:32">
      <c r="G262" s="5"/>
      <c r="AA262"/>
      <c r="AB262"/>
      <c r="AC262"/>
      <c r="AD262"/>
      <c r="AE262"/>
      <c r="AF262"/>
    </row>
    <row r="263" spans="7:32">
      <c r="G263" s="5"/>
      <c r="AA263"/>
      <c r="AB263"/>
      <c r="AC263"/>
      <c r="AD263"/>
      <c r="AE263"/>
      <c r="AF263"/>
    </row>
    <row r="264" spans="7:32">
      <c r="G264" s="5"/>
      <c r="AA264"/>
      <c r="AB264"/>
      <c r="AC264"/>
      <c r="AD264"/>
      <c r="AE264"/>
      <c r="AF264"/>
    </row>
    <row r="265" spans="7:32">
      <c r="G265" s="5"/>
      <c r="AA265"/>
      <c r="AB265"/>
      <c r="AC265"/>
      <c r="AD265"/>
      <c r="AE265"/>
      <c r="AF265"/>
    </row>
    <row r="266" spans="7:32">
      <c r="G266" s="5"/>
      <c r="AA266"/>
      <c r="AB266"/>
      <c r="AC266"/>
      <c r="AD266"/>
      <c r="AE266"/>
      <c r="AF266"/>
    </row>
    <row r="267" spans="7:32">
      <c r="G267" s="5"/>
      <c r="AA267"/>
      <c r="AB267"/>
      <c r="AC267"/>
      <c r="AD267"/>
      <c r="AE267"/>
      <c r="AF267"/>
    </row>
    <row r="268" spans="7:32">
      <c r="G268" s="5"/>
      <c r="AA268"/>
      <c r="AB268"/>
      <c r="AC268"/>
      <c r="AD268"/>
      <c r="AE268"/>
      <c r="AF268"/>
    </row>
    <row r="269" spans="7:32">
      <c r="G269" s="5"/>
      <c r="AA269"/>
      <c r="AB269"/>
      <c r="AC269"/>
      <c r="AD269"/>
      <c r="AE269"/>
      <c r="AF269"/>
    </row>
    <row r="270" spans="7:32">
      <c r="G270" s="5"/>
      <c r="AA270"/>
      <c r="AB270"/>
      <c r="AC270"/>
      <c r="AD270"/>
      <c r="AE270"/>
      <c r="AF270"/>
    </row>
    <row r="271" spans="7:32">
      <c r="G271" s="5"/>
      <c r="AA271"/>
      <c r="AB271"/>
      <c r="AC271"/>
      <c r="AD271"/>
      <c r="AE271"/>
      <c r="AF271"/>
    </row>
    <row r="272" spans="7:32">
      <c r="G272" s="5"/>
      <c r="AA272"/>
      <c r="AB272"/>
      <c r="AC272"/>
      <c r="AD272"/>
      <c r="AE272"/>
      <c r="AF272"/>
    </row>
    <row r="273" spans="7:32">
      <c r="G273" s="5"/>
      <c r="AA273"/>
      <c r="AB273"/>
      <c r="AC273"/>
      <c r="AD273"/>
      <c r="AE273"/>
      <c r="AF273"/>
    </row>
    <row r="274" spans="7:32">
      <c r="G274" s="5"/>
      <c r="AA274"/>
      <c r="AB274"/>
      <c r="AC274"/>
      <c r="AD274"/>
      <c r="AE274"/>
      <c r="AF274"/>
    </row>
    <row r="275" spans="7:32">
      <c r="G275" s="5"/>
      <c r="AA275"/>
      <c r="AB275"/>
      <c r="AC275"/>
      <c r="AD275"/>
      <c r="AE275"/>
      <c r="AF275"/>
    </row>
    <row r="276" spans="7:32">
      <c r="G276" s="5"/>
      <c r="AA276"/>
      <c r="AB276"/>
      <c r="AC276"/>
      <c r="AD276"/>
      <c r="AE276"/>
      <c r="AF276"/>
    </row>
    <row r="277" spans="7:32">
      <c r="G277" s="5"/>
      <c r="AA277"/>
      <c r="AB277"/>
      <c r="AC277"/>
      <c r="AD277"/>
      <c r="AE277"/>
      <c r="AF277"/>
    </row>
    <row r="278" spans="7:32">
      <c r="G278" s="5"/>
      <c r="AA278"/>
      <c r="AB278"/>
      <c r="AC278"/>
      <c r="AD278"/>
      <c r="AE278"/>
      <c r="AF278"/>
    </row>
    <row r="279" spans="7:32">
      <c r="G279" s="5"/>
      <c r="AA279"/>
      <c r="AB279"/>
      <c r="AC279"/>
      <c r="AD279"/>
      <c r="AE279"/>
      <c r="AF279"/>
    </row>
    <row r="280" spans="7:32">
      <c r="G280" s="5"/>
      <c r="AA280"/>
      <c r="AB280"/>
      <c r="AC280"/>
      <c r="AD280"/>
      <c r="AE280"/>
      <c r="AF280"/>
    </row>
    <row r="281" spans="7:32">
      <c r="G281" s="5"/>
      <c r="AA281"/>
      <c r="AB281"/>
      <c r="AC281"/>
      <c r="AD281"/>
      <c r="AE281"/>
      <c r="AF281"/>
    </row>
    <row r="282" spans="7:32">
      <c r="G282" s="5"/>
      <c r="AA282"/>
      <c r="AB282"/>
      <c r="AC282"/>
      <c r="AD282"/>
      <c r="AE282"/>
      <c r="AF282"/>
    </row>
    <row r="283" spans="7:32">
      <c r="G283" s="5"/>
      <c r="AA283"/>
      <c r="AB283"/>
      <c r="AC283"/>
      <c r="AD283"/>
      <c r="AE283"/>
      <c r="AF283"/>
    </row>
    <row r="284" spans="7:32">
      <c r="G284" s="5"/>
      <c r="AA284"/>
      <c r="AB284"/>
      <c r="AC284"/>
      <c r="AD284"/>
      <c r="AE284"/>
      <c r="AF284"/>
    </row>
    <row r="285" spans="7:32">
      <c r="G285" s="5"/>
      <c r="AA285"/>
      <c r="AB285"/>
      <c r="AC285"/>
      <c r="AD285"/>
      <c r="AE285"/>
      <c r="AF285"/>
    </row>
    <row r="286" spans="7:32">
      <c r="G286" s="5"/>
      <c r="AA286"/>
      <c r="AB286"/>
      <c r="AC286"/>
      <c r="AD286"/>
      <c r="AE286"/>
      <c r="AF286"/>
    </row>
    <row r="287" spans="7:32">
      <c r="G287" s="5"/>
      <c r="AA287"/>
      <c r="AB287"/>
      <c r="AC287"/>
      <c r="AD287"/>
      <c r="AE287"/>
      <c r="AF287"/>
    </row>
    <row r="288" spans="7:32">
      <c r="G288" s="5"/>
      <c r="AA288"/>
      <c r="AB288"/>
      <c r="AC288"/>
      <c r="AD288"/>
      <c r="AE288"/>
      <c r="AF288"/>
    </row>
    <row r="289" spans="7:32">
      <c r="G289" s="5"/>
      <c r="AA289"/>
      <c r="AB289"/>
      <c r="AC289"/>
      <c r="AD289"/>
      <c r="AE289"/>
      <c r="AF289"/>
    </row>
    <row r="290" spans="7:32">
      <c r="G290" s="5"/>
      <c r="AA290"/>
      <c r="AB290"/>
      <c r="AC290"/>
      <c r="AD290"/>
      <c r="AE290"/>
      <c r="AF290"/>
    </row>
    <row r="291" spans="7:32">
      <c r="G291" s="5"/>
      <c r="AA291"/>
      <c r="AB291"/>
      <c r="AC291"/>
      <c r="AD291"/>
      <c r="AE291"/>
      <c r="AF291"/>
    </row>
    <row r="292" spans="7:32">
      <c r="G292" s="5"/>
      <c r="AA292"/>
      <c r="AB292"/>
      <c r="AC292"/>
      <c r="AD292"/>
      <c r="AE292"/>
      <c r="AF292"/>
    </row>
    <row r="293" spans="7:32">
      <c r="G293" s="5"/>
      <c r="AA293"/>
      <c r="AB293"/>
      <c r="AC293"/>
      <c r="AD293"/>
      <c r="AE293"/>
      <c r="AF293"/>
    </row>
    <row r="294" spans="7:32">
      <c r="G294" s="5"/>
      <c r="AA294"/>
      <c r="AB294"/>
      <c r="AC294"/>
      <c r="AD294"/>
      <c r="AE294"/>
      <c r="AF294"/>
    </row>
    <row r="295" spans="7:32">
      <c r="G295" s="5"/>
      <c r="AA295"/>
      <c r="AB295"/>
      <c r="AC295"/>
      <c r="AD295"/>
      <c r="AE295"/>
      <c r="AF295"/>
    </row>
    <row r="296" spans="7:32">
      <c r="G296" s="5"/>
      <c r="AA296"/>
      <c r="AB296"/>
      <c r="AC296"/>
      <c r="AD296"/>
      <c r="AE296"/>
      <c r="AF296"/>
    </row>
    <row r="297" spans="7:32">
      <c r="G297" s="5"/>
      <c r="AA297"/>
      <c r="AB297"/>
      <c r="AC297"/>
      <c r="AD297"/>
      <c r="AE297"/>
      <c r="AF297"/>
    </row>
    <row r="298" spans="7:32">
      <c r="G298" s="5"/>
      <c r="AA298"/>
      <c r="AB298"/>
      <c r="AC298"/>
      <c r="AD298"/>
      <c r="AE298"/>
      <c r="AF298"/>
    </row>
    <row r="299" spans="7:32">
      <c r="G299" s="5"/>
      <c r="AA299"/>
      <c r="AB299"/>
      <c r="AC299"/>
      <c r="AD299"/>
      <c r="AE299"/>
      <c r="AF299"/>
    </row>
    <row r="300" spans="7:32">
      <c r="G300" s="5"/>
      <c r="AA300"/>
      <c r="AB300"/>
      <c r="AC300"/>
      <c r="AD300"/>
      <c r="AE300"/>
      <c r="AF300"/>
    </row>
    <row r="301" spans="7:32">
      <c r="G301" s="5"/>
      <c r="AA301"/>
      <c r="AB301"/>
      <c r="AC301"/>
      <c r="AD301"/>
      <c r="AE301"/>
      <c r="AF301"/>
    </row>
    <row r="302" spans="7:32">
      <c r="G302" s="5"/>
      <c r="AA302"/>
      <c r="AB302"/>
      <c r="AC302"/>
      <c r="AD302"/>
      <c r="AE302"/>
      <c r="AF302"/>
    </row>
    <row r="303" spans="7:32">
      <c r="G303" s="5"/>
      <c r="AA303"/>
      <c r="AB303"/>
      <c r="AC303"/>
      <c r="AD303"/>
      <c r="AE303"/>
      <c r="AF303"/>
    </row>
    <row r="304" spans="7:32">
      <c r="G304" s="5"/>
      <c r="AA304"/>
      <c r="AB304"/>
      <c r="AC304"/>
      <c r="AD304"/>
      <c r="AE304"/>
      <c r="AF304"/>
    </row>
    <row r="305" spans="7:32">
      <c r="G305" s="5"/>
      <c r="AA305"/>
      <c r="AB305"/>
      <c r="AC305"/>
      <c r="AD305"/>
      <c r="AE305"/>
      <c r="AF305"/>
    </row>
    <row r="306" spans="7:32">
      <c r="G306" s="5"/>
      <c r="AA306"/>
      <c r="AB306"/>
      <c r="AC306"/>
      <c r="AD306"/>
      <c r="AE306"/>
      <c r="AF306"/>
    </row>
    <row r="307" spans="7:32">
      <c r="G307" s="5"/>
      <c r="AA307"/>
      <c r="AB307"/>
      <c r="AC307"/>
      <c r="AD307"/>
      <c r="AE307"/>
      <c r="AF307"/>
    </row>
    <row r="308" spans="7:32">
      <c r="G308" s="5"/>
      <c r="AA308"/>
      <c r="AB308"/>
      <c r="AC308"/>
      <c r="AD308"/>
      <c r="AE308"/>
      <c r="AF308"/>
    </row>
    <row r="309" spans="7:32">
      <c r="G309" s="5"/>
      <c r="AA309"/>
      <c r="AB309"/>
      <c r="AC309"/>
      <c r="AD309"/>
      <c r="AE309"/>
      <c r="AF309"/>
    </row>
    <row r="310" spans="7:32">
      <c r="G310" s="5"/>
      <c r="AA310"/>
      <c r="AB310"/>
      <c r="AC310"/>
      <c r="AD310"/>
      <c r="AE310"/>
      <c r="AF310"/>
    </row>
    <row r="311" spans="7:32">
      <c r="G311" s="5"/>
      <c r="AA311"/>
      <c r="AB311"/>
      <c r="AC311"/>
      <c r="AD311"/>
      <c r="AE311"/>
      <c r="AF311"/>
    </row>
    <row r="312" spans="7:32">
      <c r="G312" s="5"/>
      <c r="AA312"/>
      <c r="AB312"/>
      <c r="AC312"/>
      <c r="AD312"/>
      <c r="AE312"/>
      <c r="AF312"/>
    </row>
    <row r="313" spans="7:32">
      <c r="G313" s="5"/>
      <c r="AA313"/>
      <c r="AB313"/>
      <c r="AC313"/>
      <c r="AD313"/>
      <c r="AE313"/>
      <c r="AF313"/>
    </row>
    <row r="314" spans="7:32">
      <c r="G314" s="5"/>
      <c r="AA314"/>
      <c r="AB314"/>
      <c r="AC314"/>
      <c r="AD314"/>
      <c r="AE314"/>
      <c r="AF314"/>
    </row>
    <row r="315" spans="7:32">
      <c r="G315" s="5"/>
      <c r="AA315"/>
      <c r="AB315"/>
      <c r="AC315"/>
      <c r="AD315"/>
      <c r="AE315"/>
      <c r="AF315"/>
    </row>
    <row r="316" spans="7:32">
      <c r="G316" s="5"/>
      <c r="AA316"/>
      <c r="AB316"/>
      <c r="AC316"/>
      <c r="AD316"/>
      <c r="AE316"/>
      <c r="AF316"/>
    </row>
    <row r="317" spans="7:32">
      <c r="G317" s="5"/>
      <c r="AA317"/>
      <c r="AB317"/>
      <c r="AC317"/>
      <c r="AD317"/>
      <c r="AE317"/>
      <c r="AF317"/>
    </row>
    <row r="318" spans="7:32">
      <c r="G318" s="5"/>
      <c r="AA318"/>
      <c r="AB318"/>
      <c r="AC318"/>
      <c r="AD318"/>
      <c r="AE318"/>
      <c r="AF318"/>
    </row>
    <row r="319" spans="7:32">
      <c r="G319" s="5"/>
      <c r="AA319"/>
      <c r="AB319"/>
      <c r="AC319"/>
      <c r="AD319"/>
      <c r="AE319"/>
      <c r="AF319"/>
    </row>
    <row r="320" spans="7:32">
      <c r="G320" s="5"/>
      <c r="AA320"/>
      <c r="AB320"/>
      <c r="AC320"/>
      <c r="AD320"/>
      <c r="AE320"/>
      <c r="AF320"/>
    </row>
    <row r="321" spans="7:32">
      <c r="G321" s="5"/>
      <c r="AA321"/>
      <c r="AB321"/>
      <c r="AC321"/>
      <c r="AD321"/>
      <c r="AE321"/>
      <c r="AF321"/>
    </row>
    <row r="322" spans="7:32">
      <c r="G322" s="5"/>
      <c r="AA322"/>
      <c r="AB322"/>
      <c r="AC322"/>
      <c r="AD322"/>
      <c r="AE322"/>
      <c r="AF322"/>
    </row>
    <row r="323" spans="7:32">
      <c r="G323" s="5"/>
      <c r="AA323"/>
      <c r="AB323"/>
      <c r="AC323"/>
      <c r="AD323"/>
      <c r="AE323"/>
      <c r="AF323"/>
    </row>
    <row r="324" spans="7:32">
      <c r="G324" s="5"/>
      <c r="AA324"/>
      <c r="AB324"/>
      <c r="AC324"/>
      <c r="AD324"/>
      <c r="AE324"/>
      <c r="AF324"/>
    </row>
    <row r="325" spans="7:32">
      <c r="G325" s="5"/>
      <c r="AA325"/>
      <c r="AB325"/>
      <c r="AC325"/>
      <c r="AD325"/>
      <c r="AE325"/>
      <c r="AF325"/>
    </row>
    <row r="326" spans="7:32">
      <c r="G326" s="5"/>
      <c r="AA326"/>
      <c r="AB326"/>
      <c r="AC326"/>
      <c r="AD326"/>
      <c r="AE326"/>
      <c r="AF326"/>
    </row>
    <row r="327" spans="7:32">
      <c r="G327" s="5"/>
      <c r="AA327"/>
      <c r="AB327"/>
      <c r="AC327"/>
      <c r="AD327"/>
      <c r="AE327"/>
      <c r="AF327"/>
    </row>
    <row r="328" spans="7:32">
      <c r="G328" s="5"/>
      <c r="AA328"/>
      <c r="AB328"/>
      <c r="AC328"/>
      <c r="AD328"/>
      <c r="AE328"/>
      <c r="AF328"/>
    </row>
    <row r="329" spans="7:32">
      <c r="G329" s="5"/>
      <c r="AA329"/>
      <c r="AB329"/>
      <c r="AC329"/>
      <c r="AD329"/>
      <c r="AE329"/>
      <c r="AF329"/>
    </row>
    <row r="330" spans="7:32">
      <c r="G330" s="5"/>
      <c r="AA330"/>
      <c r="AB330"/>
      <c r="AC330"/>
      <c r="AD330"/>
      <c r="AE330"/>
      <c r="AF330"/>
    </row>
    <row r="331" spans="7:32">
      <c r="G331" s="5"/>
      <c r="AA331"/>
      <c r="AB331"/>
      <c r="AC331"/>
      <c r="AD331"/>
      <c r="AE331"/>
      <c r="AF331"/>
    </row>
    <row r="332" spans="7:32">
      <c r="G332" s="5"/>
      <c r="AA332"/>
      <c r="AB332"/>
      <c r="AC332"/>
      <c r="AD332"/>
      <c r="AE332"/>
      <c r="AF332"/>
    </row>
    <row r="333" spans="7:32">
      <c r="G333" s="5"/>
      <c r="AA333"/>
      <c r="AB333"/>
      <c r="AC333"/>
      <c r="AD333"/>
      <c r="AE333"/>
      <c r="AF333"/>
    </row>
    <row r="334" spans="7:32">
      <c r="G334" s="5"/>
      <c r="AA334"/>
      <c r="AB334"/>
      <c r="AC334"/>
      <c r="AD334"/>
      <c r="AE334"/>
      <c r="AF334"/>
    </row>
    <row r="335" spans="7:32">
      <c r="G335" s="5"/>
      <c r="AA335"/>
      <c r="AB335"/>
      <c r="AC335"/>
      <c r="AD335"/>
      <c r="AE335"/>
      <c r="AF335"/>
    </row>
    <row r="336" spans="7:32">
      <c r="G336" s="5"/>
      <c r="AA336"/>
      <c r="AB336"/>
      <c r="AC336"/>
      <c r="AD336"/>
      <c r="AE336"/>
      <c r="AF336"/>
    </row>
    <row r="337" spans="7:32">
      <c r="G337" s="5"/>
      <c r="AA337"/>
      <c r="AB337"/>
      <c r="AC337"/>
      <c r="AD337"/>
      <c r="AE337"/>
      <c r="AF337"/>
    </row>
    <row r="338" spans="7:32">
      <c r="G338" s="5"/>
      <c r="AA338"/>
      <c r="AB338"/>
      <c r="AC338"/>
      <c r="AD338"/>
      <c r="AE338"/>
      <c r="AF338"/>
    </row>
    <row r="339" spans="7:32">
      <c r="G339" s="5"/>
      <c r="AA339"/>
      <c r="AB339"/>
      <c r="AC339"/>
      <c r="AD339"/>
      <c r="AE339"/>
      <c r="AF339"/>
    </row>
    <row r="340" spans="7:32">
      <c r="G340" s="5"/>
      <c r="AA340"/>
      <c r="AB340"/>
      <c r="AC340"/>
      <c r="AD340"/>
      <c r="AE340"/>
      <c r="AF340"/>
    </row>
    <row r="341" spans="7:32">
      <c r="G341" s="5"/>
      <c r="AA341"/>
      <c r="AB341"/>
      <c r="AC341"/>
      <c r="AD341"/>
      <c r="AE341"/>
      <c r="AF341"/>
    </row>
    <row r="342" spans="7:32">
      <c r="G342" s="5"/>
      <c r="AA342"/>
      <c r="AB342"/>
      <c r="AC342"/>
      <c r="AD342"/>
      <c r="AE342"/>
      <c r="AF342"/>
    </row>
    <row r="343" spans="7:32">
      <c r="G343" s="5"/>
      <c r="AA343"/>
      <c r="AB343"/>
      <c r="AC343"/>
      <c r="AD343"/>
      <c r="AE343"/>
      <c r="AF343"/>
    </row>
    <row r="344" spans="7:32">
      <c r="G344" s="5"/>
      <c r="AA344"/>
      <c r="AB344"/>
      <c r="AC344"/>
      <c r="AD344"/>
      <c r="AE344"/>
      <c r="AF344"/>
    </row>
    <row r="345" spans="7:32">
      <c r="G345" s="5"/>
      <c r="AA345"/>
      <c r="AB345"/>
      <c r="AC345"/>
      <c r="AD345"/>
      <c r="AE345"/>
      <c r="AF345"/>
    </row>
    <row r="346" spans="7:32">
      <c r="G346" s="5"/>
      <c r="AA346"/>
      <c r="AB346"/>
      <c r="AC346"/>
      <c r="AD346"/>
      <c r="AE346"/>
      <c r="AF346"/>
    </row>
    <row r="347" spans="7:32">
      <c r="G347" s="5"/>
      <c r="AA347"/>
      <c r="AB347"/>
      <c r="AC347"/>
      <c r="AD347"/>
      <c r="AE347"/>
      <c r="AF347"/>
    </row>
    <row r="348" spans="7:32">
      <c r="G348" s="5"/>
      <c r="AA348"/>
      <c r="AB348"/>
      <c r="AC348"/>
      <c r="AD348"/>
      <c r="AE348"/>
      <c r="AF348"/>
    </row>
    <row r="349" spans="7:32">
      <c r="G349" s="5"/>
      <c r="AA349"/>
      <c r="AB349"/>
      <c r="AC349"/>
      <c r="AD349"/>
      <c r="AE349"/>
      <c r="AF349"/>
    </row>
    <row r="350" spans="7:32">
      <c r="G350" s="5"/>
      <c r="AA350"/>
      <c r="AB350"/>
      <c r="AC350"/>
      <c r="AD350"/>
      <c r="AE350"/>
      <c r="AF350"/>
    </row>
    <row r="351" spans="7:32">
      <c r="G351" s="5"/>
      <c r="AA351"/>
      <c r="AB351"/>
      <c r="AC351"/>
      <c r="AD351"/>
      <c r="AE351"/>
      <c r="AF351"/>
    </row>
    <row r="352" spans="7:32">
      <c r="G352" s="5"/>
      <c r="AA352"/>
      <c r="AB352"/>
      <c r="AC352"/>
      <c r="AD352"/>
      <c r="AE352"/>
      <c r="AF352"/>
    </row>
    <row r="353" spans="7:32">
      <c r="G353" s="5"/>
      <c r="AA353"/>
      <c r="AB353"/>
      <c r="AC353"/>
      <c r="AD353"/>
      <c r="AE353"/>
      <c r="AF353"/>
    </row>
    <row r="354" spans="7:32">
      <c r="G354" s="5"/>
      <c r="AA354"/>
      <c r="AB354"/>
      <c r="AC354"/>
      <c r="AD354"/>
      <c r="AE354"/>
      <c r="AF354"/>
    </row>
    <row r="355" spans="7:32">
      <c r="G355" s="5"/>
      <c r="AA355"/>
      <c r="AB355"/>
      <c r="AC355"/>
      <c r="AD355"/>
      <c r="AE355"/>
      <c r="AF355"/>
    </row>
    <row r="356" spans="7:32">
      <c r="G356" s="5"/>
      <c r="AA356"/>
      <c r="AB356"/>
      <c r="AC356"/>
      <c r="AD356"/>
      <c r="AE356"/>
      <c r="AF356"/>
    </row>
    <row r="357" spans="7:32">
      <c r="G357" s="5"/>
      <c r="AA357"/>
      <c r="AB357"/>
      <c r="AC357"/>
      <c r="AD357"/>
      <c r="AE357"/>
      <c r="AF357"/>
    </row>
    <row r="358" spans="7:32">
      <c r="G358" s="5"/>
      <c r="AA358"/>
      <c r="AB358"/>
      <c r="AC358"/>
      <c r="AD358"/>
      <c r="AE358"/>
      <c r="AF358"/>
    </row>
    <row r="359" spans="7:32">
      <c r="G359" s="5"/>
      <c r="AA359"/>
      <c r="AB359"/>
      <c r="AC359"/>
      <c r="AD359"/>
      <c r="AE359"/>
      <c r="AF359"/>
    </row>
    <row r="360" spans="7:32">
      <c r="G360" s="5"/>
      <c r="AA360"/>
      <c r="AB360"/>
      <c r="AC360"/>
      <c r="AD360"/>
      <c r="AE360"/>
      <c r="AF360"/>
    </row>
    <row r="361" spans="7:32">
      <c r="G361" s="5"/>
      <c r="AA361"/>
      <c r="AB361"/>
      <c r="AC361"/>
      <c r="AD361"/>
      <c r="AE361"/>
      <c r="AF361"/>
    </row>
    <row r="362" spans="7:32">
      <c r="G362" s="5"/>
      <c r="AA362"/>
      <c r="AB362"/>
      <c r="AC362"/>
      <c r="AD362"/>
      <c r="AE362"/>
      <c r="AF362"/>
    </row>
    <row r="363" spans="7:32">
      <c r="G363" s="5"/>
      <c r="AA363"/>
      <c r="AB363"/>
      <c r="AC363"/>
      <c r="AD363"/>
      <c r="AE363"/>
      <c r="AF363"/>
    </row>
    <row r="364" spans="7:32">
      <c r="G364" s="5"/>
      <c r="AA364"/>
      <c r="AB364"/>
      <c r="AC364"/>
      <c r="AD364"/>
      <c r="AE364"/>
      <c r="AF364"/>
    </row>
    <row r="365" spans="7:32">
      <c r="G365" s="5"/>
      <c r="AA365"/>
      <c r="AB365"/>
      <c r="AC365"/>
      <c r="AD365"/>
      <c r="AE365"/>
      <c r="AF365"/>
    </row>
    <row r="366" spans="7:32">
      <c r="G366" s="5"/>
      <c r="AA366"/>
      <c r="AB366"/>
      <c r="AC366"/>
      <c r="AD366"/>
      <c r="AE366"/>
      <c r="AF366"/>
    </row>
    <row r="367" spans="7:32">
      <c r="G367" s="5"/>
      <c r="AA367"/>
      <c r="AB367"/>
      <c r="AC367"/>
      <c r="AD367"/>
      <c r="AE367"/>
      <c r="AF367"/>
    </row>
    <row r="368" spans="7:32">
      <c r="G368" s="5"/>
      <c r="AA368"/>
      <c r="AB368"/>
      <c r="AC368"/>
      <c r="AD368"/>
      <c r="AE368"/>
      <c r="AF368"/>
    </row>
    <row r="369" spans="7:32">
      <c r="G369" s="5"/>
      <c r="AA369"/>
      <c r="AB369"/>
      <c r="AC369"/>
      <c r="AD369"/>
      <c r="AE369"/>
      <c r="AF369"/>
    </row>
    <row r="370" spans="7:32">
      <c r="G370" s="5"/>
      <c r="AA370"/>
      <c r="AB370"/>
      <c r="AC370"/>
      <c r="AD370"/>
      <c r="AE370"/>
      <c r="AF370"/>
    </row>
    <row r="371" spans="7:32">
      <c r="G371" s="5"/>
      <c r="AA371"/>
      <c r="AB371"/>
      <c r="AC371"/>
      <c r="AD371"/>
      <c r="AE371"/>
      <c r="AF371"/>
    </row>
    <row r="372" spans="7:32">
      <c r="G372" s="5"/>
      <c r="AA372"/>
      <c r="AB372"/>
      <c r="AC372"/>
      <c r="AD372"/>
      <c r="AE372"/>
      <c r="AF372"/>
    </row>
    <row r="373" spans="7:32">
      <c r="G373" s="5"/>
      <c r="AA373"/>
      <c r="AB373"/>
      <c r="AC373"/>
      <c r="AD373"/>
      <c r="AE373"/>
      <c r="AF373"/>
    </row>
    <row r="374" spans="7:32">
      <c r="G374" s="5"/>
      <c r="AA374"/>
      <c r="AB374"/>
      <c r="AC374"/>
      <c r="AD374"/>
      <c r="AE374"/>
      <c r="AF374"/>
    </row>
    <row r="375" spans="7:32">
      <c r="G375" s="5"/>
      <c r="AA375"/>
      <c r="AB375"/>
      <c r="AC375"/>
      <c r="AD375"/>
      <c r="AE375"/>
      <c r="AF375"/>
    </row>
    <row r="376" spans="7:32">
      <c r="G376" s="5"/>
      <c r="AA376"/>
      <c r="AB376"/>
      <c r="AC376"/>
      <c r="AD376"/>
      <c r="AE376"/>
      <c r="AF376"/>
    </row>
    <row r="377" spans="7:32">
      <c r="G377" s="5"/>
      <c r="AA377"/>
      <c r="AB377"/>
      <c r="AC377"/>
      <c r="AD377"/>
      <c r="AE377"/>
      <c r="AF377"/>
    </row>
    <row r="378" spans="7:32">
      <c r="G378" s="5"/>
      <c r="AA378"/>
      <c r="AB378"/>
      <c r="AC378"/>
      <c r="AD378"/>
      <c r="AE378"/>
      <c r="AF378"/>
    </row>
    <row r="379" spans="7:32">
      <c r="G379" s="5"/>
      <c r="AA379"/>
      <c r="AB379"/>
      <c r="AC379"/>
      <c r="AD379"/>
      <c r="AE379"/>
      <c r="AF379"/>
    </row>
    <row r="380" spans="7:32">
      <c r="G380" s="5"/>
      <c r="AA380"/>
      <c r="AB380"/>
      <c r="AC380"/>
      <c r="AD380"/>
      <c r="AE380"/>
      <c r="AF380"/>
    </row>
    <row r="381" spans="7:32">
      <c r="G381" s="5"/>
      <c r="AA381"/>
      <c r="AB381"/>
      <c r="AC381"/>
      <c r="AD381"/>
      <c r="AE381"/>
      <c r="AF381"/>
    </row>
    <row r="382" spans="7:32">
      <c r="G382" s="5"/>
      <c r="AA382"/>
      <c r="AB382"/>
      <c r="AC382"/>
      <c r="AD382"/>
      <c r="AE382"/>
      <c r="AF382"/>
    </row>
    <row r="383" spans="7:32">
      <c r="G383" s="5"/>
      <c r="AA383"/>
      <c r="AB383"/>
      <c r="AC383"/>
      <c r="AD383"/>
      <c r="AE383"/>
      <c r="AF383"/>
    </row>
    <row r="384" spans="7:32">
      <c r="G384" s="5"/>
      <c r="AA384"/>
      <c r="AB384"/>
      <c r="AC384"/>
      <c r="AD384"/>
      <c r="AE384"/>
      <c r="AF384"/>
    </row>
    <row r="385" spans="7:32">
      <c r="G385" s="5"/>
      <c r="AA385"/>
      <c r="AB385"/>
      <c r="AC385"/>
      <c r="AD385"/>
      <c r="AE385"/>
      <c r="AF385"/>
    </row>
    <row r="386" spans="7:32">
      <c r="G386" s="5"/>
      <c r="AA386"/>
      <c r="AB386"/>
      <c r="AC386"/>
      <c r="AD386"/>
      <c r="AE386"/>
      <c r="AF386"/>
    </row>
    <row r="387" spans="7:32">
      <c r="G387" s="5"/>
      <c r="AA387"/>
      <c r="AB387"/>
      <c r="AC387"/>
      <c r="AD387"/>
      <c r="AE387"/>
      <c r="AF387"/>
    </row>
    <row r="388" spans="7:32">
      <c r="G388" s="5"/>
      <c r="AA388"/>
      <c r="AB388"/>
      <c r="AC388"/>
      <c r="AD388"/>
      <c r="AE388"/>
      <c r="AF388"/>
    </row>
    <row r="389" spans="7:32">
      <c r="G389" s="5"/>
      <c r="AA389"/>
      <c r="AB389"/>
      <c r="AC389"/>
      <c r="AD389"/>
      <c r="AE389"/>
      <c r="AF389"/>
    </row>
    <row r="390" spans="7:32">
      <c r="G390" s="5"/>
      <c r="AA390"/>
      <c r="AB390"/>
      <c r="AC390"/>
      <c r="AD390"/>
      <c r="AE390"/>
      <c r="AF390"/>
    </row>
    <row r="391" spans="7:32">
      <c r="G391" s="5"/>
      <c r="AA391"/>
      <c r="AB391"/>
      <c r="AC391"/>
      <c r="AD391"/>
      <c r="AE391"/>
      <c r="AF391"/>
    </row>
    <row r="392" spans="7:32">
      <c r="G392" s="5"/>
      <c r="AA392"/>
      <c r="AB392"/>
      <c r="AC392"/>
      <c r="AD392"/>
      <c r="AE392"/>
      <c r="AF392"/>
    </row>
    <row r="393" spans="7:32">
      <c r="G393" s="5"/>
      <c r="AA393"/>
      <c r="AB393"/>
      <c r="AC393"/>
      <c r="AD393"/>
      <c r="AE393"/>
      <c r="AF393"/>
    </row>
    <row r="394" spans="7:32">
      <c r="G394" s="5"/>
      <c r="AA394"/>
      <c r="AB394"/>
      <c r="AC394"/>
      <c r="AD394"/>
      <c r="AE394"/>
      <c r="AF394"/>
    </row>
    <row r="395" spans="7:32">
      <c r="G395" s="5"/>
      <c r="AA395"/>
      <c r="AB395"/>
      <c r="AC395"/>
      <c r="AD395"/>
      <c r="AE395"/>
      <c r="AF395"/>
    </row>
    <row r="396" spans="7:32">
      <c r="G396" s="5"/>
      <c r="AA396"/>
      <c r="AB396"/>
      <c r="AC396"/>
      <c r="AD396"/>
      <c r="AE396"/>
      <c r="AF396"/>
    </row>
    <row r="397" spans="7:32">
      <c r="G397" s="5"/>
      <c r="AA397"/>
      <c r="AB397"/>
      <c r="AC397"/>
      <c r="AD397"/>
      <c r="AE397"/>
      <c r="AF397"/>
    </row>
    <row r="398" spans="7:32">
      <c r="G398" s="5"/>
      <c r="AA398"/>
      <c r="AB398"/>
      <c r="AC398"/>
      <c r="AD398"/>
      <c r="AE398"/>
      <c r="AF398"/>
    </row>
    <row r="399" spans="7:32">
      <c r="G399" s="5"/>
      <c r="AA399"/>
      <c r="AB399"/>
      <c r="AC399"/>
      <c r="AD399"/>
      <c r="AE399"/>
      <c r="AF399"/>
    </row>
    <row r="400" spans="7:32">
      <c r="G400" s="5"/>
      <c r="AA400"/>
      <c r="AB400"/>
      <c r="AC400"/>
      <c r="AD400"/>
      <c r="AE400"/>
      <c r="AF400"/>
    </row>
    <row r="401" spans="7:32">
      <c r="G401" s="5"/>
      <c r="AA401"/>
      <c r="AB401"/>
      <c r="AC401"/>
      <c r="AD401"/>
      <c r="AE401"/>
      <c r="AF401"/>
    </row>
    <row r="402" spans="7:32">
      <c r="G402" s="5"/>
      <c r="AA402"/>
      <c r="AB402"/>
      <c r="AC402"/>
      <c r="AD402"/>
      <c r="AE402"/>
      <c r="AF402"/>
    </row>
    <row r="403" spans="7:32">
      <c r="G403" s="5"/>
      <c r="AA403"/>
      <c r="AB403"/>
      <c r="AC403"/>
      <c r="AD403"/>
      <c r="AE403"/>
      <c r="AF403"/>
    </row>
    <row r="404" spans="7:32">
      <c r="G404" s="5"/>
      <c r="AA404"/>
      <c r="AB404"/>
      <c r="AC404"/>
      <c r="AD404"/>
      <c r="AE404"/>
      <c r="AF404"/>
    </row>
    <row r="405" spans="7:32">
      <c r="G405" s="5"/>
      <c r="AA405"/>
      <c r="AB405"/>
      <c r="AC405"/>
      <c r="AD405"/>
      <c r="AE405"/>
      <c r="AF405"/>
    </row>
    <row r="406" spans="7:32">
      <c r="G406" s="5"/>
      <c r="AA406"/>
      <c r="AB406"/>
      <c r="AC406"/>
      <c r="AD406"/>
      <c r="AE406"/>
      <c r="AF406"/>
    </row>
    <row r="407" spans="7:32">
      <c r="G407" s="5"/>
      <c r="AA407"/>
      <c r="AB407"/>
      <c r="AC407"/>
      <c r="AD407"/>
      <c r="AE407"/>
      <c r="AF407"/>
    </row>
    <row r="408" spans="7:32">
      <c r="G408" s="5"/>
      <c r="AA408"/>
      <c r="AB408"/>
      <c r="AC408"/>
      <c r="AD408"/>
      <c r="AE408"/>
      <c r="AF408"/>
    </row>
    <row r="409" spans="7:32">
      <c r="G409" s="5"/>
      <c r="AA409"/>
      <c r="AB409"/>
      <c r="AC409"/>
      <c r="AD409"/>
      <c r="AE409"/>
      <c r="AF409"/>
    </row>
    <row r="410" spans="7:32">
      <c r="G410" s="5"/>
      <c r="AA410"/>
      <c r="AB410"/>
      <c r="AC410"/>
      <c r="AD410"/>
      <c r="AE410"/>
      <c r="AF410"/>
    </row>
    <row r="411" spans="7:32">
      <c r="G411" s="5"/>
      <c r="AA411"/>
      <c r="AB411"/>
      <c r="AC411"/>
      <c r="AD411"/>
      <c r="AE411"/>
      <c r="AF411"/>
    </row>
    <row r="412" spans="7:32">
      <c r="G412" s="5"/>
      <c r="AA412"/>
      <c r="AB412"/>
      <c r="AC412"/>
      <c r="AD412"/>
      <c r="AE412"/>
      <c r="AF412"/>
    </row>
    <row r="413" spans="7:32">
      <c r="G413" s="5"/>
      <c r="AA413"/>
      <c r="AB413"/>
      <c r="AC413"/>
      <c r="AD413"/>
      <c r="AE413"/>
      <c r="AF413"/>
    </row>
    <row r="414" spans="7:32">
      <c r="G414" s="5"/>
      <c r="AA414"/>
      <c r="AB414"/>
      <c r="AC414"/>
      <c r="AD414"/>
      <c r="AE414"/>
      <c r="AF414"/>
    </row>
    <row r="415" spans="7:32">
      <c r="G415" s="5"/>
      <c r="AA415"/>
      <c r="AB415"/>
      <c r="AC415"/>
      <c r="AD415"/>
      <c r="AE415"/>
      <c r="AF415"/>
    </row>
    <row r="416" spans="7:32">
      <c r="G416" s="5"/>
      <c r="AA416"/>
      <c r="AB416"/>
      <c r="AC416"/>
      <c r="AD416"/>
      <c r="AE416"/>
      <c r="AF416"/>
    </row>
    <row r="417" spans="7:32">
      <c r="G417" s="5"/>
      <c r="AA417"/>
      <c r="AB417"/>
      <c r="AC417"/>
      <c r="AD417"/>
      <c r="AE417"/>
      <c r="AF417"/>
    </row>
    <row r="418" spans="7:32">
      <c r="G418" s="5"/>
      <c r="AA418"/>
      <c r="AB418"/>
      <c r="AC418"/>
      <c r="AD418"/>
      <c r="AE418"/>
      <c r="AF418"/>
    </row>
    <row r="419" spans="7:32">
      <c r="G419" s="5"/>
      <c r="AA419"/>
      <c r="AB419"/>
      <c r="AC419"/>
      <c r="AD419"/>
      <c r="AE419"/>
      <c r="AF419"/>
    </row>
    <row r="420" spans="7:32">
      <c r="G420" s="5"/>
      <c r="AA420"/>
      <c r="AB420"/>
      <c r="AC420"/>
      <c r="AD420"/>
      <c r="AE420"/>
      <c r="AF420"/>
    </row>
    <row r="421" spans="7:32">
      <c r="G421" s="5"/>
      <c r="AA421"/>
      <c r="AB421"/>
      <c r="AC421"/>
      <c r="AD421"/>
      <c r="AE421"/>
      <c r="AF421"/>
    </row>
    <row r="422" spans="7:32">
      <c r="G422" s="5"/>
      <c r="AA422"/>
      <c r="AB422"/>
      <c r="AC422"/>
      <c r="AD422"/>
      <c r="AE422"/>
      <c r="AF422"/>
    </row>
    <row r="423" spans="7:32">
      <c r="G423" s="5"/>
      <c r="AA423"/>
      <c r="AB423"/>
      <c r="AC423"/>
      <c r="AD423"/>
      <c r="AE423"/>
      <c r="AF423"/>
    </row>
    <row r="424" spans="7:32">
      <c r="G424" s="5"/>
      <c r="AA424"/>
      <c r="AB424"/>
      <c r="AC424"/>
      <c r="AD424"/>
      <c r="AE424"/>
      <c r="AF424"/>
    </row>
    <row r="425" spans="7:32">
      <c r="G425" s="5"/>
      <c r="AA425"/>
      <c r="AB425"/>
      <c r="AC425"/>
      <c r="AD425"/>
      <c r="AE425"/>
      <c r="AF425"/>
    </row>
    <row r="426" spans="7:32">
      <c r="G426" s="5"/>
      <c r="AA426"/>
      <c r="AB426"/>
      <c r="AC426"/>
      <c r="AD426"/>
      <c r="AE426"/>
      <c r="AF426"/>
    </row>
    <row r="427" spans="7:32">
      <c r="G427" s="5"/>
      <c r="AA427"/>
      <c r="AB427"/>
      <c r="AC427"/>
      <c r="AD427"/>
      <c r="AE427"/>
      <c r="AF427"/>
    </row>
    <row r="428" spans="7:32">
      <c r="G428" s="5"/>
      <c r="AA428"/>
      <c r="AB428"/>
      <c r="AC428"/>
      <c r="AD428"/>
      <c r="AE428"/>
      <c r="AF428"/>
    </row>
    <row r="429" spans="7:32">
      <c r="G429" s="5"/>
      <c r="AA429"/>
      <c r="AB429"/>
      <c r="AC429"/>
      <c r="AD429"/>
      <c r="AE429"/>
      <c r="AF429"/>
    </row>
    <row r="430" spans="7:32">
      <c r="G430" s="5"/>
      <c r="AA430"/>
      <c r="AB430"/>
      <c r="AC430"/>
      <c r="AD430"/>
      <c r="AE430"/>
      <c r="AF430"/>
    </row>
    <row r="431" spans="7:32">
      <c r="G431" s="5"/>
      <c r="AA431"/>
      <c r="AB431"/>
      <c r="AC431"/>
      <c r="AD431"/>
      <c r="AE431"/>
      <c r="AF431"/>
    </row>
    <row r="432" spans="7:32">
      <c r="G432" s="5"/>
      <c r="AA432"/>
      <c r="AB432"/>
      <c r="AC432"/>
      <c r="AD432"/>
      <c r="AE432"/>
      <c r="AF432"/>
    </row>
    <row r="433" spans="7:32">
      <c r="G433" s="5"/>
      <c r="AA433"/>
      <c r="AB433"/>
      <c r="AC433"/>
      <c r="AD433"/>
      <c r="AE433"/>
      <c r="AF433"/>
    </row>
    <row r="434" spans="7:32">
      <c r="G434" s="5"/>
      <c r="AA434"/>
      <c r="AB434"/>
      <c r="AC434"/>
      <c r="AD434"/>
      <c r="AE434"/>
      <c r="AF434"/>
    </row>
    <row r="435" spans="7:32">
      <c r="G435" s="5"/>
      <c r="AA435"/>
      <c r="AB435"/>
      <c r="AC435"/>
      <c r="AD435"/>
      <c r="AE435"/>
      <c r="AF435"/>
    </row>
    <row r="436" spans="7:32">
      <c r="G436" s="5"/>
      <c r="AA436"/>
      <c r="AB436"/>
      <c r="AC436"/>
      <c r="AD436"/>
      <c r="AE436"/>
      <c r="AF436"/>
    </row>
    <row r="437" spans="7:32">
      <c r="G437" s="5"/>
      <c r="AA437"/>
      <c r="AB437"/>
      <c r="AC437"/>
      <c r="AD437"/>
      <c r="AE437"/>
      <c r="AF437"/>
    </row>
    <row r="438" spans="7:32">
      <c r="G438" s="5"/>
      <c r="AA438"/>
      <c r="AB438"/>
      <c r="AC438"/>
      <c r="AD438"/>
      <c r="AE438"/>
      <c r="AF438"/>
    </row>
    <row r="439" spans="7:32">
      <c r="G439" s="5"/>
      <c r="AA439"/>
      <c r="AB439"/>
      <c r="AC439"/>
      <c r="AD439"/>
      <c r="AE439"/>
      <c r="AF439"/>
    </row>
    <row r="440" spans="7:32">
      <c r="G440" s="5"/>
      <c r="AA440"/>
      <c r="AB440"/>
      <c r="AC440"/>
      <c r="AD440"/>
      <c r="AE440"/>
      <c r="AF440"/>
    </row>
    <row r="441" spans="7:32">
      <c r="G441" s="5"/>
      <c r="AA441"/>
      <c r="AB441"/>
      <c r="AC441"/>
      <c r="AD441"/>
      <c r="AE441"/>
      <c r="AF441"/>
    </row>
    <row r="442" spans="7:32">
      <c r="G442" s="5"/>
      <c r="AA442"/>
      <c r="AB442"/>
      <c r="AC442"/>
      <c r="AD442"/>
      <c r="AE442"/>
      <c r="AF442"/>
    </row>
    <row r="443" spans="7:32">
      <c r="G443" s="5"/>
      <c r="AA443"/>
      <c r="AB443"/>
      <c r="AC443"/>
      <c r="AD443"/>
      <c r="AE443"/>
      <c r="AF443"/>
    </row>
    <row r="444" spans="7:32">
      <c r="G444" s="5"/>
      <c r="AA444"/>
      <c r="AB444"/>
      <c r="AC444"/>
      <c r="AD444"/>
      <c r="AE444"/>
      <c r="AF444"/>
    </row>
    <row r="445" spans="7:32">
      <c r="G445" s="5"/>
      <c r="AA445"/>
      <c r="AB445"/>
      <c r="AC445"/>
      <c r="AD445"/>
      <c r="AE445"/>
      <c r="AF445"/>
    </row>
    <row r="446" spans="7:32">
      <c r="G446" s="5"/>
      <c r="AA446"/>
      <c r="AB446"/>
      <c r="AC446"/>
      <c r="AD446"/>
      <c r="AE446"/>
      <c r="AF446"/>
    </row>
    <row r="447" spans="7:32">
      <c r="G447" s="5"/>
      <c r="AA447"/>
      <c r="AB447"/>
      <c r="AC447"/>
      <c r="AD447"/>
      <c r="AE447"/>
      <c r="AF447"/>
    </row>
    <row r="448" spans="7:32">
      <c r="G448" s="5"/>
      <c r="AA448"/>
      <c r="AB448"/>
      <c r="AC448"/>
      <c r="AD448"/>
      <c r="AE448"/>
      <c r="AF448"/>
    </row>
    <row r="449" spans="7:32">
      <c r="G449" s="5"/>
      <c r="AA449"/>
      <c r="AB449"/>
      <c r="AC449"/>
      <c r="AD449"/>
      <c r="AE449"/>
      <c r="AF449"/>
    </row>
    <row r="450" spans="7:32">
      <c r="G450" s="5"/>
      <c r="AA450"/>
      <c r="AB450"/>
      <c r="AC450"/>
      <c r="AD450"/>
      <c r="AE450"/>
      <c r="AF450"/>
    </row>
    <row r="451" spans="7:32">
      <c r="G451" s="5"/>
      <c r="AA451"/>
      <c r="AB451"/>
      <c r="AC451"/>
      <c r="AD451"/>
      <c r="AE451"/>
      <c r="AF451"/>
    </row>
    <row r="452" spans="7:32">
      <c r="G452" s="5"/>
      <c r="AA452"/>
      <c r="AB452"/>
      <c r="AC452"/>
      <c r="AD452"/>
      <c r="AE452"/>
      <c r="AF452"/>
    </row>
    <row r="453" spans="7:32">
      <c r="G453" s="5"/>
      <c r="AA453"/>
      <c r="AB453"/>
      <c r="AC453"/>
      <c r="AD453"/>
      <c r="AE453"/>
      <c r="AF453"/>
    </row>
    <row r="454" spans="7:32">
      <c r="G454" s="5"/>
      <c r="AA454"/>
      <c r="AB454"/>
      <c r="AC454"/>
      <c r="AD454"/>
      <c r="AE454"/>
      <c r="AF454"/>
    </row>
    <row r="455" spans="7:32">
      <c r="G455" s="5"/>
      <c r="AA455"/>
      <c r="AB455"/>
      <c r="AC455"/>
      <c r="AD455"/>
      <c r="AE455"/>
      <c r="AF455"/>
    </row>
    <row r="456" spans="7:32">
      <c r="G456" s="5"/>
      <c r="AA456"/>
      <c r="AB456"/>
      <c r="AC456"/>
      <c r="AD456"/>
      <c r="AE456"/>
      <c r="AF456"/>
    </row>
    <row r="457" spans="7:32">
      <c r="G457" s="5"/>
      <c r="AA457"/>
      <c r="AB457"/>
      <c r="AC457"/>
      <c r="AD457"/>
      <c r="AE457"/>
      <c r="AF457"/>
    </row>
    <row r="458" spans="7:32">
      <c r="G458" s="5"/>
      <c r="AA458"/>
      <c r="AB458"/>
      <c r="AC458"/>
      <c r="AD458"/>
      <c r="AE458"/>
      <c r="AF458"/>
    </row>
    <row r="459" spans="7:32">
      <c r="G459" s="5"/>
      <c r="AA459"/>
      <c r="AB459"/>
      <c r="AC459"/>
      <c r="AD459"/>
      <c r="AE459"/>
      <c r="AF459"/>
    </row>
    <row r="460" spans="7:32">
      <c r="G460" s="5"/>
      <c r="AA460"/>
      <c r="AB460"/>
      <c r="AC460"/>
      <c r="AD460"/>
      <c r="AE460"/>
      <c r="AF460"/>
    </row>
    <row r="461" spans="7:32">
      <c r="G461" s="5"/>
      <c r="AA461"/>
      <c r="AB461"/>
      <c r="AC461"/>
      <c r="AD461"/>
      <c r="AE461"/>
      <c r="AF461"/>
    </row>
    <row r="462" spans="7:32">
      <c r="G462" s="5"/>
      <c r="AA462"/>
      <c r="AB462"/>
      <c r="AC462"/>
      <c r="AD462"/>
      <c r="AE462"/>
      <c r="AF462"/>
    </row>
    <row r="463" spans="7:32">
      <c r="G463" s="5"/>
      <c r="AA463"/>
      <c r="AB463"/>
      <c r="AC463"/>
      <c r="AD463"/>
      <c r="AE463"/>
      <c r="AF463"/>
    </row>
    <row r="464" spans="7:32">
      <c r="G464" s="5"/>
      <c r="AA464"/>
      <c r="AB464"/>
      <c r="AC464"/>
      <c r="AD464"/>
      <c r="AE464"/>
      <c r="AF464"/>
    </row>
    <row r="465" spans="7:32">
      <c r="G465" s="5"/>
      <c r="AA465"/>
      <c r="AB465"/>
      <c r="AC465"/>
      <c r="AD465"/>
      <c r="AE465"/>
      <c r="AF465"/>
    </row>
    <row r="466" spans="7:32">
      <c r="G466" s="5"/>
      <c r="AA466"/>
      <c r="AB466"/>
      <c r="AC466"/>
      <c r="AD466"/>
      <c r="AE466"/>
      <c r="AF466"/>
    </row>
    <row r="467" spans="7:32">
      <c r="G467" s="5"/>
      <c r="AA467"/>
      <c r="AB467"/>
      <c r="AC467"/>
      <c r="AD467"/>
      <c r="AE467"/>
      <c r="AF467"/>
    </row>
    <row r="468" spans="7:32">
      <c r="G468" s="5"/>
      <c r="AA468"/>
      <c r="AB468"/>
      <c r="AC468"/>
      <c r="AD468"/>
      <c r="AE468"/>
      <c r="AF468"/>
    </row>
    <row r="469" spans="7:32">
      <c r="G469" s="5"/>
      <c r="AA469"/>
      <c r="AB469"/>
      <c r="AC469"/>
      <c r="AD469"/>
      <c r="AE469"/>
      <c r="AF469"/>
    </row>
    <row r="470" spans="7:32">
      <c r="G470" s="5"/>
      <c r="AA470"/>
      <c r="AB470"/>
      <c r="AC470"/>
      <c r="AD470"/>
      <c r="AE470"/>
      <c r="AF470"/>
    </row>
    <row r="471" spans="7:32">
      <c r="G471" s="5"/>
      <c r="AA471"/>
      <c r="AB471"/>
      <c r="AC471"/>
      <c r="AD471"/>
      <c r="AE471"/>
      <c r="AF471"/>
    </row>
    <row r="472" spans="7:32">
      <c r="G472" s="5"/>
      <c r="AA472"/>
      <c r="AB472"/>
      <c r="AC472"/>
      <c r="AD472"/>
      <c r="AE472"/>
      <c r="AF472"/>
    </row>
    <row r="473" spans="7:32">
      <c r="G473" s="5"/>
      <c r="AA473"/>
      <c r="AB473"/>
      <c r="AC473"/>
      <c r="AD473"/>
      <c r="AE473"/>
      <c r="AF473"/>
    </row>
    <row r="474" spans="7:32">
      <c r="G474" s="5"/>
      <c r="AA474"/>
      <c r="AB474"/>
      <c r="AC474"/>
      <c r="AD474"/>
      <c r="AE474"/>
      <c r="AF474"/>
    </row>
    <row r="475" spans="7:32">
      <c r="G475" s="5"/>
      <c r="AA475"/>
      <c r="AB475"/>
      <c r="AC475"/>
      <c r="AD475"/>
      <c r="AE475"/>
      <c r="AF475"/>
    </row>
    <row r="476" spans="7:32">
      <c r="G476" s="5"/>
      <c r="AA476"/>
      <c r="AB476"/>
      <c r="AC476"/>
      <c r="AD476"/>
      <c r="AE476"/>
      <c r="AF476"/>
    </row>
    <row r="477" spans="7:32">
      <c r="G477" s="5"/>
      <c r="AA477"/>
      <c r="AB477"/>
      <c r="AC477"/>
      <c r="AD477"/>
      <c r="AE477"/>
      <c r="AF477"/>
    </row>
    <row r="478" spans="7:32">
      <c r="G478" s="5"/>
      <c r="AA478"/>
      <c r="AB478"/>
      <c r="AC478"/>
      <c r="AD478"/>
      <c r="AE478"/>
      <c r="AF478"/>
    </row>
    <row r="479" spans="7:32">
      <c r="G479" s="5"/>
      <c r="AA479"/>
      <c r="AB479"/>
      <c r="AC479"/>
      <c r="AD479"/>
      <c r="AE479"/>
      <c r="AF479"/>
    </row>
    <row r="480" spans="7:32">
      <c r="G480" s="5"/>
      <c r="AA480"/>
      <c r="AB480"/>
      <c r="AC480"/>
      <c r="AD480"/>
      <c r="AE480"/>
      <c r="AF480"/>
    </row>
    <row r="481" spans="7:32">
      <c r="G481" s="5"/>
      <c r="AA481"/>
      <c r="AB481"/>
      <c r="AC481"/>
      <c r="AD481"/>
      <c r="AE481"/>
      <c r="AF481"/>
    </row>
    <row r="482" spans="7:32">
      <c r="G482" s="5"/>
      <c r="AA482"/>
      <c r="AB482"/>
      <c r="AC482"/>
      <c r="AD482"/>
      <c r="AE482"/>
      <c r="AF482"/>
    </row>
    <row r="483" spans="7:32">
      <c r="G483" s="5"/>
      <c r="AA483"/>
      <c r="AB483"/>
      <c r="AC483"/>
      <c r="AD483"/>
      <c r="AE483"/>
      <c r="AF483"/>
    </row>
    <row r="484" spans="7:32">
      <c r="G484" s="5"/>
      <c r="AA484"/>
      <c r="AB484"/>
      <c r="AC484"/>
      <c r="AD484"/>
      <c r="AE484"/>
      <c r="AF484"/>
    </row>
    <row r="485" spans="7:32">
      <c r="G485" s="5"/>
      <c r="AA485"/>
      <c r="AB485"/>
      <c r="AC485"/>
      <c r="AD485"/>
      <c r="AE485"/>
      <c r="AF485"/>
    </row>
    <row r="486" spans="7:32">
      <c r="G486" s="5"/>
      <c r="AA486"/>
      <c r="AB486"/>
      <c r="AC486"/>
      <c r="AD486"/>
      <c r="AE486"/>
      <c r="AF486"/>
    </row>
    <row r="487" spans="7:32">
      <c r="G487" s="5"/>
      <c r="AA487"/>
      <c r="AB487"/>
      <c r="AC487"/>
      <c r="AD487"/>
      <c r="AE487"/>
      <c r="AF487"/>
    </row>
    <row r="488" spans="7:32">
      <c r="G488" s="5"/>
      <c r="AA488"/>
      <c r="AB488"/>
      <c r="AC488"/>
      <c r="AD488"/>
      <c r="AE488"/>
      <c r="AF488"/>
    </row>
    <row r="489" spans="7:32">
      <c r="G489" s="5"/>
      <c r="AA489"/>
      <c r="AB489"/>
      <c r="AC489"/>
      <c r="AD489"/>
      <c r="AE489"/>
      <c r="AF489"/>
    </row>
    <row r="490" spans="7:32">
      <c r="G490" s="5"/>
      <c r="AA490"/>
      <c r="AB490"/>
      <c r="AC490"/>
      <c r="AD490"/>
      <c r="AE490"/>
      <c r="AF490"/>
    </row>
    <row r="491" spans="7:32">
      <c r="G491" s="5"/>
      <c r="AA491"/>
      <c r="AB491"/>
      <c r="AC491"/>
      <c r="AD491"/>
      <c r="AE491"/>
      <c r="AF491"/>
    </row>
    <row r="492" spans="7:32">
      <c r="G492" s="5"/>
      <c r="AA492"/>
      <c r="AB492"/>
      <c r="AC492"/>
      <c r="AD492"/>
      <c r="AE492"/>
      <c r="AF492"/>
    </row>
    <row r="493" spans="7:32">
      <c r="G493" s="5"/>
      <c r="AA493"/>
      <c r="AB493"/>
      <c r="AC493"/>
      <c r="AD493"/>
      <c r="AE493"/>
      <c r="AF493"/>
    </row>
    <row r="494" spans="7:32">
      <c r="G494" s="5"/>
      <c r="AA494"/>
      <c r="AB494"/>
      <c r="AC494"/>
      <c r="AD494"/>
      <c r="AE494"/>
      <c r="AF494"/>
    </row>
    <row r="495" spans="7:32">
      <c r="G495" s="5"/>
      <c r="AA495"/>
      <c r="AB495"/>
      <c r="AC495"/>
      <c r="AD495"/>
      <c r="AE495"/>
      <c r="AF495"/>
    </row>
    <row r="496" spans="7:32">
      <c r="G496" s="5"/>
      <c r="AA496"/>
      <c r="AB496"/>
      <c r="AC496"/>
      <c r="AD496"/>
      <c r="AE496"/>
      <c r="AF496"/>
    </row>
    <row r="497" spans="7:32">
      <c r="G497" s="5"/>
      <c r="AA497"/>
      <c r="AB497"/>
      <c r="AC497"/>
      <c r="AD497"/>
      <c r="AE497"/>
      <c r="AF497"/>
    </row>
    <row r="498" spans="7:32">
      <c r="G498" s="5"/>
      <c r="AA498"/>
      <c r="AB498"/>
      <c r="AC498"/>
      <c r="AD498"/>
      <c r="AE498"/>
      <c r="AF498"/>
    </row>
    <row r="499" spans="7:32">
      <c r="G499" s="5"/>
      <c r="AA499"/>
      <c r="AB499"/>
      <c r="AC499"/>
      <c r="AD499"/>
      <c r="AE499"/>
      <c r="AF499"/>
    </row>
    <row r="500" spans="7:32">
      <c r="G500" s="5"/>
      <c r="AA500"/>
      <c r="AB500"/>
      <c r="AC500"/>
      <c r="AD500"/>
      <c r="AE500"/>
      <c r="AF500"/>
    </row>
    <row r="501" spans="7:32">
      <c r="G501" s="5"/>
      <c r="AA501"/>
      <c r="AB501"/>
      <c r="AC501"/>
      <c r="AD501"/>
      <c r="AE501"/>
      <c r="AF501"/>
    </row>
    <row r="502" spans="7:32">
      <c r="G502" s="5"/>
      <c r="AA502"/>
      <c r="AB502"/>
      <c r="AC502"/>
      <c r="AD502"/>
      <c r="AE502"/>
      <c r="AF502"/>
    </row>
    <row r="503" spans="7:32">
      <c r="G503" s="5"/>
      <c r="AA503"/>
      <c r="AB503"/>
      <c r="AC503"/>
      <c r="AD503"/>
      <c r="AE503"/>
      <c r="AF503"/>
    </row>
    <row r="504" spans="7:32">
      <c r="G504" s="5"/>
      <c r="AA504"/>
      <c r="AB504"/>
      <c r="AC504"/>
      <c r="AD504"/>
      <c r="AE504"/>
      <c r="AF504"/>
    </row>
    <row r="505" spans="7:32">
      <c r="G505" s="5"/>
      <c r="AA505"/>
      <c r="AB505"/>
      <c r="AC505"/>
      <c r="AD505"/>
      <c r="AE505"/>
      <c r="AF505"/>
    </row>
    <row r="506" spans="7:32">
      <c r="G506" s="5"/>
      <c r="AA506"/>
      <c r="AB506"/>
      <c r="AC506"/>
      <c r="AD506"/>
      <c r="AE506"/>
      <c r="AF506"/>
    </row>
    <row r="507" spans="7:32">
      <c r="G507" s="5"/>
      <c r="AA507"/>
      <c r="AB507"/>
      <c r="AC507"/>
      <c r="AD507"/>
      <c r="AE507"/>
      <c r="AF507"/>
    </row>
    <row r="508" spans="7:32">
      <c r="G508" s="5"/>
      <c r="AA508"/>
      <c r="AB508"/>
      <c r="AC508"/>
      <c r="AD508"/>
      <c r="AE508"/>
      <c r="AF508"/>
    </row>
    <row r="509" spans="7:32">
      <c r="G509" s="5"/>
      <c r="AA509"/>
      <c r="AB509"/>
      <c r="AC509"/>
      <c r="AD509"/>
      <c r="AE509"/>
      <c r="AF509"/>
    </row>
    <row r="510" spans="7:32">
      <c r="G510" s="5"/>
      <c r="AA510"/>
      <c r="AB510"/>
      <c r="AC510"/>
      <c r="AD510"/>
      <c r="AE510"/>
      <c r="AF510"/>
    </row>
    <row r="511" spans="7:32">
      <c r="G511" s="5"/>
      <c r="AA511"/>
      <c r="AB511"/>
      <c r="AC511"/>
      <c r="AD511"/>
      <c r="AE511"/>
      <c r="AF511"/>
    </row>
    <row r="512" spans="7:32">
      <c r="G512" s="5"/>
      <c r="AA512"/>
      <c r="AB512"/>
      <c r="AC512"/>
      <c r="AD512"/>
      <c r="AE512"/>
      <c r="AF512"/>
    </row>
    <row r="513" spans="7:32">
      <c r="G513" s="5"/>
      <c r="AA513"/>
      <c r="AB513"/>
      <c r="AC513"/>
      <c r="AD513"/>
      <c r="AE513"/>
      <c r="AF513"/>
    </row>
    <row r="514" spans="7:32">
      <c r="G514" s="5"/>
      <c r="AA514"/>
      <c r="AB514"/>
      <c r="AC514"/>
      <c r="AD514"/>
      <c r="AE514"/>
      <c r="AF514"/>
    </row>
    <row r="515" spans="7:32">
      <c r="G515" s="5"/>
      <c r="AA515"/>
      <c r="AB515"/>
      <c r="AC515"/>
      <c r="AD515"/>
      <c r="AE515"/>
      <c r="AF515"/>
    </row>
    <row r="516" spans="7:32">
      <c r="G516" s="5"/>
      <c r="AA516"/>
      <c r="AB516"/>
      <c r="AC516"/>
      <c r="AD516"/>
      <c r="AE516"/>
      <c r="AF516"/>
    </row>
    <row r="517" spans="7:32">
      <c r="G517" s="5"/>
      <c r="AA517"/>
      <c r="AB517"/>
      <c r="AC517"/>
      <c r="AD517"/>
      <c r="AE517"/>
      <c r="AF517"/>
    </row>
    <row r="518" spans="7:32">
      <c r="G518" s="5"/>
      <c r="AA518"/>
      <c r="AB518"/>
      <c r="AC518"/>
      <c r="AD518"/>
      <c r="AE518"/>
      <c r="AF518"/>
    </row>
    <row r="519" spans="7:32">
      <c r="G519" s="5"/>
      <c r="AA519"/>
      <c r="AB519"/>
      <c r="AC519"/>
      <c r="AD519"/>
      <c r="AE519"/>
      <c r="AF519"/>
    </row>
    <row r="520" spans="7:32">
      <c r="G520" s="5"/>
      <c r="AA520"/>
      <c r="AB520"/>
      <c r="AC520"/>
      <c r="AD520"/>
      <c r="AE520"/>
      <c r="AF520"/>
    </row>
    <row r="521" spans="7:32">
      <c r="G521" s="5"/>
      <c r="AA521"/>
      <c r="AB521"/>
      <c r="AC521"/>
      <c r="AD521"/>
      <c r="AE521"/>
      <c r="AF521"/>
    </row>
    <row r="522" spans="7:32">
      <c r="G522" s="5"/>
      <c r="AA522"/>
      <c r="AB522"/>
      <c r="AC522"/>
      <c r="AD522"/>
      <c r="AE522"/>
      <c r="AF522"/>
    </row>
    <row r="523" spans="7:32">
      <c r="G523" s="5"/>
      <c r="AA523"/>
      <c r="AB523"/>
      <c r="AC523"/>
      <c r="AD523"/>
      <c r="AE523"/>
      <c r="AF523"/>
    </row>
    <row r="524" spans="7:32">
      <c r="G524" s="5"/>
      <c r="AA524"/>
      <c r="AB524"/>
      <c r="AC524"/>
      <c r="AD524"/>
      <c r="AE524"/>
      <c r="AF524"/>
    </row>
    <row r="525" spans="7:32">
      <c r="G525" s="5"/>
      <c r="AA525"/>
      <c r="AB525"/>
      <c r="AC525"/>
      <c r="AD525"/>
      <c r="AE525"/>
      <c r="AF525"/>
    </row>
    <row r="526" spans="7:32">
      <c r="G526" s="5"/>
      <c r="AA526"/>
      <c r="AB526"/>
      <c r="AC526"/>
      <c r="AD526"/>
      <c r="AE526"/>
      <c r="AF526"/>
    </row>
    <row r="527" spans="7:32">
      <c r="G527" s="5"/>
      <c r="AA527"/>
      <c r="AB527"/>
      <c r="AC527"/>
      <c r="AD527"/>
      <c r="AE527"/>
      <c r="AF527"/>
    </row>
    <row r="528" spans="7:32">
      <c r="G528" s="5"/>
      <c r="AA528"/>
      <c r="AB528"/>
      <c r="AC528"/>
      <c r="AD528"/>
      <c r="AE528"/>
      <c r="AF528"/>
    </row>
    <row r="529" spans="7:32">
      <c r="G529" s="5"/>
      <c r="AA529"/>
      <c r="AB529"/>
      <c r="AC529"/>
      <c r="AD529"/>
      <c r="AE529"/>
      <c r="AF529"/>
    </row>
    <row r="530" spans="7:32">
      <c r="G530" s="5"/>
      <c r="AA530"/>
      <c r="AB530"/>
      <c r="AC530"/>
      <c r="AD530"/>
      <c r="AE530"/>
      <c r="AF530"/>
    </row>
    <row r="531" spans="7:32">
      <c r="G531" s="5"/>
      <c r="AA531"/>
      <c r="AB531"/>
      <c r="AC531"/>
      <c r="AD531"/>
      <c r="AE531"/>
      <c r="AF531"/>
    </row>
    <row r="532" spans="7:32">
      <c r="G532" s="5"/>
      <c r="AA532"/>
      <c r="AB532"/>
      <c r="AC532"/>
      <c r="AD532"/>
      <c r="AE532"/>
      <c r="AF532"/>
    </row>
    <row r="533" spans="7:32">
      <c r="G533" s="5"/>
      <c r="AA533"/>
      <c r="AB533"/>
      <c r="AC533"/>
      <c r="AD533"/>
      <c r="AE533"/>
      <c r="AF533"/>
    </row>
    <row r="534" spans="7:32">
      <c r="G534" s="5"/>
      <c r="AA534"/>
      <c r="AB534"/>
      <c r="AC534"/>
      <c r="AD534"/>
      <c r="AE534"/>
      <c r="AF534"/>
    </row>
    <row r="535" spans="7:32">
      <c r="G535" s="5"/>
      <c r="AA535"/>
      <c r="AB535"/>
      <c r="AC535"/>
      <c r="AD535"/>
      <c r="AE535"/>
      <c r="AF535"/>
    </row>
    <row r="536" spans="7:32">
      <c r="G536" s="5"/>
      <c r="AA536"/>
      <c r="AB536"/>
      <c r="AC536"/>
      <c r="AD536"/>
      <c r="AE536"/>
      <c r="AF536"/>
    </row>
    <row r="537" spans="7:32">
      <c r="G537" s="5"/>
      <c r="AA537"/>
      <c r="AB537"/>
      <c r="AC537"/>
      <c r="AD537"/>
      <c r="AE537"/>
      <c r="AF537"/>
    </row>
    <row r="538" spans="7:32">
      <c r="G538" s="5"/>
      <c r="AA538"/>
      <c r="AB538"/>
      <c r="AC538"/>
      <c r="AD538"/>
      <c r="AE538"/>
      <c r="AF538"/>
    </row>
    <row r="539" spans="7:32">
      <c r="G539" s="5"/>
      <c r="AA539"/>
      <c r="AB539"/>
      <c r="AC539"/>
      <c r="AD539"/>
      <c r="AE539"/>
      <c r="AF539"/>
    </row>
    <row r="540" spans="7:32">
      <c r="G540" s="5"/>
      <c r="AA540"/>
      <c r="AB540"/>
      <c r="AC540"/>
      <c r="AD540"/>
      <c r="AE540"/>
      <c r="AF540"/>
    </row>
    <row r="541" spans="7:32">
      <c r="G541" s="5"/>
      <c r="AA541"/>
      <c r="AB541"/>
      <c r="AC541"/>
      <c r="AD541"/>
      <c r="AE541"/>
      <c r="AF541"/>
    </row>
    <row r="542" spans="7:32">
      <c r="G542" s="5"/>
      <c r="AA542"/>
      <c r="AB542"/>
      <c r="AC542"/>
      <c r="AD542"/>
      <c r="AE542"/>
      <c r="AF542"/>
    </row>
    <row r="543" spans="7:32">
      <c r="G543" s="5"/>
      <c r="AA543"/>
      <c r="AB543"/>
      <c r="AC543"/>
      <c r="AD543"/>
      <c r="AE543"/>
      <c r="AF543"/>
    </row>
    <row r="544" spans="7:32">
      <c r="G544" s="5"/>
      <c r="AA544"/>
      <c r="AB544"/>
      <c r="AC544"/>
      <c r="AD544"/>
      <c r="AE544"/>
      <c r="AF544"/>
    </row>
    <row r="545" spans="7:32">
      <c r="G545" s="5"/>
      <c r="AA545"/>
      <c r="AB545"/>
      <c r="AC545"/>
      <c r="AD545"/>
      <c r="AE545"/>
      <c r="AF545"/>
    </row>
    <row r="546" spans="7:32">
      <c r="G546" s="5"/>
      <c r="AA546"/>
      <c r="AB546"/>
      <c r="AC546"/>
      <c r="AD546"/>
      <c r="AE546"/>
      <c r="AF546"/>
    </row>
    <row r="547" spans="7:32">
      <c r="G547" s="5"/>
      <c r="AA547"/>
      <c r="AB547"/>
      <c r="AC547"/>
      <c r="AD547"/>
      <c r="AE547"/>
      <c r="AF547"/>
    </row>
    <row r="548" spans="7:32">
      <c r="G548" s="5"/>
      <c r="AA548"/>
      <c r="AB548"/>
      <c r="AC548"/>
      <c r="AD548"/>
      <c r="AE548"/>
      <c r="AF548"/>
    </row>
    <row r="549" spans="7:32">
      <c r="G549" s="5"/>
      <c r="AA549"/>
      <c r="AB549"/>
      <c r="AC549"/>
      <c r="AD549"/>
      <c r="AE549"/>
      <c r="AF549"/>
    </row>
    <row r="550" spans="7:32">
      <c r="G550" s="5"/>
      <c r="AA550"/>
      <c r="AB550"/>
      <c r="AC550"/>
      <c r="AD550"/>
      <c r="AE550"/>
      <c r="AF550"/>
    </row>
    <row r="551" spans="7:32">
      <c r="G551" s="5"/>
      <c r="AA551"/>
      <c r="AB551"/>
      <c r="AC551"/>
      <c r="AD551"/>
      <c r="AE551"/>
      <c r="AF551"/>
    </row>
    <row r="552" spans="7:32">
      <c r="G552" s="5"/>
      <c r="AA552"/>
      <c r="AB552"/>
      <c r="AC552"/>
      <c r="AD552"/>
      <c r="AE552"/>
      <c r="AF552"/>
    </row>
    <row r="553" spans="7:32">
      <c r="G553" s="5"/>
      <c r="AA553"/>
      <c r="AB553"/>
      <c r="AC553"/>
      <c r="AD553"/>
      <c r="AE553"/>
      <c r="AF553"/>
    </row>
    <row r="554" spans="7:32">
      <c r="G554" s="5"/>
      <c r="AA554"/>
      <c r="AB554"/>
      <c r="AC554"/>
      <c r="AD554"/>
      <c r="AE554"/>
      <c r="AF554"/>
    </row>
    <row r="555" spans="7:32">
      <c r="G555" s="5"/>
      <c r="AA555"/>
      <c r="AB555"/>
      <c r="AC555"/>
      <c r="AD555"/>
      <c r="AE555"/>
      <c r="AF555"/>
    </row>
    <row r="556" spans="7:32">
      <c r="G556" s="5"/>
      <c r="AA556"/>
      <c r="AB556"/>
      <c r="AC556"/>
      <c r="AD556"/>
      <c r="AE556"/>
      <c r="AF556"/>
    </row>
    <row r="557" spans="7:32">
      <c r="G557" s="5"/>
      <c r="AA557"/>
      <c r="AB557"/>
      <c r="AC557"/>
      <c r="AD557"/>
      <c r="AE557"/>
      <c r="AF557"/>
    </row>
    <row r="558" spans="7:32">
      <c r="G558" s="5"/>
      <c r="AA558"/>
      <c r="AB558"/>
      <c r="AC558"/>
      <c r="AD558"/>
      <c r="AE558"/>
      <c r="AF558"/>
    </row>
    <row r="559" spans="7:32">
      <c r="G559" s="5"/>
      <c r="AA559"/>
      <c r="AB559"/>
      <c r="AC559"/>
      <c r="AD559"/>
      <c r="AE559"/>
      <c r="AF559"/>
    </row>
    <row r="560" spans="7:32">
      <c r="G560" s="5"/>
      <c r="AA560"/>
      <c r="AB560"/>
      <c r="AC560"/>
      <c r="AD560"/>
      <c r="AE560"/>
      <c r="AF560"/>
    </row>
    <row r="561" spans="7:32">
      <c r="G561" s="5"/>
      <c r="AA561"/>
      <c r="AB561"/>
      <c r="AC561"/>
      <c r="AD561"/>
      <c r="AE561"/>
      <c r="AF561"/>
    </row>
    <row r="562" spans="7:32">
      <c r="G562" s="5"/>
      <c r="AA562"/>
      <c r="AB562"/>
      <c r="AC562"/>
      <c r="AD562"/>
      <c r="AE562"/>
      <c r="AF562"/>
    </row>
    <row r="563" spans="7:32">
      <c r="G563" s="5"/>
      <c r="AA563"/>
      <c r="AB563"/>
      <c r="AC563"/>
      <c r="AD563"/>
      <c r="AE563"/>
      <c r="AF563"/>
    </row>
    <row r="564" spans="7:32">
      <c r="G564" s="5"/>
      <c r="AA564"/>
      <c r="AB564"/>
      <c r="AC564"/>
      <c r="AD564"/>
      <c r="AE564"/>
      <c r="AF564"/>
    </row>
    <row r="565" spans="7:32">
      <c r="G565" s="5"/>
      <c r="AA565"/>
      <c r="AB565"/>
      <c r="AC565"/>
      <c r="AD565"/>
      <c r="AE565"/>
      <c r="AF565"/>
    </row>
    <row r="566" spans="7:32">
      <c r="G566" s="5"/>
      <c r="AA566"/>
      <c r="AB566"/>
      <c r="AC566"/>
      <c r="AD566"/>
      <c r="AE566"/>
      <c r="AF566"/>
    </row>
  </sheetData>
  <mergeCells count="5">
    <mergeCell ref="A1:A3"/>
    <mergeCell ref="A13:A15"/>
    <mergeCell ref="A25:A27"/>
    <mergeCell ref="A37:A39"/>
    <mergeCell ref="A49:A51"/>
  </mergeCells>
  <conditionalFormatting sqref="D3:AU3">
    <cfRule type="cellIs" dxfId="39" priority="33" operator="equal">
      <formula>#REF!</formula>
    </cfRule>
    <cfRule type="cellIs" dxfId="38" priority="34" operator="equal">
      <formula>#REF!</formula>
    </cfRule>
    <cfRule type="cellIs" dxfId="37" priority="35" operator="equal">
      <formula>#REF!</formula>
    </cfRule>
    <cfRule type="cellIs" dxfId="36" priority="36" operator="equal">
      <formula>#REF!</formula>
    </cfRule>
  </conditionalFormatting>
  <conditionalFormatting sqref="G3:AV3">
    <cfRule type="cellIs" dxfId="35" priority="37" operator="equal">
      <formula>#REF!</formula>
    </cfRule>
    <cfRule type="cellIs" dxfId="34" priority="38" operator="equal">
      <formula>#REF!</formula>
    </cfRule>
    <cfRule type="cellIs" dxfId="33" priority="39" operator="equal">
      <formula>#REF!</formula>
    </cfRule>
    <cfRule type="cellIs" dxfId="32" priority="40" operator="equal">
      <formula>#REF!</formula>
    </cfRule>
  </conditionalFormatting>
  <conditionalFormatting sqref="D15:AU15">
    <cfRule type="cellIs" dxfId="31" priority="25" operator="equal">
      <formula>#REF!</formula>
    </cfRule>
    <cfRule type="cellIs" dxfId="30" priority="26" operator="equal">
      <formula>#REF!</formula>
    </cfRule>
    <cfRule type="cellIs" dxfId="29" priority="27" operator="equal">
      <formula>#REF!</formula>
    </cfRule>
    <cfRule type="cellIs" dxfId="28" priority="28" operator="equal">
      <formula>#REF!</formula>
    </cfRule>
  </conditionalFormatting>
  <conditionalFormatting sqref="G15:AV15">
    <cfRule type="cellIs" dxfId="27" priority="29" operator="equal">
      <formula>#REF!</formula>
    </cfRule>
    <cfRule type="cellIs" dxfId="26" priority="30" operator="equal">
      <formula>#REF!</formula>
    </cfRule>
    <cfRule type="cellIs" dxfId="25" priority="31" operator="equal">
      <formula>#REF!</formula>
    </cfRule>
    <cfRule type="cellIs" dxfId="24" priority="32" operator="equal">
      <formula>#REF!</formula>
    </cfRule>
  </conditionalFormatting>
  <conditionalFormatting sqref="D27:AU27">
    <cfRule type="cellIs" dxfId="23" priority="17" operator="equal">
      <formula>#REF!</formula>
    </cfRule>
    <cfRule type="cellIs" dxfId="22" priority="18" operator="equal">
      <formula>#REF!</formula>
    </cfRule>
    <cfRule type="cellIs" dxfId="21" priority="19" operator="equal">
      <formula>#REF!</formula>
    </cfRule>
    <cfRule type="cellIs" dxfId="20" priority="20" operator="equal">
      <formula>#REF!</formula>
    </cfRule>
  </conditionalFormatting>
  <conditionalFormatting sqref="G27:AV27">
    <cfRule type="cellIs" dxfId="19" priority="21" operator="equal">
      <formula>#REF!</formula>
    </cfRule>
    <cfRule type="cellIs" dxfId="18" priority="22" operator="equal">
      <formula>#REF!</formula>
    </cfRule>
    <cfRule type="cellIs" dxfId="17" priority="23" operator="equal">
      <formula>#REF!</formula>
    </cfRule>
    <cfRule type="cellIs" dxfId="16" priority="24" operator="equal">
      <formula>#REF!</formula>
    </cfRule>
  </conditionalFormatting>
  <conditionalFormatting sqref="D39:AU39">
    <cfRule type="cellIs" dxfId="15" priority="9" operator="equal">
      <formula>#REF!</formula>
    </cfRule>
    <cfRule type="cellIs" dxfId="14" priority="10" operator="equal">
      <formula>#REF!</formula>
    </cfRule>
    <cfRule type="cellIs" dxfId="13" priority="11" operator="equal">
      <formula>#REF!</formula>
    </cfRule>
    <cfRule type="cellIs" dxfId="12" priority="12" operator="equal">
      <formula>#REF!</formula>
    </cfRule>
  </conditionalFormatting>
  <conditionalFormatting sqref="G39:AV39">
    <cfRule type="cellIs" dxfId="11" priority="13" operator="equal">
      <formula>#REF!</formula>
    </cfRule>
    <cfRule type="cellIs" dxfId="10" priority="14" operator="equal">
      <formula>#REF!</formula>
    </cfRule>
    <cfRule type="cellIs" dxfId="9" priority="15" operator="equal">
      <formula>#REF!</formula>
    </cfRule>
    <cfRule type="cellIs" dxfId="8" priority="16" operator="equal">
      <formula>#REF!</formula>
    </cfRule>
  </conditionalFormatting>
  <conditionalFormatting sqref="D51:AU51">
    <cfRule type="cellIs" dxfId="7" priority="1" operator="equal">
      <formula>#REF!</formula>
    </cfRule>
    <cfRule type="cellIs" dxfId="6" priority="2" operator="equal">
      <formula>#REF!</formula>
    </cfRule>
    <cfRule type="cellIs" dxfId="5" priority="3" operator="equal">
      <formula>#REF!</formula>
    </cfRule>
    <cfRule type="cellIs" dxfId="4" priority="4" operator="equal">
      <formula>#REF!</formula>
    </cfRule>
  </conditionalFormatting>
  <conditionalFormatting sqref="G51:AV51">
    <cfRule type="cellIs" dxfId="3" priority="5" operator="equal">
      <formula>#REF!</formula>
    </cfRule>
    <cfRule type="cellIs" dxfId="2" priority="6" operator="equal">
      <formula>#REF!</formula>
    </cfRule>
    <cfRule type="cellIs" dxfId="1" priority="7" operator="equal">
      <formula>#REF!</formula>
    </cfRule>
    <cfRule type="cellIs" dxfId="0" priority="8" operator="equal">
      <formula>#REF!</formula>
    </cfRule>
  </conditionalFormatting>
  <pageMargins left="0.7" right="0.7" top="0.75" bottom="0.75" header="0.3" footer="0.3"/>
  <pageSetup orientation="portrait" horizontalDpi="1200" verticalDpi="1200" r:id="rId1"/>
  <headerFooter>
    <oddHeader>&amp;C&amp;"Calibri,Regular"&amp;K000000OVERALL DRAW</oddHeader>
    <oddFooter>&amp;C&amp;"Calibri,Regular"&amp;K000000PAGE &amp;P OF &amp;N</oddFooter>
  </headerFooter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07832773-9414-42b9-95c3-36a558d8f74c">
      <Terms xmlns="http://schemas.microsoft.com/office/infopath/2007/PartnerControls"/>
    </lcf76f155ced4ddcb4097134ff3c332f>
    <_ip_UnifiedCompliancePolicyUIAction xmlns="http://schemas.microsoft.com/sharepoint/v3" xsi:nil="true"/>
    <_ip_UnifiedCompliancePolicyProperties xmlns="http://schemas.microsoft.com/sharepoint/v3" xsi:nil="true"/>
    <TaxCatchAll xmlns="9f6012f1-210b-47d8-98a5-79507b18255d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07D0D48330F6CE4FB6B3AE62FA39CE46" ma:contentTypeVersion="20" ma:contentTypeDescription="Create a new document." ma:contentTypeScope="" ma:versionID="93168cccc4f244a24a3a7ee0f82367dc">
  <xsd:schema xmlns:xsd="http://www.w3.org/2001/XMLSchema" xmlns:xs="http://www.w3.org/2001/XMLSchema" xmlns:p="http://schemas.microsoft.com/office/2006/metadata/properties" xmlns:ns1="http://schemas.microsoft.com/sharepoint/v3" xmlns:ns2="07832773-9414-42b9-95c3-36a558d8f74c" xmlns:ns3="9f6012f1-210b-47d8-98a5-79507b18255d" targetNamespace="http://schemas.microsoft.com/office/2006/metadata/properties" ma:root="true" ma:fieldsID="e6319549c9c1044d05e2318f493a6202" ns1:_="" ns2:_="" ns3:_="">
    <xsd:import namespace="http://schemas.microsoft.com/sharepoint/v3"/>
    <xsd:import namespace="07832773-9414-42b9-95c3-36a558d8f74c"/>
    <xsd:import namespace="9f6012f1-210b-47d8-98a5-79507b18255d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Location" minOccurs="0"/>
                <xsd:element ref="ns2:MediaServiceOCR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1:_ip_UnifiedCompliancePolicyProperties" minOccurs="0"/>
                <xsd:element ref="ns1:_ip_UnifiedCompliancePolicyUIAction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7832773-9414-42b9-95c3-36a558d8f74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GenerationTime" ma:index="10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1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144f5b13-403a-4dd3-b9ce-b7b6c8a6603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5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6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f6012f1-210b-47d8-98a5-79507b18255d" elementFormDefault="qualified">
    <xsd:import namespace="http://schemas.microsoft.com/office/2006/documentManagement/types"/>
    <xsd:import namespace="http://schemas.microsoft.com/office/infopath/2007/PartnerControls"/>
    <xsd:element name="SharedWithUsers" ma:index="17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8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2396aa7e-ad57-49d2-b18b-708832d3d098}" ma:internalName="TaxCatchAll" ma:showField="CatchAllData" ma:web="9f6012f1-210b-47d8-98a5-79507b18255d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8EA958F3-F430-43FD-B3C6-6C4F0E201786}">
  <ds:schemaRefs>
    <ds:schemaRef ds:uri="http://schemas.microsoft.com/office/2006/documentManagement/types"/>
    <ds:schemaRef ds:uri="07832773-9414-42b9-95c3-36a558d8f74c"/>
    <ds:schemaRef ds:uri="http://www.w3.org/XML/1998/namespace"/>
    <ds:schemaRef ds:uri="http://purl.org/dc/elements/1.1/"/>
    <ds:schemaRef ds:uri="http://schemas.openxmlformats.org/package/2006/metadata/core-properties"/>
    <ds:schemaRef ds:uri="http://schemas.microsoft.com/office/infopath/2007/PartnerControls"/>
    <ds:schemaRef ds:uri="http://schemas.microsoft.com/office/2006/metadata/properties"/>
    <ds:schemaRef ds:uri="http://purl.org/dc/terms/"/>
    <ds:schemaRef ds:uri="9f6012f1-210b-47d8-98a5-79507b18255d"/>
    <ds:schemaRef ds:uri="http://schemas.microsoft.com/sharepoint/v3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74C033D1-D904-448D-B57C-06E15A1F8AA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07832773-9414-42b9-95c3-36a558d8f74c"/>
    <ds:schemaRef ds:uri="9f6012f1-210b-47d8-98a5-79507b18255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C9663C87-CDAA-4A2F-9CA6-018325680FDA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24</vt:i4>
      </vt:variant>
      <vt:variant>
        <vt:lpstr>Named Ranges</vt:lpstr>
      </vt:variant>
      <vt:variant>
        <vt:i4>19</vt:i4>
      </vt:variant>
    </vt:vector>
  </HeadingPairs>
  <TitlesOfParts>
    <vt:vector size="43" baseType="lpstr">
      <vt:lpstr>Rent Comp</vt:lpstr>
      <vt:lpstr>Rent Comp (2)</vt:lpstr>
      <vt:lpstr>Assumptions</vt:lpstr>
      <vt:lpstr>Development Program</vt:lpstr>
      <vt:lpstr>Building Configuration</vt:lpstr>
      <vt:lpstr>A Financial</vt:lpstr>
      <vt:lpstr>A DRAW</vt:lpstr>
      <vt:lpstr>B Financial</vt:lpstr>
      <vt:lpstr>B DRAW</vt:lpstr>
      <vt:lpstr>C Financial</vt:lpstr>
      <vt:lpstr>C DRAW</vt:lpstr>
      <vt:lpstr>D Financial</vt:lpstr>
      <vt:lpstr>D DRAW</vt:lpstr>
      <vt:lpstr>E Financial</vt:lpstr>
      <vt:lpstr>E DRAW</vt:lpstr>
      <vt:lpstr>F Financial</vt:lpstr>
      <vt:lpstr>F DRAW</vt:lpstr>
      <vt:lpstr>G Financial</vt:lpstr>
      <vt:lpstr>G DRAW</vt:lpstr>
      <vt:lpstr>H Financial</vt:lpstr>
      <vt:lpstr>H DRAW</vt:lpstr>
      <vt:lpstr>I Financial</vt:lpstr>
      <vt:lpstr>I DRAW</vt:lpstr>
      <vt:lpstr>All Components Draw</vt:lpstr>
      <vt:lpstr>'A DRAW'!Print_Area</vt:lpstr>
      <vt:lpstr>'A Financial'!Print_Area</vt:lpstr>
      <vt:lpstr>'B DRAW'!Print_Area</vt:lpstr>
      <vt:lpstr>'B Financial'!Print_Area</vt:lpstr>
      <vt:lpstr>'C DRAW'!Print_Area</vt:lpstr>
      <vt:lpstr>'C Financial'!Print_Area</vt:lpstr>
      <vt:lpstr>'D DRAW'!Print_Area</vt:lpstr>
      <vt:lpstr>'D Financial'!Print_Area</vt:lpstr>
      <vt:lpstr>'Development Program'!Print_Area</vt:lpstr>
      <vt:lpstr>'E DRAW'!Print_Area</vt:lpstr>
      <vt:lpstr>'E Financial'!Print_Area</vt:lpstr>
      <vt:lpstr>'F DRAW'!Print_Area</vt:lpstr>
      <vt:lpstr>'F Financial'!Print_Area</vt:lpstr>
      <vt:lpstr>'G DRAW'!Print_Area</vt:lpstr>
      <vt:lpstr>'G Financial'!Print_Area</vt:lpstr>
      <vt:lpstr>'H DRAW'!Print_Area</vt:lpstr>
      <vt:lpstr>'H Financial'!Print_Area</vt:lpstr>
      <vt:lpstr>'I DRAW'!Print_Area</vt:lpstr>
      <vt:lpstr>'I Financial'!Print_Area</vt:lpstr>
    </vt:vector>
  </TitlesOfParts>
  <Manager/>
  <Company>Charles A. Long Properties LLC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Charles A. Long</dc:creator>
  <cp:keywords/>
  <dc:description/>
  <cp:lastModifiedBy>Andrew Seokjin Oh</cp:lastModifiedBy>
  <cp:revision/>
  <cp:lastPrinted>2025-01-21T07:59:44Z</cp:lastPrinted>
  <dcterms:created xsi:type="dcterms:W3CDTF">2011-07-11T21:17:46Z</dcterms:created>
  <dcterms:modified xsi:type="dcterms:W3CDTF">2025-01-21T19:08:06Z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70388465-aeed-4329-a493-dfb4cee22503_Enabled">
    <vt:lpwstr>true</vt:lpwstr>
  </property>
  <property fmtid="{D5CDD505-2E9C-101B-9397-08002B2CF9AE}" pid="3" name="MSIP_Label_70388465-aeed-4329-a493-dfb4cee22503_SetDate">
    <vt:lpwstr>2022-12-01T14:29:01Z</vt:lpwstr>
  </property>
  <property fmtid="{D5CDD505-2E9C-101B-9397-08002B2CF9AE}" pid="4" name="MSIP_Label_70388465-aeed-4329-a493-dfb4cee22503_Method">
    <vt:lpwstr>Standard</vt:lpwstr>
  </property>
  <property fmtid="{D5CDD505-2E9C-101B-9397-08002B2CF9AE}" pid="5" name="MSIP_Label_70388465-aeed-4329-a493-dfb4cee22503_Name">
    <vt:lpwstr>defa4170-0d19-0005-0004-bc88714345d2</vt:lpwstr>
  </property>
  <property fmtid="{D5CDD505-2E9C-101B-9397-08002B2CF9AE}" pid="6" name="MSIP_Label_70388465-aeed-4329-a493-dfb4cee22503_SiteId">
    <vt:lpwstr>c733f279-2e57-447e-b549-b435d7bcf45e</vt:lpwstr>
  </property>
  <property fmtid="{D5CDD505-2E9C-101B-9397-08002B2CF9AE}" pid="7" name="MSIP_Label_70388465-aeed-4329-a493-dfb4cee22503_ActionId">
    <vt:lpwstr>c09dddd2-dd9a-4658-94bd-9604302b5a94</vt:lpwstr>
  </property>
  <property fmtid="{D5CDD505-2E9C-101B-9397-08002B2CF9AE}" pid="8" name="MSIP_Label_70388465-aeed-4329-a493-dfb4cee22503_ContentBits">
    <vt:lpwstr>0</vt:lpwstr>
  </property>
  <property fmtid="{D5CDD505-2E9C-101B-9397-08002B2CF9AE}" pid="9" name="ContentTypeId">
    <vt:lpwstr>0x01010007D0D48330F6CE4FB6B3AE62FA39CE46</vt:lpwstr>
  </property>
  <property fmtid="{D5CDD505-2E9C-101B-9397-08002B2CF9AE}" pid="10" name="MediaServiceImageTags">
    <vt:lpwstr/>
  </property>
</Properties>
</file>